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5" yWindow="65416" windowWidth="13365" windowHeight="10545" tabRatio="813" activeTab="0"/>
  </bookViews>
  <sheets>
    <sheet name="1.Onbe" sheetId="1" r:id="rId1"/>
    <sheet name="2.tám." sheetId="2" r:id="rId2"/>
    <sheet name="3.Onki" sheetId="3" r:id="rId3"/>
    <sheet name="4.Inbe" sheetId="4" r:id="rId4"/>
    <sheet name="5.Inki" sheetId="5" r:id="rId5"/>
    <sheet name="6.Önk.műk." sheetId="6" r:id="rId6"/>
    <sheet name="6.A Alapítv." sheetId="7" r:id="rId7"/>
    <sheet name="7.Beruh." sheetId="8" r:id="rId8"/>
    <sheet name="8.Felúj." sheetId="9" r:id="rId9"/>
    <sheet name="9. Képvis" sheetId="10" r:id="rId10"/>
    <sheet name="10.EU" sheetId="11" r:id="rId11"/>
    <sheet name="11.Mérleg" sheetId="12" r:id="rId12"/>
    <sheet name="12.Mérl.össz." sheetId="13" r:id="rId13"/>
    <sheet name="13.pm" sheetId="14" r:id="rId14"/>
    <sheet name="14.pe.vált." sheetId="15" r:id="rId15"/>
    <sheet name="15.Hitel" sheetId="16" r:id="rId16"/>
    <sheet name="16.Üzletrész" sheetId="17" r:id="rId17"/>
    <sheet name="17.Közvetett tám." sheetId="18" r:id="rId18"/>
    <sheet name="18. vagyonmérleg." sheetId="19" r:id="rId19"/>
    <sheet name="18.A" sheetId="20" r:id="rId20"/>
  </sheets>
  <externalReferences>
    <externalReference r:id="rId23"/>
    <externalReference r:id="rId24"/>
    <externalReference r:id="rId25"/>
    <externalReference r:id="rId26"/>
    <externalReference r:id="rId27"/>
  </externalReferences>
  <definedNames>
    <definedName name="_4._sz._sor_részletezése" localSheetId="12">#REF!</definedName>
    <definedName name="_4._sz._sor_részletezése" localSheetId="16">#REF!</definedName>
    <definedName name="_4._sz._sor_részletezése" localSheetId="17">#REF!</definedName>
    <definedName name="_4._sz._sor_részletezése" localSheetId="18">#REF!</definedName>
    <definedName name="_4._sz._sor_részletezése" localSheetId="19">#REF!</definedName>
    <definedName name="_4._sz._sor_részletezése" localSheetId="1">#REF!</definedName>
    <definedName name="_4._sz._sor_részletezése">#REF!</definedName>
    <definedName name="_xlnm.Print_Titles" localSheetId="0">'1.Onbe'!$4:$6</definedName>
    <definedName name="_xlnm.Print_Titles" localSheetId="10">'10.EU'!$5:$9</definedName>
    <definedName name="_xlnm.Print_Titles" localSheetId="12">'12.Mérl.össz.'!$3:$5</definedName>
    <definedName name="_xlnm.Print_Titles" localSheetId="18">'18. vagyonmérleg.'!$6:$7</definedName>
    <definedName name="_xlnm.Print_Titles" localSheetId="1">'2.tám.'!$5:$7</definedName>
    <definedName name="_xlnm.Print_Titles" localSheetId="2">'3.Onki'!$4:$6</definedName>
    <definedName name="_xlnm.Print_Titles" localSheetId="3">'4.Inbe'!$4:$7</definedName>
    <definedName name="_xlnm.Print_Titles" localSheetId="4">'5.Inki'!$4:$7</definedName>
    <definedName name="_xlnm.Print_Titles" localSheetId="6">'6.A Alapítv.'!$5:$8</definedName>
    <definedName name="_xlnm.Print_Titles" localSheetId="5">'6.Önk.műk.'!$3:$6</definedName>
    <definedName name="_xlnm.Print_Titles" localSheetId="7">'7.Beruh.'!$4:$6</definedName>
    <definedName name="_xlnm.Print_Titles" localSheetId="8">'8.Felúj.'!$4:$6</definedName>
    <definedName name="_xlnm.Print_Titles" localSheetId="9">'9. Képvis'!$4:$7</definedName>
    <definedName name="_xlnm.Print_Area" localSheetId="0">'1.Onbe'!$A$1:$I$66</definedName>
    <definedName name="_xlnm.Print_Area" localSheetId="10">'10.EU'!$A$1:$K$31</definedName>
    <definedName name="_xlnm.Print_Area" localSheetId="12">'12.Mérl.össz.'!$A$1:$E$131</definedName>
    <definedName name="_xlnm.Print_Area" localSheetId="13">'13.pm'!$A$1:$H$26</definedName>
    <definedName name="_xlnm.Print_Area" localSheetId="14">'14.pe.vált.'!$A$1:$C$18</definedName>
    <definedName name="_xlnm.Print_Area" localSheetId="16">'16.Üzletrész'!$A$1:$I$23</definedName>
    <definedName name="_xlnm.Print_Area" localSheetId="17">'17.Közvetett tám.'!$A$1:$F$25</definedName>
    <definedName name="_xlnm.Print_Area" localSheetId="18">'18. vagyonmérleg.'!$A$1:$E$73</definedName>
    <definedName name="_xlnm.Print_Area" localSheetId="19">'18.A'!$A$1:$C$101</definedName>
    <definedName name="_xlnm.Print_Area" localSheetId="1">'2.tám.'!$A$1:$J$15</definedName>
    <definedName name="_xlnm.Print_Area" localSheetId="2">'3.Onki'!$A$1:$I$38</definedName>
    <definedName name="_xlnm.Print_Area" localSheetId="3">'4.Inbe'!$A$1:$N$181</definedName>
    <definedName name="_xlnm.Print_Area" localSheetId="4">'5.Inki'!$A$1:$Q$319</definedName>
    <definedName name="_xlnm.Print_Area" localSheetId="5">'6.Önk.műk.'!$A$1:$N$898</definedName>
    <definedName name="_xlnm.Print_Area" localSheetId="7">'7.Beruh.'!$A$1:$K$308</definedName>
    <definedName name="_xlnm.Print_Area" localSheetId="8">'8.Felúj.'!$A$1:$H$165</definedName>
  </definedNames>
  <calcPr fullCalcOnLoad="1"/>
</workbook>
</file>

<file path=xl/sharedStrings.xml><?xml version="1.0" encoding="utf-8"?>
<sst xmlns="http://schemas.openxmlformats.org/spreadsheetml/2006/main" count="3916" uniqueCount="1652">
  <si>
    <t>Felhalmozási célú költségvetési maradvány igénybevétele</t>
  </si>
  <si>
    <t>Felhalmozási célú önkormányzati támogatások</t>
  </si>
  <si>
    <t>Felhalmozási célú átvett pénzeszközök (kölcsönök visszatérülése)</t>
  </si>
  <si>
    <t>Államháztartáson belüli megelőlegezés visszafizetése</t>
  </si>
  <si>
    <t>Veszprém integrált településfejlesztés, belváros funkcióbővítő rehabilitációja I/B ütem</t>
  </si>
  <si>
    <t>Kulturális szakemberek továbbképzése a szolgálat-fejlesztés érdekében TÁMOP-3.2.12-12/1-2012-0021.</t>
  </si>
  <si>
    <t>2015. évi időközi országgyűlési képviselő választások</t>
  </si>
  <si>
    <t>2014. évi önkormányzat és nemzetiségi önkormányzati képviselők választása</t>
  </si>
  <si>
    <t>Veszprém integrált településfejlesztés, belváros funkcióbővítő rehabilitációja 1/B. ütem</t>
  </si>
  <si>
    <t>2014. évi országgyűlési képviselő választások</t>
  </si>
  <si>
    <t>2014. évi önkormányzati és nemzetiségi önkormányzati képviselők választása</t>
  </si>
  <si>
    <t>2014. Európa parlamenti képviselő választások</t>
  </si>
  <si>
    <t xml:space="preserve">          - Auer Hegedűfesztivál</t>
  </si>
  <si>
    <t>Képzőművészeti alkotások vásárlása</t>
  </si>
  <si>
    <t xml:space="preserve"> - Gizella Kórus/Dowland Alapítvány/</t>
  </si>
  <si>
    <t>Veszprémi műemléki topográfia költségei</t>
  </si>
  <si>
    <t>Tanórán kívüli tevékenység támogatása</t>
  </si>
  <si>
    <t>Lakásfenntartási támogatás, lakbértámogatás, albérleti támogatás</t>
  </si>
  <si>
    <t>Adósságkezelés, adósságcsökkentési támogatás</t>
  </si>
  <si>
    <t>Önkormányzati rendeletben meghatározott egyéb szociális támogatások</t>
  </si>
  <si>
    <t>Szociális nyári gyermekétkeztetés</t>
  </si>
  <si>
    <t>Kisgyermekes bérlet</t>
  </si>
  <si>
    <t>Önkormányzat igazgatási tevékenysége</t>
  </si>
  <si>
    <t>Köztisztasági feladatok</t>
  </si>
  <si>
    <t>Fotovoltaikus rendszerek kialakítása KEOP-2014-4.10.0/N</t>
  </si>
  <si>
    <t>Önkormányzatok és intézményeik épületenergetikai fejlesztése KEOP-2014-4.10.0/F</t>
  </si>
  <si>
    <t>"Pannon-Tudás-Park" TÁMOP-4.2.1C-14/1/Konv</t>
  </si>
  <si>
    <t>Az esélyegyenlőség erősítését szolgáló együttműködés segítése a veszprémi járásban ÁROP-1.A.3</t>
  </si>
  <si>
    <t>Kitüntetések</t>
  </si>
  <si>
    <t>Veszprémi Szemle Várostörténeti Közhasznú Alapítvány - temetői sírok karbantartása</t>
  </si>
  <si>
    <t>Főegyházmegyei intézmények kulturális feladatellátásának támogatása</t>
  </si>
  <si>
    <t>Alapítvány a Magyar Műemléki Topográfia támogatására - topográfiai kötet támogatása</t>
  </si>
  <si>
    <t>2014. évi adótöbbletből visszafizetési kötelezettség</t>
  </si>
  <si>
    <t>Nemesvámos-Veszprém közötti kerékpárforgalmi út kiépítése KDOP-4.2.2-11-2011-0010.</t>
  </si>
  <si>
    <t>Pannon Térség Fejlődéséért Alapítvány támogatása</t>
  </si>
  <si>
    <t>Rendkívüli gyermekvédelmi támogatás</t>
  </si>
  <si>
    <t>Átmeneti szociális segély</t>
  </si>
  <si>
    <t>Fenntartható városfejlesztés Veszprémben KDOP-63.1.1/E-13-2013-0002.</t>
  </si>
  <si>
    <t>16. Magyar ingatlanfejlesztési nívódíj pályázat részvételi díj</t>
  </si>
  <si>
    <t>Rendőrségi körzeti megbízotti iroda kialakítására a Stromfeld u. 9. sz. alatti önkormányzati helyiségekben vk.</t>
  </si>
  <si>
    <t>Veszprémi Szemle Közhasznú Alapítvány</t>
  </si>
  <si>
    <t>Veszprém Megyei Levéltár</t>
  </si>
  <si>
    <t>Alapítvány a Magyar Műemléki Topográfia Támogatására</t>
  </si>
  <si>
    <t>Cholnoky Jenő Iskolai Alapítvány</t>
  </si>
  <si>
    <t>Családbarát pályázat CSP-CSBM-14-18811</t>
  </si>
  <si>
    <t>2015. évi eredeti előirányzat</t>
  </si>
  <si>
    <t xml:space="preserve">Veszprém város intermodális pályaudvar kialakítása és kapcsolódó közösségi közlekedési fejlesztések (KÖZOP -5.5.0-09-11.) </t>
  </si>
  <si>
    <t>Természettudományos közoktatási laboratórium kialakítása a veszprémi Ipari Szakközépiskola és Gimnáziumban TÁMOP-3.1.3-11/2-2012-0061</t>
  </si>
  <si>
    <t xml:space="preserve">Táborállás park 1. kiegészítő pótmunka </t>
  </si>
  <si>
    <t xml:space="preserve">KEOP-2014-4.10.0/N Fotovoltaikus rendszerek kialakítása </t>
  </si>
  <si>
    <t>KEOP-2014-4.10.0/F Önkormányzatok és intézményeik épületenergetikai fejlesztése megújuló energiaforrás hasznosításával kombinálva a konvergencia régiókban</t>
  </si>
  <si>
    <t>Stratégiai előkészítés</t>
  </si>
  <si>
    <t>ÁROP-1.A.3.Az esélyegyenlőség erősítését szolgáló együttműködés segítése a veszprémi járásban</t>
  </si>
  <si>
    <t>"Pannon-Tudás-Park" TÁMOP 4.2.1C-14/1/Konv.</t>
  </si>
  <si>
    <t>Smart City</t>
  </si>
  <si>
    <t xml:space="preserve">Veszprém-Csopak kerékpárút I. ütemének előkészítése (tervezés) 201/2013. (VI.27.) Kh. alapján 28.000 eFt </t>
  </si>
  <si>
    <t>Veszprém külterület 0231-8. hrsz-ú reptér melletti ingatlan törlesztő részlet</t>
  </si>
  <si>
    <t>Padok beszerzése és kihelyezése</t>
  </si>
  <si>
    <t>Kopácsi utca irányában megcsúszott rézsű szakértői vizsgálat anyagának elkészítése</t>
  </si>
  <si>
    <t>Térfigyelő rendszer bővítése II. ütem</t>
  </si>
  <si>
    <t>Közbiztonság növelését szolgáló önkormányzati fejlesztések</t>
  </si>
  <si>
    <t>Árkok műszaki tervei</t>
  </si>
  <si>
    <t>Korlátok építése</t>
  </si>
  <si>
    <t>Közműalagút vészjelző berendezés cseréje</t>
  </si>
  <si>
    <t>Műfüves pályák fejlesztése önrész</t>
  </si>
  <si>
    <t>Uszodaépítés előkészítés</t>
  </si>
  <si>
    <t>Stromfeld utcai parkoló építése, tervezése</t>
  </si>
  <si>
    <t>Végleges forgalomba helyezésekhez szükséges ingatlanrendezés</t>
  </si>
  <si>
    <t>Veszprém Kazán - Sorompó u. járda kivitelezés</t>
  </si>
  <si>
    <t>Karacs T. u. parkolóépítés, zöldterület rendezés, járdaépítés II. ütem járdaépítés</t>
  </si>
  <si>
    <t>Henger u. I. ütem</t>
  </si>
  <si>
    <t>Kertváros csapadékvíz-elvezetése, kivitelezés</t>
  </si>
  <si>
    <t>Viola köz rekonstrukció II. ütem</t>
  </si>
  <si>
    <t xml:space="preserve">Csererdő lakótelep úthálózat rekonstrukció engedélyezési költségei és kiviteli terve </t>
  </si>
  <si>
    <t>Tobak utcai támfal és út helyreállítás</t>
  </si>
  <si>
    <t>Hulladéklerakó rekultiváció</t>
  </si>
  <si>
    <t>Ádám Iván utcai orvosi rendelő pótlása</t>
  </si>
  <si>
    <t>6.sz.vk. Sport, fitnesz eszközök beszerzésére: (Rózsa u. 48. melletti játszótér környezetében)</t>
  </si>
  <si>
    <t>11.sz.vk. Utca névtáblák beszerzésére és kihelyezésére</t>
  </si>
  <si>
    <t>Játszóeszközök beszerzése 10. vk.</t>
  </si>
  <si>
    <t>Számítógép beszerzése a  Stromfeld A. u. 9. alatti KMB irodába - 2. vk.</t>
  </si>
  <si>
    <t>8., 9. vk. Iskolabútorok beszerzése (Botev Általános Iskola részére)</t>
  </si>
  <si>
    <t>9. vk. Iskolabútorok beszerzésére (Simonyi Általános Iskola részére)</t>
  </si>
  <si>
    <t>3. vk. Számítógép beszerzése (Báthory István Általános Iskola részére)</t>
  </si>
  <si>
    <t>8. vk. Szemétgyűjtő kihelyezése (Kalmár tér 30. mögötti játszótérhez)</t>
  </si>
  <si>
    <t>Kádártai Közösségi Ház átépítése</t>
  </si>
  <si>
    <t>Ringató Körzeti Óvoda (Erdei Kuckó Tagóvodák) öltözőszekrények cseréjének folytatása</t>
  </si>
  <si>
    <t>Jutasi úti volt Hadkiegészítő parancsnokság épület - engedélyezési tervdokumentáció készítés óvoda és bölcsőde kialakítása érdekében</t>
  </si>
  <si>
    <t>Völgyikút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</si>
  <si>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</si>
  <si>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</si>
  <si>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</si>
  <si>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Veszprémi Programiroda Kft. törzstőke-emelés, tőketartalékba helyezés</t>
  </si>
  <si>
    <t>Swing-Swing Kft. Törzstőke-emelés, tőketartalékba helyezés</t>
  </si>
  <si>
    <t>Tourinform Veszprém törzstőke-emelés (törvényi változás miatt)</t>
  </si>
  <si>
    <t>Csarnok Kft. Törzstőke-emelés, tőketartalékba helyezés</t>
  </si>
  <si>
    <t>Kittenberger Kálmán Növény és Vadaskert Kft fejlesztési hozzájárulás, tőketartalékba helyezés</t>
  </si>
  <si>
    <t>Veszprém TV Kft. Pályázathoz tőketartalékba helyezés</t>
  </si>
  <si>
    <t xml:space="preserve">Önkormányzati beruházási kiadások összesen </t>
  </si>
  <si>
    <t>Önkormányzati egyéb felhalmozási célú kiadások</t>
  </si>
  <si>
    <t>Aradi V. úti garázsszövetkezet útépítés támogatása</t>
  </si>
  <si>
    <t>Önkormányzati egyéb felhalmozási célú kiadások összesen</t>
  </si>
  <si>
    <t>Fészek hinta telepítés</t>
  </si>
  <si>
    <t>Udvari tároló és telepítése</t>
  </si>
  <si>
    <t>ISPOST étkezési nyilvántartó szoftverek</t>
  </si>
  <si>
    <t>Tornaeszköz - mozgáskotta - testnevelés fejlesztő eszköz 2 db</t>
  </si>
  <si>
    <t>Tornaeszköz - mozgáskotta - testnevelés fejlesztő eszköz 1 db</t>
  </si>
  <si>
    <t>Számítógép, laptop</t>
  </si>
  <si>
    <t>Salgópolc</t>
  </si>
  <si>
    <t>1 db számítógép tagóvoda-vezetői irodába</t>
  </si>
  <si>
    <t>Számítástechnikai és informatikai eszközök, számítógépek, monitorok, élelmezés elszámolási és tiszta szoftverek</t>
  </si>
  <si>
    <t>Mozgásfejlődést elősegítő udvari játék</t>
  </si>
  <si>
    <t>Babaház udvari játék</t>
  </si>
  <si>
    <t>MAXI mozgáskotta készlet</t>
  </si>
  <si>
    <t>ISPOST étkezési nyilvántartó szoftverek, Microsoft office program csomag, multifunkciós Laserjet nyomtató, színes nyomtató, notebook, fénymásoló</t>
  </si>
  <si>
    <t xml:space="preserve"> ISPOST étkezési nyilvántartó szoftverek, multifunkcionális nyomtató, projektor</t>
  </si>
  <si>
    <t>Babaház udvari játék 2 db.</t>
  </si>
  <si>
    <t>Mászókás csúszda - udvari játék</t>
  </si>
  <si>
    <t>Udvari homokozó, takaróval</t>
  </si>
  <si>
    <t>FM Lynk</t>
  </si>
  <si>
    <t>Dagasztógép</t>
  </si>
  <si>
    <t>Udvari játék</t>
  </si>
  <si>
    <t>Udvari játszótéri eszközhöz esésvédő gumilap telepítése</t>
  </si>
  <si>
    <t>EÜ Alapellátási Intézmény</t>
  </si>
  <si>
    <t>3 db szűrőaudiométer</t>
  </si>
  <si>
    <t>1 db Ambu baba</t>
  </si>
  <si>
    <t>Védőnők asztali számítógépei</t>
  </si>
  <si>
    <t>Kisértékű tárgyi eszközök (porszívó, udvari asztal padokkal 2 db)</t>
  </si>
  <si>
    <t>IPOST élelmezési nyilvántartó szoftver, számítógép</t>
  </si>
  <si>
    <t>Kisértékű tárgyi eszközök (porszívó, vasaló 2 db, merülő mixer)</t>
  </si>
  <si>
    <t>Kisértékű tárgyi eszközök (porszívó, turmix gép, szőnyeg 8 db)</t>
  </si>
  <si>
    <t>Fénymásológép</t>
  </si>
  <si>
    <t>Göllesz Viktor Nappali Intézmény</t>
  </si>
  <si>
    <t>9 személyes gépjármű</t>
  </si>
  <si>
    <t>Hang és videorendszer kiépítése</t>
  </si>
  <si>
    <t>Szilvásy Nándor plakátok-képzőművészeti alkotás (NKA)</t>
  </si>
  <si>
    <t>Bognár Zoltán Halak III. képzőművészeti alkotás</t>
  </si>
  <si>
    <t>Megyei Könyvtár kistelepülési könyvtári és közművelődési célú kiegészítő állami támogatásából</t>
  </si>
  <si>
    <t>Használt irodakonténer</t>
  </si>
  <si>
    <t>Műtárgyvásárlás Gáspár Gy. White Hole II.</t>
  </si>
  <si>
    <t>Acélszerkezetű garázs</t>
  </si>
  <si>
    <t>Sátor</t>
  </si>
  <si>
    <t>Petőfi Színház</t>
  </si>
  <si>
    <t xml:space="preserve">Eszközbesz., színpadtechnika, világítás, hangosítás (NKA pályázat) </t>
  </si>
  <si>
    <t>Citroen Berlingo személygépkocsi</t>
  </si>
  <si>
    <t>Tehergépkocsi</t>
  </si>
  <si>
    <t>Számítástechnikai rendszerfejlesztés/eszközbeszerzés</t>
  </si>
  <si>
    <t>Gépkocsi</t>
  </si>
  <si>
    <t>Szoftverek</t>
  </si>
  <si>
    <r>
      <rPr>
        <u val="single"/>
        <sz val="11"/>
        <rFont val="Palatino Linotype"/>
        <family val="1"/>
      </rPr>
      <t>Gondnokság</t>
    </r>
    <r>
      <rPr>
        <sz val="11"/>
        <rFont val="Palatino Linotype"/>
        <family val="1"/>
      </rPr>
      <t xml:space="preserve"> - Gépkocsi vásárlás 2db.</t>
    </r>
  </si>
  <si>
    <t>Salgópolc (Adóhivatal irattár)</t>
  </si>
  <si>
    <t>"C" épület gázkazán csere</t>
  </si>
  <si>
    <t>Kisértékű tárgyi eszközök (gumiabroncs, bojler 2db., kávéfőző, fűzőgép 2db., hegyezőgép, lábtartó, székek, bútorok, fogasok, létra)</t>
  </si>
  <si>
    <t>Beruházási kiadások mindösszesen</t>
  </si>
  <si>
    <t>2015. évi módosított előirányzat</t>
  </si>
  <si>
    <t xml:space="preserve"> Árkok felújítása (Látóhegyi árok)</t>
  </si>
  <si>
    <t>Nagyfelületű út és járdafelújítások: Cseri utca; Egyetem u (Stadion u. – Hóvirág u. között); Lóczy u (I. ütem); Csikász u.; Pipacs u (Petőfi S. u. – Hold u között); Parkolók (Diósy M., Sólyi, Vilonyai, Lóczy L. u); Borsos u, (II. ütem); Kodály Z. u. járda (Damjanich 2-4, Stromfeld, Halle 7. Cholnoky, Gy.rátót)</t>
  </si>
  <si>
    <t>Alsóvárosi temető Őrház felújítása</t>
  </si>
  <si>
    <t>Köztéri padok felújítása</t>
  </si>
  <si>
    <t>Tüzér utcai telephely kerítés felújítása</t>
  </si>
  <si>
    <t>Földutak felújítása</t>
  </si>
  <si>
    <t>Köztéri műalkotások rekonstrukciója</t>
  </si>
  <si>
    <t>Vár u. kockakő burkolat felújítása</t>
  </si>
  <si>
    <t>Intézményekben kétutas tűzjelző rendszer beüzemelése</t>
  </si>
  <si>
    <t>Toborzó u. 2. felújítás lakásalap</t>
  </si>
  <si>
    <t>Kádárta orvosi rendelő járda felújítás, külső akadálymentesítés, babakocsi tároló</t>
  </si>
  <si>
    <t>Március 15. utcai int. Komplexum vízhálózat rekonstrukció</t>
  </si>
  <si>
    <t>VMJV Egyesített Bölcsődéje (Módszertani Bölcsőde)</t>
  </si>
  <si>
    <t>Nyílászáró csere II. ütem (2 db pavilon)</t>
  </si>
  <si>
    <t>VMJV Egyesített Bölcsődéje (Vackor Bölcsőde)</t>
  </si>
  <si>
    <t>Nyílászáró csere III. ütem ( 1 db pavilon)</t>
  </si>
  <si>
    <t>VMJV Egyesített Bölcsődéje (Hóvirági Bölcsőde)</t>
  </si>
  <si>
    <t xml:space="preserve"> Nyílászáró csere IV. ütem </t>
  </si>
  <si>
    <t xml:space="preserve">IV. Pavilon visszaalakítása </t>
  </si>
  <si>
    <t>Nyílászárók cseréje 2 pavilonban</t>
  </si>
  <si>
    <t>Nyílászárók cseréje 1 pavilonban</t>
  </si>
  <si>
    <t>Szennyvízvezeték cseréje 1 pavilonban</t>
  </si>
  <si>
    <t>Gyermekmosdó felújítás első épületben</t>
  </si>
  <si>
    <t>Szennyvízcsatorna- hálózat felújítás</t>
  </si>
  <si>
    <t>Tornaterem villanyhálózatának felújítása, lámpatestek cseréje</t>
  </si>
  <si>
    <t>Konyha és első mosdó felújítása közművezeték cserével</t>
  </si>
  <si>
    <t>Elektromos Hálózat felújítása</t>
  </si>
  <si>
    <t>Vizesblokk felújítás I. ütem</t>
  </si>
  <si>
    <t xml:space="preserve">Terasz és a  tartópillér, belső járda felújítása statikai szakvélemény alapján </t>
  </si>
  <si>
    <t>Iroda és logopédiai helyiség parketta cseréje, festés, mázolás</t>
  </si>
  <si>
    <t>Kerítés felújítás</t>
  </si>
  <si>
    <t>Balesetveszélyes támfal megerősítése</t>
  </si>
  <si>
    <t>Bejárati ajtók cseréje</t>
  </si>
  <si>
    <t>Cholnoky Jenő Általános Iskola</t>
  </si>
  <si>
    <t>Nyílászáró csere (Gasztroker)</t>
  </si>
  <si>
    <t>Főépület vizesblokkjainak felújítása 1 fiú-1 lány 1 strangon 2. emeleten</t>
  </si>
  <si>
    <t>Tornaterem parketta burkolat felújítás</t>
  </si>
  <si>
    <t>Földszinti leány (és AM mosdó) és I. emeleti fiú mosdó felújítása</t>
  </si>
  <si>
    <t>Technika terem átalakítás</t>
  </si>
  <si>
    <t>Sportpálya megsüllyedt burkolatának rekonstrukciója, öntött gumiburkolattal</t>
  </si>
  <si>
    <t>Koncepció a teljes felújításra</t>
  </si>
  <si>
    <t>Lépcsőburkolat javítása a bejáratoknál</t>
  </si>
  <si>
    <t>Tetők javítása, újra fóliázása  az emeleti ablakok felett (beázások miatt)</t>
  </si>
  <si>
    <t>H. Botev Általános Iskola</t>
  </si>
  <si>
    <t>"A" épület belső udvar, sportudvar felületeinek javítása, valamint a csapadékvíz elvezetés megoldása</t>
  </si>
  <si>
    <t>"B"  épület nyílászáró csere</t>
  </si>
  <si>
    <t>Hajókonténer telepítése és bérlése 1 tanterem átmeneti biztosítása érdekében</t>
  </si>
  <si>
    <t>"B" épület emeletráépítéshez tervdokumentáció készítés</t>
  </si>
  <si>
    <t>Kossuth Lajos Általános Iskola</t>
  </si>
  <si>
    <t>Nyílászáró csere 3 tanteremben</t>
  </si>
  <si>
    <t>Vizesblokk felújítás</t>
  </si>
  <si>
    <t xml:space="preserve">Alagsori helyiségek külső szigetelése beázás ellen: 1./ technika terem 2./ kis tornaterem 3./ könyvtár 4./ egyéb alagsori helyiségek </t>
  </si>
  <si>
    <t>Biztonsági fólia ablakra</t>
  </si>
  <si>
    <t>Rajzterem aljzatának vizesedés megszüntetése külső vízelvezetéssel</t>
  </si>
  <si>
    <t>Teljes járólapcsere: aula+fórum</t>
  </si>
  <si>
    <t>Tornacsarnok felújítás I. ütem</t>
  </si>
  <si>
    <t>Ipari Szakközépiskola és Gimnázium</t>
  </si>
  <si>
    <t>Vizesblokk felújítás II. ütem</t>
  </si>
  <si>
    <t>Március 15. utcai uszoda és sportcsarnok</t>
  </si>
  <si>
    <t>Szellőzés felújítása</t>
  </si>
  <si>
    <t xml:space="preserve">Vass-Gyűjtemény  (Vár u. 3-5-7.) tetőcserép komplett cseréje </t>
  </si>
  <si>
    <t>Gyilokjáró tervezése</t>
  </si>
  <si>
    <t>Belső udvar vízvezeték rekonstrukció</t>
  </si>
  <si>
    <t xml:space="preserve">Csikász Galéria : ablakok felújítása vagy cseréje </t>
  </si>
  <si>
    <t>Kisértékű tárgyi eszközök (mikroportok, fúrógép, szkenner, spirálozó, telefon, téli gumi, irodai szék, nyomtató, végerősítő, projektortartó, mikrofon állvány, vasaló, csiszolók, marókészletek, festékszóró, reszelő készletek, vízpumpafogók, szerszámosláda, csillag-villáskulcs készletek, kalapácsok, derékszögek, kertészeti szerszámok, csípőfogók, bitkészlet, kamera+állvány, router, hálófűtés teherautóba, irodaszék forgószék, próbababa, vasaló, vezeték nélküli telefon, mikroport mikrofonok, balettszőnyeg, fűzőgép TVmonitor, íróasztal, gurulós STAGE láda 4 db, hangerő pedál, állvány bejátszóhoz,digi pult vezérlés telefon)</t>
  </si>
  <si>
    <t xml:space="preserve">Eszközbesz., színpadtechnika, világítás, hangosítás (EMMI pályázat) </t>
  </si>
  <si>
    <t>Mikroportok</t>
  </si>
  <si>
    <t>Operafólia</t>
  </si>
  <si>
    <t>Rivalda fénytechnika 3 db</t>
  </si>
  <si>
    <t>Nézőtéri hangsugárzó</t>
  </si>
  <si>
    <t>Veszprémi Intézményi Szolgáltató Szervezet</t>
  </si>
  <si>
    <t>Deák Ferenc Általános Iskola - méregszekrény, mikrohullámú sütő 1db, hordozható CD-lejátszó 2db, műanyag keretes tükör 6db, falióra 15db</t>
  </si>
  <si>
    <t>Lovassy László Gimnázium - 3 db mikroport, fényzáró függöny, szőnyeg, vízforraló 1 db, tantermi függönyök, kábelvédő szőnyeg</t>
  </si>
  <si>
    <r>
      <t>Vetési Albert Gimnázium - 2 db CO</t>
    </r>
    <r>
      <rPr>
        <vertAlign val="subscript"/>
        <sz val="11"/>
        <rFont val="Palatino Linotype"/>
        <family val="1"/>
      </rPr>
      <t>2</t>
    </r>
    <r>
      <rPr>
        <sz val="11"/>
        <rFont val="Palatino Linotype"/>
        <family val="1"/>
      </rPr>
      <t>-os poroltó az informatikai termekbe, mikrofon</t>
    </r>
  </si>
  <si>
    <t>Kossuth L. Ált. Iskola ( nylon függöny 24 db)</t>
  </si>
  <si>
    <t>Báthory I. Ált.Iskola (függöny, vezeték nélküli mikrofon 2 db, hangfal 2 db, hűtőszekrény 1 db, kávéfőző)</t>
  </si>
  <si>
    <t>Dózsa Gy. Ált. Iskola (műanyag doboz kerettel 30 db, vezetékes telefon 2 db, magnó 5 db, szőnyeg 3 db)</t>
  </si>
  <si>
    <t>H. Botev Ált. Iskola (telefon alközpont 1 db, hűtőszekrény 1 db, szőnyeg 10 db, alumínium létra 1 db Mini hifi 1 db, CD-lejátszó magnó 2 db, sötétítő függöny 30 db)</t>
  </si>
  <si>
    <t>Simonyi Zsigmond Ált. Iskola (telefon alközpont 1db)</t>
  </si>
  <si>
    <t>Bárczi G. Ált.Iskola (salgó polc 1db, vízforraló 1db, hajszárító 2 db)</t>
  </si>
  <si>
    <t>Rózsa úti Ált. Iskola (függönyök, hordozható magnó 7 db)</t>
  </si>
  <si>
    <t>Gyulaffy L. Ált. Iskola (hűtőszekrény)</t>
  </si>
  <si>
    <t>Zeneművészeti Szakközépiskola és AMI (telefon alközpont 1 db)</t>
  </si>
  <si>
    <t>Középiskolai Kollégium (DECT telefonkészülék 1 db, szárítógép 2 db, hajszárító 2 db, szendvicssütő 2 db, mosogatószekrény 1 db, tűzhely 1 db, mosógép 2 db,)</t>
  </si>
  <si>
    <t>Pedagógiai Szakszolgálat (útbaigazító tábla)</t>
  </si>
  <si>
    <t>Kisértékű tárgyi eszközök (Szárazporszívók, takarítókocsik, router, csúszás veszélyt figyelmeztető tábla, számítógép)</t>
  </si>
  <si>
    <t>I. világháborús emlékművek felújítása</t>
  </si>
  <si>
    <t>Fűtési rendszer működőképessé tétele</t>
  </si>
  <si>
    <t>Belső udvar felújítás</t>
  </si>
  <si>
    <t>Intézmény bővítése tanulmányterv készítés</t>
  </si>
  <si>
    <t>Talajvíz betörés megszüntetése érdekében szakértői vélemény készíttetése</t>
  </si>
  <si>
    <t>Erkélyajtó csere</t>
  </si>
  <si>
    <t>Érintésvédelmi hibák javítása</t>
  </si>
  <si>
    <t>Török I. u. 5-7 ingatlanon ereszcsatorna javítása</t>
  </si>
  <si>
    <t>Főépület északi oldalán ereszt burkoló lambéria csere, utólagos hőszigetelés</t>
  </si>
  <si>
    <t>Cserhát ltp. 1. védőnői tanácsadó és gyermekorv. rendelő felúj., kialakítása</t>
  </si>
  <si>
    <t>Pincében vakolat cseréje, az északi oldal drénezésével együtt (penészedés m.)</t>
  </si>
  <si>
    <r>
      <rPr>
        <b/>
        <sz val="11"/>
        <rFont val="Palatino Linotype"/>
        <family val="1"/>
      </rPr>
      <t>Török Ignác utca 10</t>
    </r>
    <r>
      <rPr>
        <sz val="11"/>
        <rFont val="Palatino Linotype"/>
        <family val="1"/>
      </rPr>
      <t xml:space="preserve"> - A főzőkonyhához zsírfogó kiépítése</t>
    </r>
  </si>
  <si>
    <r>
      <rPr>
        <b/>
        <sz val="11"/>
        <rFont val="Palatino Linotype"/>
        <family val="1"/>
      </rPr>
      <t>Március 15. u. 1/A</t>
    </r>
    <r>
      <rPr>
        <sz val="11"/>
        <rFont val="Palatino Linotype"/>
        <family val="1"/>
      </rPr>
      <t xml:space="preserve"> - Akadálymentesítés</t>
    </r>
  </si>
  <si>
    <t>Nyílászáró csere 2 helyiségben (konyha: ajtó, ablakok; technikat: ablakok)</t>
  </si>
  <si>
    <t>az Európai Uniós forrásból finanszírozott támogatással megvalósuló programok, projektek kiadásai és bevételei az Ávr. 24. § (1) bekezdés a) és bd) pontjainak megfelelően</t>
  </si>
  <si>
    <t>Új Magyarország Fejlesztési Terv</t>
  </si>
  <si>
    <t>Sorszám</t>
  </si>
  <si>
    <t>Program megnevezés</t>
  </si>
  <si>
    <t>Saját erő</t>
  </si>
  <si>
    <t>EU támogatás</t>
  </si>
  <si>
    <t>Veszprém integrált településfejlesztés, belváros funkcióbővítő rehabilitációja I/B ütem KDOP-3.1.1/D1-14 –k2-2014-0001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</si>
  <si>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</si>
  <si>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</si>
  <si>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</si>
  <si>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TÁJÉKOZTATÓ ADATOK</t>
  </si>
  <si>
    <t>Tárgyév</t>
  </si>
  <si>
    <t>ESZKÖZÖK</t>
  </si>
  <si>
    <t>A/I/1        Vagyoni értékű jogok</t>
  </si>
  <si>
    <t>A/I/2        Szellemi termékek</t>
  </si>
  <si>
    <t>A/I/3        Immateriális javak értékhelyesbítése</t>
  </si>
  <si>
    <t>A/I        Immateriális javak (=A/I/1+A/I/2+A/I/3)</t>
  </si>
  <si>
    <t>A/II/1        Ingatlanok és a kapcsolódó vagyoni értékű jogok</t>
  </si>
  <si>
    <t>A/II/2        Gépek, berendezések, felszerelések, járművek</t>
  </si>
  <si>
    <t>A/II/3        Tenyészállatok</t>
  </si>
  <si>
    <t>A/II/4        Beruházások, felújítások</t>
  </si>
  <si>
    <t>A/II/5        Tárgyi eszközök értékhelyesbítése</t>
  </si>
  <si>
    <t>A/II        Tárgyi eszközök (=A/II/1+...+A/II/5)</t>
  </si>
  <si>
    <t>A/III/1        Tartós részesedések</t>
  </si>
  <si>
    <t>A/III/2        Tartós hitelviszonyt megtestesítő értékpapírok</t>
  </si>
  <si>
    <t>A/III/3        Befektetett pénzügyi eszközök értékhelyesbítése</t>
  </si>
  <si>
    <t>A/III        Befektetett pénzügyi eszközök (=A/III/1+A/III/2+A/III/3)</t>
  </si>
  <si>
    <t>A/IV/1        Koncesszióba, vagyonkezelésbe adott eszközök</t>
  </si>
  <si>
    <t>A/IV/2        Koncesszióba, vagyonkez.adott eszk.   értékhelyesbítése</t>
  </si>
  <si>
    <t>A/IV        Koncesszióba, vagyonkezelésbe adott eszközök (=A/IV/1+A/IV/2)</t>
  </si>
  <si>
    <t>A)        NEMZETI VAGYONBA TARTOZÓ BEFEKTETETT ESZKÖZÖK (=A/I+A/II+A/III+A/IV)</t>
  </si>
  <si>
    <t>B/I/1        Vásárolt készletek</t>
  </si>
  <si>
    <t>B/I/2        Átsorolt, követelés fejében átvett készletek</t>
  </si>
  <si>
    <t>B/I/3        Egyéb készletek</t>
  </si>
  <si>
    <t>B/I/4        Befejezetlen termelés, félkész termékek, késztermékek</t>
  </si>
  <si>
    <t>B/I/5        Növendék-, hízó és egyéb állatok</t>
  </si>
  <si>
    <t>B/I        Készletek (=B/I/1+…+B/I/5)</t>
  </si>
  <si>
    <t>B/II/1        Nem tartós részesedések</t>
  </si>
  <si>
    <t>B/II/2        Forgatási célú hitelviszonyt megtestesítő értékpapírok</t>
  </si>
  <si>
    <t>B/II        Értékpapírok (=B/II/1+B/II/2)</t>
  </si>
  <si>
    <t>C/II        Pénztárak, csekkek, betétkönyvek</t>
  </si>
  <si>
    <t>D/I/1        Költségvetési évben esedékes követelések működési célú támogatások bevételeire államháztartáson belülről</t>
  </si>
  <si>
    <t>D/I/2        Költségvetési évben esedékes követelések felhalmozási célú támogatások bevételeire államháztartáson belülről</t>
  </si>
  <si>
    <t>D/I/3        Költségvetési évben esedékes követelések közhatalmi bevételre</t>
  </si>
  <si>
    <t>D/I/4        Költségvetési évben esedékes követelések működési bevételre</t>
  </si>
  <si>
    <t>D/I/5        Költségvetési évben esedékes követelések felhalmozási bevételre</t>
  </si>
  <si>
    <t>D/I/6        Költségvetési évben esedékes követelések működési célú átvett pénzeszközre</t>
  </si>
  <si>
    <t>D/I/7        Költségvetési évben esedékes követelések felhalmozási célú átvett pénzeszközre</t>
  </si>
  <si>
    <t>D/I/7a        - ebből: költségvetési évben esedékes követelések felhalmozási célú visszatérítendő támogatások, kölcsönök visszatérülésére államháztartáson kívülről</t>
  </si>
  <si>
    <t>D/I/8        Költségvetési évben esedékes követelések finanszírozási bevételekre</t>
  </si>
  <si>
    <t>D/I        Költségvetési évben esedékes követelések (=D/I/1+…+D/I/8)</t>
  </si>
  <si>
    <t>D/II/1        Költségvetési évet követően esedékes követelések működési célú támogatások bevételeire államháztartáson belülről</t>
  </si>
  <si>
    <t>D/II/2        Költségvetési évet követően esedékes követelések felhalmozási célú támogatások bevételeire államháztartáson belülről</t>
  </si>
  <si>
    <t>D/II/3        Költségvetési évet követően esedékes követelések közhatalmi bevételre</t>
  </si>
  <si>
    <t>D/II/4        Költségvetési évet követően esedékes követelések működési bevételre</t>
  </si>
  <si>
    <t>D/II/5        Költségvetési évet követően esedékes követelések felhalmozási bevételre</t>
  </si>
  <si>
    <t>D/II/6        Költségvetési évet követően esedékes követelések működési célú átvett pénzeszközre</t>
  </si>
  <si>
    <t>D/II/7        Költségvetési évet követően esedékes követelések felhalmozási célú átvett pénzeszközre</t>
  </si>
  <si>
    <t>D/II/7a        - ebből: költségvetési évet követően esedékes követelések felhalmozási célú visszatérítendő támogatások, kölcsönök visszatérülésére államháztartáson kívülről</t>
  </si>
  <si>
    <t>D/II/8        Költségvetési évet követően esedékes követelések finanszírozási bevételekre</t>
  </si>
  <si>
    <t>D/II        Költségvetési évet követően esedékes követelések (=D/II/1+…+D/II/8)</t>
  </si>
  <si>
    <t>D/III/1a        - ebből: immateriális javakra adott előlegek</t>
  </si>
  <si>
    <t>D/III/1b        - ebből: beruházásokra adott előlegek</t>
  </si>
  <si>
    <t>D/III/1c        - ebből: készletekre adott előlegek</t>
  </si>
  <si>
    <t>D/III/2        Továbbadási célból folyósított támogatások, ellátások elszámolása</t>
  </si>
  <si>
    <t>D/III/3        Más által beszedett bevételek elszámolása</t>
  </si>
  <si>
    <t>D/III/4        Forgótőke elszámolása</t>
  </si>
  <si>
    <t>D/III/5        Vagyonkezelésbe adott eszközökkel kapcsolatos visszapótlási követelés elszámolása</t>
  </si>
  <si>
    <t>D/III/6        Nem társadalombiztosítás pénzügyi alapjait terhelő kifizetett ellátások megtérítésének elszámolása</t>
  </si>
  <si>
    <t>D/III/7        Folyósított, megelőlegezett társadalombiztosítási és családtámogatási ellátások elszámolása</t>
  </si>
  <si>
    <t>D)        KÖVETELÉSEK (=D/I+D/II+D/III)</t>
  </si>
  <si>
    <t>E)        EGYÉB SAJÁTOS ESZKÖZOLDALI ELSZÁMOLÁSOK</t>
  </si>
  <si>
    <t>F/1        Eredményszemléletű bevételek aktív időbeli elhatárolása</t>
  </si>
  <si>
    <t>F/2        Költségek, ráfordítások aktív időbeli elhatárolása</t>
  </si>
  <si>
    <t>F/3        Halasztott ráfordítások</t>
  </si>
  <si>
    <t>F)        AKTÍV IDŐBELI ELHATÁROLÁSOK (=F/1+F/2+F/3)</t>
  </si>
  <si>
    <t>ESZKÖZÖK ÖSSZESEN (=A+B+C+D+E+F)</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</si>
  <si>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</si>
  <si>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</si>
  <si>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</si>
  <si>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</si>
  <si>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</si>
  <si>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</si>
  <si>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</si>
  <si>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G)        SAJÁT TŐKE (=G/I+…+G/VI)</t>
  </si>
  <si>
    <t>H/I/1        Költségvetési évben esedékes kötelezettségek személyi juttatásokra</t>
  </si>
  <si>
    <t>H/I/2        Költségvetési évben esedékes kötelezettségek munkaad.terh.jár és szoc.hozzájár.adóra</t>
  </si>
  <si>
    <t>H/I/3        Költségvetési évben esedékes kötelezettségek dologi kiadásokra</t>
  </si>
  <si>
    <t>H/I/4        Költségvetési évben esedékes kötelezettségek ellátottak pénzbeli juttatásaira</t>
  </si>
  <si>
    <t>H/I/5        Költségvetési évben esedékes kötelezettségek egyéb működési célú kiadásokra</t>
  </si>
  <si>
    <t>H/I/6        Költségvetési évben esedékes kötelezettségek beruházásokra</t>
  </si>
  <si>
    <t>H/I/7        Költségvetési évben esedékes kötelezettségek felújításokra</t>
  </si>
  <si>
    <t>H/I/8        Költségvetési évben esedékes kötelezettségek egyéb felhalmozási célú kiadásokra</t>
  </si>
  <si>
    <t>H/I/9        Költségvetési évben esedékes kötelezettségek finanszírozási kiadásokra</t>
  </si>
  <si>
    <t>H/I        Költségvetési évben esedékes kötelezettségek (=H/I/1+…H/I/9)</t>
  </si>
  <si>
    <t>H/II/1        Költségvetési évet követően esedékes kötelezettségek személyi juttatásokra</t>
  </si>
  <si>
    <t>H/II/2        Költségvetési évet követően esedékes kötelezett. munkaad.terh.jár. és szoc.hozzájá. adóra</t>
  </si>
  <si>
    <t>H/II/3        Költségvetési évet követően esedékes kötelezettségek dologi kiadásokra</t>
  </si>
  <si>
    <t>H/II/4        Költségvetési évet követően esedékes kötelezettségek ellátottak pénzbeli juttatásaira</t>
  </si>
  <si>
    <t xml:space="preserve">H/II/5        Költségvetési évet követően esedékes kötelezettségek egyéb működési célú kiadásokra </t>
  </si>
  <si>
    <t>H/II/6        Költségvetési évet követően esedékes kötelezettségek beruházásokra</t>
  </si>
  <si>
    <t>H/II/7        Költségvetési évet követően esedékes kötelezettségek felújításokra</t>
  </si>
  <si>
    <t>H/II/8        Költségvetési évet követően esedékes kötelezettségek egyéb felhalmozási célú kiadásokra</t>
  </si>
  <si>
    <t>H/II/9        Költségvetési évet követően esedékes kötelezettségek finanszírozási kiadásokra</t>
  </si>
  <si>
    <t>H/II        Költségvetési évet követően esedékes kötelezettségek (=H/II/1+…H/II/9)</t>
  </si>
  <si>
    <t>H/III/1        Kapott előlegek</t>
  </si>
  <si>
    <t>H/III/2        Továbbadási célból folyósított támogatások, ellátások elszámolása</t>
  </si>
  <si>
    <t>H/III/3        Más szervezetet megillető bevételek elszámolása</t>
  </si>
  <si>
    <t>H/III/4        Forgótőke elszámolása (Kincstár)</t>
  </si>
  <si>
    <t>H/III/5        Vagyonkezelésbe vett eszközökkel kapcsolatos visszapótlási kötelezettség elszámolása</t>
  </si>
  <si>
    <t>H/III/6        Nem társadalombizt.pénzügyi alapjait terh.kifizetett ellátások megtér.nek elszámolása</t>
  </si>
  <si>
    <t>H/III/7        Munkáltató által korengedményes nyugdíjhoz megfizetett hozzájárulás elszámolása</t>
  </si>
  <si>
    <t>Nyílászáró csere</t>
  </si>
  <si>
    <t>K= Magyarország helyi önkormányzatairól szóló 2011. évi CLXXXIX. törvény 13. § (1) bekezdése szerinti kötelező feladatok</t>
  </si>
  <si>
    <t>NK= Önkormányzat által önként vállalt feladatok</t>
  </si>
  <si>
    <t>Működési célú támogatások államháztartáson belülről</t>
  </si>
  <si>
    <t>Felhalmozási célú támogatások államháztartáson belülről</t>
  </si>
  <si>
    <t>Ellátottak pénzbeli. juttatásai</t>
  </si>
  <si>
    <t>Működési költségvetési kiadások</t>
  </si>
  <si>
    <t>Felhalmozási költségvetési kiadások</t>
  </si>
  <si>
    <t>Beruházások</t>
  </si>
  <si>
    <t>Felújítások</t>
  </si>
  <si>
    <t>Működési célú támogatás Áht-on belülről</t>
  </si>
  <si>
    <t>Működési költségvetési bevételek</t>
  </si>
  <si>
    <t>Felhalmozási költségvetési bevételek</t>
  </si>
  <si>
    <t>Céltartalékok</t>
  </si>
  <si>
    <t>Működési céltartalékok</t>
  </si>
  <si>
    <t>Felhalmozási céltartalékok</t>
  </si>
  <si>
    <t>Működési célú támogatások Áht-on belülről</t>
  </si>
  <si>
    <t>Felhalmozási célú támogatások Áht-on belülről</t>
  </si>
  <si>
    <t>Adók</t>
  </si>
  <si>
    <t>Cholnoky szobor</t>
  </si>
  <si>
    <t>Köztéri szobrok, emléktáblák, lektorátus</t>
  </si>
  <si>
    <t>Kiadványok, folyóiratok támogatása</t>
  </si>
  <si>
    <t>Aluljárók csapadékvíz átemelőinek üzemeltetése</t>
  </si>
  <si>
    <t>VMJV Egészségügyi Alapellátási Intézmény</t>
  </si>
  <si>
    <t>TÁMOP 3.1.3.10/2-2010-0002 (Vetési A. Gimnázium Természettud. Labor)</t>
  </si>
  <si>
    <t>TIOP-1.1.1-07/1-2008-0986. számú Korszerű IKT eszközökkel a színvonalas oktatásért</t>
  </si>
  <si>
    <t>Göllesz Viktor Fogyatékos Személyek Nappali Intézmények</t>
  </si>
  <si>
    <t>H</t>
  </si>
  <si>
    <t>I</t>
  </si>
  <si>
    <t>VMJV Önkormányzata</t>
  </si>
  <si>
    <t>ebből: - Veszprémi Ünnepi Játékok</t>
  </si>
  <si>
    <t>Turisztikai feladatok Gizella Múzeum</t>
  </si>
  <si>
    <t>ebből: - Mendelssohn Kamarazenekar</t>
  </si>
  <si>
    <t>Sziveri János Intézet működtetése</t>
  </si>
  <si>
    <t>Közutak, hidak fenntart.</t>
  </si>
  <si>
    <t>Bérleményekkel, haszonbérletekkel kapcs. feladatok</t>
  </si>
  <si>
    <t>Nemzetiségi önkormányzatok kiadásai:</t>
  </si>
  <si>
    <t>Német Nemzetiségi Önkormányzat</t>
  </si>
  <si>
    <t>Örmény Nemzetiségi Önkormányzat</t>
  </si>
  <si>
    <t>Lengyel Nemzetiségi Önkormányzat</t>
  </si>
  <si>
    <t>Ukrán Nemzetiségi Önkormányzat</t>
  </si>
  <si>
    <t>Kittenberger K. Növény- és Vadaspark KHT működéséhez hozzájárulás</t>
  </si>
  <si>
    <t>TDM Irodától szolgáltatás vásárlása</t>
  </si>
  <si>
    <t xml:space="preserve">          - Vivace</t>
  </si>
  <si>
    <t>Filharmónia koncertek támogatás</t>
  </si>
  <si>
    <t>TÁMOP 3.1.3.10/2-2010-0002 (Vetési G. Természettud.Labor)</t>
  </si>
  <si>
    <t>Előir. csop. szám</t>
  </si>
  <si>
    <t>Kie-melt előir. szám</t>
  </si>
  <si>
    <t>Közhatalmi bevételek</t>
  </si>
  <si>
    <t>Iparűzési adó</t>
  </si>
  <si>
    <t>ÁFA befizetés</t>
  </si>
  <si>
    <t>Közüzemi Zrt. jutaléka</t>
  </si>
  <si>
    <t>Helyi Önkormányzatok általános működéséhez és ágazati feladataihoz kapcsolódó támogatás</t>
  </si>
  <si>
    <t>Építményadó</t>
  </si>
  <si>
    <t>Idegenforgalmi adó</t>
  </si>
  <si>
    <t>Kommunális adó</t>
  </si>
  <si>
    <t>Telekadó</t>
  </si>
  <si>
    <t>Egyéb pótlékok, bírságok</t>
  </si>
  <si>
    <t>Befektetésösztönzési kiadványok (részvétel a Renexpo ingatlanfejlesztési vásáron, marketingakciók)</t>
  </si>
  <si>
    <t>Méz Rádió támogatása</t>
  </si>
  <si>
    <t>Intézményüzemeltetési szolgáltatások díja (karbantartók, portások bére)</t>
  </si>
  <si>
    <t>Működési célú átvett pénzeszköz</t>
  </si>
  <si>
    <t>Vertikális közösségi Integrációs Program TÁMOP-5.3.6-11/1-2012-0004</t>
  </si>
  <si>
    <t>TÁMOP-2.4.5-12/7-2012-0474 Rugalmas foglalkoztatási lehetőségek megvalósítása Veszprém Megyei Jogú Város Polgármesteri Hivatalában</t>
  </si>
  <si>
    <t>KIMUTATÁS</t>
  </si>
  <si>
    <t>Nemzeti ünnepek kiadásaira</t>
  </si>
  <si>
    <t xml:space="preserve">          - Gizella Napok</t>
  </si>
  <si>
    <t xml:space="preserve">          - Veszprémi Utcazene Fesztivál</t>
  </si>
  <si>
    <t>Veszprém Város Vegyeskar utánpótlás</t>
  </si>
  <si>
    <t>Eseti rendezvények</t>
  </si>
  <si>
    <t>Közművelődési szolgált.</t>
  </si>
  <si>
    <t>Kiemelt művészeti együttesek tám.</t>
  </si>
  <si>
    <t xml:space="preserve"> - Veszprém Város Vegyeskara</t>
  </si>
  <si>
    <t xml:space="preserve"> - Veszprémi Táncegyüttesért Alapítvány</t>
  </si>
  <si>
    <t xml:space="preserve"> - Liszt F. Kórus</t>
  </si>
  <si>
    <t>Szaléziánum támogatása</t>
  </si>
  <si>
    <t>Gyermektartásdíj megelőlegezése</t>
  </si>
  <si>
    <t>Rendsz. gyermekvéd. tám. (Kieg. csal. pótlék)</t>
  </si>
  <si>
    <t>Óvodáztatási támogatás</t>
  </si>
  <si>
    <t>Rendszeres szoc. segély</t>
  </si>
  <si>
    <t>Foglalkoztatást helyettesítő támogatás</t>
  </si>
  <si>
    <t>Időskorúak járadéka (rendszeres szoc. segély)</t>
  </si>
  <si>
    <t>Lelkisegély szolgálat</t>
  </si>
  <si>
    <t>Ápolási díj</t>
  </si>
  <si>
    <t>Közgyógyellátási igazolv.</t>
  </si>
  <si>
    <t>Bursa Hungarica</t>
  </si>
  <si>
    <t>Szenvedélybetegek működési kiadása</t>
  </si>
  <si>
    <t xml:space="preserve">Közcélú és közhasznú foglalkoztatás </t>
  </si>
  <si>
    <t>Máltai Szeretetszolgálatnak pénzeszköz átadás (ellátási szerződés)</t>
  </si>
  <si>
    <t>Veszprémi Kistérségi Társulásnak pénzeszköz átadás(Egyesített Szoc.)</t>
  </si>
  <si>
    <t>Családi ünnepek szervezése</t>
  </si>
  <si>
    <t>Oktatási szolgáltatás</t>
  </si>
  <si>
    <t>Munkavédelmi feladatok</t>
  </si>
  <si>
    <t>Verseny és élsport</t>
  </si>
  <si>
    <t>Sportpálya fenntartás, ill. fenntartói tám.</t>
  </si>
  <si>
    <t>Sportcélok és feladatok (sportigazgatás)</t>
  </si>
  <si>
    <t>Szabadidő- és diáksport</t>
  </si>
  <si>
    <t>Városi TV közszolgálati műsorok támogatása</t>
  </si>
  <si>
    <t>Településfejlesztési feladatok</t>
  </si>
  <si>
    <t>Közüzemi Zrt. által ellátott feladatok</t>
  </si>
  <si>
    <t>Városgazdálkodási szolg.</t>
  </si>
  <si>
    <t>Közvilágítás</t>
  </si>
  <si>
    <t>Díszkivilágítás törlesztés</t>
  </si>
  <si>
    <t>Közműalagút működtetése</t>
  </si>
  <si>
    <t>Közterület Felügyelet, gyepmesteri telep</t>
  </si>
  <si>
    <t>Városépítészeti feladatok</t>
  </si>
  <si>
    <t>Polgármesteri keret</t>
  </si>
  <si>
    <t>Hittudományi Főiskola támogatása</t>
  </si>
  <si>
    <t>Városi civil keret</t>
  </si>
  <si>
    <t xml:space="preserve"> - Normatíva elszámolás</t>
  </si>
  <si>
    <t>Önkormányzatok felhalmozási célú támogatása - adósságkonszolidáció</t>
  </si>
  <si>
    <t>Beruházási kiadások</t>
  </si>
  <si>
    <t>Felújítási kiadások</t>
  </si>
  <si>
    <t>Kulturális szakemberek továbbképzése a szolgálat-fejlesztés érdekében TÁMOP-3.2.12-12/1-2012-0021</t>
  </si>
  <si>
    <t>Egységben az erő! - Óvodafejlesztés Veszprémben          TÁMOP-3.1.11-12/2-2012-0026</t>
  </si>
  <si>
    <t xml:space="preserve">Természettudományos közoktatási laboratórium kialakítása a veszprémi Ipari Szakközépiskola és Gimnáziumban TÁMOP-3.1.3-11/2-2012-0061      </t>
  </si>
  <si>
    <t>Kulturális és közművelődési int. Összesen</t>
  </si>
  <si>
    <r>
      <t>Ebből</t>
    </r>
    <r>
      <rPr>
        <i/>
        <sz val="10"/>
        <rFont val="Palatino Linotype"/>
        <family val="1"/>
      </rPr>
      <t>: normatív állami támogatás</t>
    </r>
  </si>
  <si>
    <t>Ingatlanok értékesítése</t>
  </si>
  <si>
    <t>Önkormányzati Intézmények  működési célú támogatások Áht-on belülről</t>
  </si>
  <si>
    <t>Önkormányzati Intézmények működési bevételek</t>
  </si>
  <si>
    <t>Önkormányzati Intézmények felhalmozási célú átvett pénzeszközök</t>
  </si>
  <si>
    <t>Önkormányzati Intézmények felhalmozási bevételei</t>
  </si>
  <si>
    <t>Önkormányzati Intézmények felhalmozási célú támogatások Áht-on belülről</t>
  </si>
  <si>
    <t>Önkormányzati Intézmények működési célú átvett pénzeszközök</t>
  </si>
  <si>
    <t>Egyéb közhatalmi bevételek (bírságok, igazgatási szolgáltatási díjak)</t>
  </si>
  <si>
    <t>ebből: Szolgáltatások ellenértéke</t>
  </si>
  <si>
    <t>ebből: Tulajdonosi bevételek</t>
  </si>
  <si>
    <t>Összesen</t>
  </si>
  <si>
    <t>adatok eFt-ban</t>
  </si>
  <si>
    <t>Megnevezés</t>
  </si>
  <si>
    <t>Lakásalap</t>
  </si>
  <si>
    <t xml:space="preserve">Cím  </t>
  </si>
  <si>
    <t>Általános tartalék</t>
  </si>
  <si>
    <t>Lakásalap kiadása</t>
  </si>
  <si>
    <t xml:space="preserve"> - Hiteltörlesztés</t>
  </si>
  <si>
    <t xml:space="preserve"> - Lakásalap hiteltörlesztése</t>
  </si>
  <si>
    <t>A</t>
  </si>
  <si>
    <t>B</t>
  </si>
  <si>
    <t>C</t>
  </si>
  <si>
    <t>D</t>
  </si>
  <si>
    <t>E</t>
  </si>
  <si>
    <t>F</t>
  </si>
  <si>
    <t>G</t>
  </si>
  <si>
    <t>Veszprém TV Kft. Pályázathoz fejlesztési önrész</t>
  </si>
  <si>
    <t>Panaszkezelő online rendszer éves  jogdíja IBM</t>
  </si>
  <si>
    <t>Programiroda szolgáltatás vásárlás</t>
  </si>
  <si>
    <t>TÁMOP-3.2.4.A-11/1-2012-0035. Okt. kapcs. szövegért. fejl. pr. digitális írástudás jegyében</t>
  </si>
  <si>
    <t>TÁMOP-3.2.13.12/1-2012-0121. Tanórán kívüli nevelés, szakkörök és témahét megvalósítása</t>
  </si>
  <si>
    <t>TÁMOP-3.2.1.12-12/1-2012-0037. Kulturális szakemberek továbbképzése</t>
  </si>
  <si>
    <t>TÁMOP-3.2.12-12/1-2012-0002. Virtualitás és többnyelvűség a megújuló múzeumpedagógiában</t>
  </si>
  <si>
    <t>TÁMOP-3.2.13-12/1-2012-0130. Történelmi, irodalmi, néprajzi értékeink nyomában</t>
  </si>
  <si>
    <t>TÁMOP-3.2.13-12/1. Ünnepek és hétköznapok a Bakonyi Házban</t>
  </si>
  <si>
    <t>Kulturális Kínálat bővítése</t>
  </si>
  <si>
    <t>Választókerületi keretből díjak, kitüntetések</t>
  </si>
  <si>
    <t>Választókerületi keretből civil szervezetek támogatása</t>
  </si>
  <si>
    <t>Csapadékcsatornák üzemeltetési szolgáltatásai (eddig Bakonykarszt)</t>
  </si>
  <si>
    <t>Környezetvédelmi feladat (városüzemeltetés feladatai)</t>
  </si>
  <si>
    <t>Környezetvédelmi feladat (Közigazgatási Iroda feladatai)</t>
  </si>
  <si>
    <t>VKSZ Zrt. Intézményüzemeltetés járulékos költségei</t>
  </si>
  <si>
    <t>Nem lakáscélú helyiségek üzemeltetési költségei</t>
  </si>
  <si>
    <t>Bérlakások üzemeltetési költségeihez hozzájárulás</t>
  </si>
  <si>
    <t>Veszprém Város Közlekedésfejlesztéséért Közalapítvány támogatása (nyugdíjas bérletek)</t>
  </si>
  <si>
    <t>Peres ügyek, Kártérítési díjak kifizetése ingatlantulajdonosok részére</t>
  </si>
  <si>
    <t>Jutasi úti műfüves pálya fenntartása (LUC)</t>
  </si>
  <si>
    <t>Vertikális Közösségi Integrációs Program TÁMOP-5.3.6-11/1-2012-0004</t>
  </si>
  <si>
    <t>ebből: Társadalombizt. Alapból származó támogatás</t>
  </si>
  <si>
    <t>Kulturális szakemberek továbbképzése a szolgálatfejlesztés érdekében TÁMOP-3.2.12-12/1-2012-0021</t>
  </si>
  <si>
    <t>Működési bevételek</t>
  </si>
  <si>
    <t>Ellátottak pénzbeli juttatásai</t>
  </si>
  <si>
    <t xml:space="preserve"> ebből: Roma Nemzetiségi Önkormányzat</t>
  </si>
  <si>
    <t xml:space="preserve"> ebből : - Nyugdíjas szervezetek számára pályázati keret</t>
  </si>
  <si>
    <t>Települési szilárdhulladék szállítás ártámogatás</t>
  </si>
  <si>
    <t>Pannon TISZK működtetése</t>
  </si>
  <si>
    <t>Művészetek Háza</t>
  </si>
  <si>
    <t>Kabóca Bábszínház és Gyermek Közművelődési Intézmény</t>
  </si>
  <si>
    <t>INTÉZMÉNYEK ÖSSZESEN:</t>
  </si>
  <si>
    <t>Nemzetközi kapcsolatok</t>
  </si>
  <si>
    <t>Mihály-napi Búcsú</t>
  </si>
  <si>
    <t>Marketing tevékenység, marketing stratégia</t>
  </si>
  <si>
    <t>Felhalmozási bevételek</t>
  </si>
  <si>
    <t>Működési célú átvett pénzeszközök</t>
  </si>
  <si>
    <t>Felhalmozási célú átvett pénzeszközök</t>
  </si>
  <si>
    <t>Családsegítő és Gyermekjóléti Alapszolgáltatási Intézményfenntartó Társulás</t>
  </si>
  <si>
    <t>Költségvetési bevételek összesen</t>
  </si>
  <si>
    <t>Költségvetési egyenleg összege:</t>
  </si>
  <si>
    <t>Finanszírozási bevételek</t>
  </si>
  <si>
    <t>Intézmények</t>
  </si>
  <si>
    <t>Beruházási hitelfelvétel</t>
  </si>
  <si>
    <t>Előző évi hitelszerződéseken alapuló felvétel</t>
  </si>
  <si>
    <t>Bevételi főösszeg</t>
  </si>
  <si>
    <t>VMJV Polgármesteri Hivatala</t>
  </si>
  <si>
    <t xml:space="preserve"> - Felújítások</t>
  </si>
  <si>
    <t>Finanszírozási kiadások</t>
  </si>
  <si>
    <t>Kiadási főösszeg</t>
  </si>
  <si>
    <t>Veszprémi Petőfi Színház</t>
  </si>
  <si>
    <t>VMJV Polgármesteri Hivatal</t>
  </si>
  <si>
    <t>ISO 9001 minőségbiztosítás karbantartás</t>
  </si>
  <si>
    <t xml:space="preserve"> - Beruházások</t>
  </si>
  <si>
    <t xml:space="preserve"> - Felmentési idő, jub.jut., végkielégítés</t>
  </si>
  <si>
    <t xml:space="preserve"> - Választókerületi keret</t>
  </si>
  <si>
    <t xml:space="preserve"> - Előző évi hitelszerződéshez kapcs. feladat</t>
  </si>
  <si>
    <t xml:space="preserve"> - Felújítási kiadásokra képzett céltartalék</t>
  </si>
  <si>
    <t xml:space="preserve"> - Beruházási kiadásokra képzett céltartalék</t>
  </si>
  <si>
    <t>Foglalkoztatás eü. szolg.</t>
  </si>
  <si>
    <t>Városi Közbiztonság Keret</t>
  </si>
  <si>
    <t>Közbeszerzési eljárások költségei</t>
  </si>
  <si>
    <t>Igazgatás - Állam felé befizetési kötelezettség</t>
  </si>
  <si>
    <t>Többfunkciós csarnok szolgált. vásárlás</t>
  </si>
  <si>
    <t>Forrás SQL fejlesztése</t>
  </si>
  <si>
    <t>Eredeti előirányzat</t>
  </si>
  <si>
    <t>Módosított előirányzat</t>
  </si>
  <si>
    <t>Teljesítés</t>
  </si>
  <si>
    <t>eredeti előirányzat</t>
  </si>
  <si>
    <t>módosított előirányzat</t>
  </si>
  <si>
    <t>2013. évi tény</t>
  </si>
  <si>
    <t xml:space="preserve">Városi Művelődési Központ </t>
  </si>
  <si>
    <t>Fenntartható városfejlesztés Veszprémben KDOP-3.1.1/E-13-002</t>
  </si>
  <si>
    <t xml:space="preserve">  - Pályázati keret</t>
  </si>
  <si>
    <t xml:space="preserve">  - Civil -iroda működési költsége</t>
  </si>
  <si>
    <t xml:space="preserve">  - Civil-díj, Civil nap költségei</t>
  </si>
  <si>
    <t xml:space="preserve"> - Ifjúsági információs feladatok</t>
  </si>
  <si>
    <t>Rekultivációt megelőző telephely fenntartási költségek</t>
  </si>
  <si>
    <t>DAT térképfrissítés, közműnyilvántartás</t>
  </si>
  <si>
    <t>Informatikai szolgáltatások</t>
  </si>
  <si>
    <t>Veszprém Virágváros verseny</t>
  </si>
  <si>
    <t>Veszprémi Tiszti Kaszinó Hagyományőrző Egyesület</t>
  </si>
  <si>
    <t>Belváros komplett gazdasági, szociális, épített örökségvédelmi rehabilitációja és városfejlesztési stratégia elkészítése KDOP-3.1.1/D-2010-0001</t>
  </si>
  <si>
    <t>Tüzér u. - Házgyári u. forgalomba helyezés meghosszabbítása</t>
  </si>
  <si>
    <t>Járda, közvilágítás Magyar Nagyasszonyok Templom mögött</t>
  </si>
  <si>
    <t>Pergola építése és kerti bútor telepítése a pergola alá (Haszkovó u. 16. elé) 4. vk.</t>
  </si>
  <si>
    <t>Simonyi Zsigmond Általános Iskola</t>
  </si>
  <si>
    <t>Önkormányzati bérlakások felújítása</t>
  </si>
  <si>
    <t>V á l a s z t ó k e r ü l e t</t>
  </si>
  <si>
    <t>Beruh.</t>
  </si>
  <si>
    <t>Felúj. és karbantartás</t>
  </si>
  <si>
    <t>Utak-</t>
  </si>
  <si>
    <t>Parkfennt.</t>
  </si>
  <si>
    <t>Települési</t>
  </si>
  <si>
    <t>Város</t>
  </si>
  <si>
    <t>Környezet-</t>
  </si>
  <si>
    <t>Igaz-</t>
  </si>
  <si>
    <t>Sport</t>
  </si>
  <si>
    <t>Civil Szerv.</t>
  </si>
  <si>
    <t>Intézményi</t>
  </si>
  <si>
    <t>Tartalék</t>
  </si>
  <si>
    <t>hidak</t>
  </si>
  <si>
    <t>hulladék</t>
  </si>
  <si>
    <t>Gazdálk.</t>
  </si>
  <si>
    <t>védelmi fel.</t>
  </si>
  <si>
    <t>gatás</t>
  </si>
  <si>
    <t>támogatása</t>
  </si>
  <si>
    <t>támogatás</t>
  </si>
  <si>
    <t>Költségv.</t>
  </si>
  <si>
    <t>Pénzm.</t>
  </si>
  <si>
    <t xml:space="preserve">1. </t>
  </si>
  <si>
    <t xml:space="preserve">3. </t>
  </si>
  <si>
    <t xml:space="preserve">4. </t>
  </si>
  <si>
    <t xml:space="preserve">5. </t>
  </si>
  <si>
    <t xml:space="preserve">6. </t>
  </si>
  <si>
    <t xml:space="preserve">7. </t>
  </si>
  <si>
    <t xml:space="preserve">8. </t>
  </si>
  <si>
    <t xml:space="preserve">9. </t>
  </si>
  <si>
    <t xml:space="preserve">10. </t>
  </si>
  <si>
    <t>Igazgatási tevékenység</t>
  </si>
  <si>
    <t>Gondnokság</t>
  </si>
  <si>
    <t>Informatikai kiadások</t>
  </si>
  <si>
    <t>Temetők üzemeltetésével kapcsolatos feladatok</t>
  </si>
  <si>
    <t>Parkfenntartás</t>
  </si>
  <si>
    <t>Swing-Swing KFt. Szolgáltatás vásárlás</t>
  </si>
  <si>
    <t>Veszprém Megyei Jogú Város Önkormányzata Intézményei</t>
  </si>
  <si>
    <t>Alcím</t>
  </si>
  <si>
    <t>(Csillagvár Waldorf Tagóvoda, Vadvirág Óvoda)</t>
  </si>
  <si>
    <t>Bóbita Körzeti Óvoda</t>
  </si>
  <si>
    <t>(Hársfa Tagóvoda, Bóbita Óvoda)</t>
  </si>
  <si>
    <t>Ringató Körzeti Óvoda</t>
  </si>
  <si>
    <t>(Ringató Óvoda, Erdei Tagóvoda, Kuckó Tagóvoda)</t>
  </si>
  <si>
    <t>Egry úti Körzeti Óvoda</t>
  </si>
  <si>
    <t>(Egry ltp. Óvoda, Nárcisz Tagóvoda)</t>
  </si>
  <si>
    <t>Csillag úti Körzeti Óvoda</t>
  </si>
  <si>
    <t>(Csillag úti Óvoda, Cholnoky ltp. Óvoda)</t>
  </si>
  <si>
    <t>Kastélykert Körzeti Óvoda</t>
  </si>
  <si>
    <t>Működési költségvetési kiadások összesen</t>
  </si>
  <si>
    <t>Felhalmozási költségvetési kiadások összesen</t>
  </si>
  <si>
    <t>Költségvetési kiadások összesen</t>
  </si>
  <si>
    <t>Finanszírozási kiadások összesen</t>
  </si>
  <si>
    <t>ÖSSZES KIADÁS</t>
  </si>
  <si>
    <t>Működési költségvetési bevételek összesen</t>
  </si>
  <si>
    <t>Felhalmozási költségvetési bevételek összesen</t>
  </si>
  <si>
    <t>Finanszírozási bevételek összesen</t>
  </si>
  <si>
    <t>ÖSSZES BEVÉTEL</t>
  </si>
  <si>
    <t>Kertek és Kolostorok működtetése</t>
  </si>
  <si>
    <t>Városi kiemelt fesztiválok</t>
  </si>
  <si>
    <t>Városi lap kiadásai</t>
  </si>
  <si>
    <t>MINDÖSSZESEN:</t>
  </si>
  <si>
    <t>Kamatkiadások</t>
  </si>
  <si>
    <t>Veszprém Megyei Jogú Város Önkormányzata</t>
  </si>
  <si>
    <t>Teljes költség</t>
  </si>
  <si>
    <t xml:space="preserve">Veszprém integrált településfejlesztés, belváros funkcióbővítő rehabilitációja I/B ütem </t>
  </si>
  <si>
    <t>1-17</t>
  </si>
  <si>
    <t>18</t>
  </si>
  <si>
    <t>Veszprémi multifunkcionális közösségi központ kialakítása - AGÓRA Veszprém TIOP-1.2.1.A-12/1-2013-0001</t>
  </si>
  <si>
    <t>Észak-déli közlekedési főtengely kialakítása - Új gyűjtő út kiépítése Veszprémben KDOP-4.2.1/B-11-2012-0032.</t>
  </si>
  <si>
    <t>Szociális városrehabilitáció Veszprémben KDOP-3.1.1/D2-13-k2-2013-0002.</t>
  </si>
  <si>
    <t>„Hivatásforgalmi kerékpárút hálózat fejlesztése a térségi elérhetőség javításához a 8. sz. főközlekedési út tehermentesítése érdekében” KÖZOP-3.2.0/C-08-11-2012-0022</t>
  </si>
  <si>
    <t>nem elszámolható költség</t>
  </si>
  <si>
    <t>Budapest út-Bajcsy Zs. u.-Mártírok útja-Brusznyai u. jelzőlámpás közl. csomópont körforgalmú csomóponttá történő átalakítása kiviteli- és közbeszerzési terveinek elkészítése</t>
  </si>
  <si>
    <t>Remete utcai híd átépítésének tervezése engedélyezése és kivitelezése</t>
  </si>
  <si>
    <t>Fenyves u.-Erdész u. közötti gyalogos átkötés kialakítása</t>
  </si>
  <si>
    <t>Játszótérépítések</t>
  </si>
  <si>
    <t>Műhelyház céljára ingatlan vásárlása</t>
  </si>
  <si>
    <t>Hitel megnevezése</t>
  </si>
  <si>
    <t>Hitelkeret</t>
  </si>
  <si>
    <t>OTP</t>
  </si>
  <si>
    <t>Takarékbank</t>
  </si>
  <si>
    <t>Beruházási hitel - SMO 2011.</t>
  </si>
  <si>
    <t>UniCredit Bank</t>
  </si>
  <si>
    <t xml:space="preserve">Beruházási hitel - Célhitel 2013. </t>
  </si>
  <si>
    <t>Beruházási hitel - MFB 2013.</t>
  </si>
  <si>
    <t>I.</t>
  </si>
  <si>
    <t>Pénzintézetekkel szemben fenálló kötelezettségek összesen</t>
  </si>
  <si>
    <t>Hitelt nyújtó pénzintézet</t>
  </si>
  <si>
    <t>Hitelszerződés dátuma</t>
  </si>
  <si>
    <t>Lejárat idő- pontja</t>
  </si>
  <si>
    <t xml:space="preserve">Egységben az erő! - Óvodafejlesztés Veszprémben TÁMOP-3.1.11.12/2-2012-0026 </t>
  </si>
  <si>
    <t>A gyermekvédelmi szolgáltatások fejlesztése Veszprémben TIOP-3.4.1.B-11/1-2012-0005</t>
  </si>
  <si>
    <t>Veszprém Város Intermodális pályaudvar kialakítása és kapcsolódó közösségi közlekedési fejlesztések KÖZOP-5.5.0-09-11</t>
  </si>
  <si>
    <t>Időarányos normatíva átadása Kozmutza Flóra Óvoda, Ált. Iskola és Spec. Szakiskola és Kollégium és Medgyaszay István Szakképző Isk. részére</t>
  </si>
  <si>
    <t>Napsugár Bölcsőde</t>
  </si>
  <si>
    <t>Hóvirág Bölcsőde</t>
  </si>
  <si>
    <t>Vackor Bölcsőde</t>
  </si>
  <si>
    <t>Módszertani Bölcsőde</t>
  </si>
  <si>
    <t>Aprófalvi Bölcsőde</t>
  </si>
  <si>
    <t>Bakonyi Ház Alpha pályázat önrész</t>
  </si>
  <si>
    <t>Tótvázsony körjegyzőség - 2012. december havi bérkompenzációja</t>
  </si>
  <si>
    <t>Herendi Általános Iskola - 2012. december havi bérkompenzációja</t>
  </si>
  <si>
    <t>Szennyvíz elvezető és tisztító viziközmű rendszer vagyonértékelése</t>
  </si>
  <si>
    <t>Egységben az erő! - Óvodafejlesztés Veszprémben TÁMOP-3.1.11-12/2-2012-0026.</t>
  </si>
  <si>
    <t>Szociális városrehabilitáció Veszprémben KDOP-3.1.1/D2-13-k2-2013-0002</t>
  </si>
  <si>
    <t>ÁROP-1.A.5-2013-2013-0070. Szervezetfejlesztés a Veszprémi Önkormányzatnál</t>
  </si>
  <si>
    <t>Veszprém Megyei Jogú Város Egészségre nevelő és szemléletformáló programjai TÁMOP-6.1.2-11/1-2012-1626 pályázat előlege</t>
  </si>
  <si>
    <t>Civil szervezetek támogatása</t>
  </si>
  <si>
    <t>ebből: ÁFA bevételek és visszatérülések</t>
  </si>
  <si>
    <t>Működési célú tartalék</t>
  </si>
  <si>
    <t>Felhalmozási célú tartalék</t>
  </si>
  <si>
    <t>Intézményi költségvetési kiadások</t>
  </si>
  <si>
    <t>Veszprém MJV településrendezési eszközeinek átfogó felülvizsgálata a 48/2012.(II.24.) VMJVÖK határozatban foglaltak alapján</t>
  </si>
  <si>
    <t>Vámosi úti temető bővítése II. ütem</t>
  </si>
  <si>
    <t>Közvilágítás bővítések</t>
  </si>
  <si>
    <t xml:space="preserve">Erdőtervezés és telepítés </t>
  </si>
  <si>
    <t>Közterületen kivágott fák pótlása</t>
  </si>
  <si>
    <t xml:space="preserve">Utcanévtáblák </t>
  </si>
  <si>
    <t>Közműalagútban lévő közművezeték tartószerkezeteinek cseréje</t>
  </si>
  <si>
    <t>Mobil WC csatlakozások kiépítése</t>
  </si>
  <si>
    <t>Lóczy u. 40. garázs elöntésének megszüntetése</t>
  </si>
  <si>
    <t>Haszkovó u. - Fecske u. csapadékvíz átkötés</t>
  </si>
  <si>
    <t>Óváros tér rendezvény csatlakozó teljesítménybővítés</t>
  </si>
  <si>
    <t>Pápai u.-Jutasi u. belső krt mellékkötelezettségek</t>
  </si>
  <si>
    <t>Egry úti Körzeti Óvoda (Nárcisz Tagóvoda)</t>
  </si>
  <si>
    <t>Városi Művelődési Központ</t>
  </si>
  <si>
    <t>Vadvirág Körzeti Óvoda (Csillagvár Waldorf Tagóvoda)</t>
  </si>
  <si>
    <t>Egyéb működési célú kiadások (tartalékok nélkül)</t>
  </si>
  <si>
    <t>Veszprém MJV Egyesített Bölcsődéje</t>
  </si>
  <si>
    <t>Kabóca Bábszínház és GYKI</t>
  </si>
  <si>
    <t>Intézményi beruházási kiadások összesen</t>
  </si>
  <si>
    <t>Csapadékvíz elvezetési problémák megoldása</t>
  </si>
  <si>
    <t>Játszóeszközök kopásból, elhasználódásból adódó felújítás</t>
  </si>
  <si>
    <t>Elhasználódott labdapályák felújítása és balesetveszély elhárítás</t>
  </si>
  <si>
    <t>Aradi V. úti garázstelepi utak felújítása</t>
  </si>
  <si>
    <t xml:space="preserve">Kertészeti felújítások    </t>
  </si>
  <si>
    <t>Eötvös Károly Megyei Könyvtárban keletkezett vis maior károk helyreállítása</t>
  </si>
  <si>
    <t>Szennyvíztisztító telep felújítása</t>
  </si>
  <si>
    <t>Védett sírok megőrzése</t>
  </si>
  <si>
    <t>Bóbita Körzeti Óvoda (Hársfa Tagóvoda)</t>
  </si>
  <si>
    <t>Csillag úti Körzeti Óvoda (Cholnoky ltp-i Tagóvoda)</t>
  </si>
  <si>
    <t>VMJV Egyesített Bölcsődéje (Aprófalvi Bölcsőde)</t>
  </si>
  <si>
    <t>Szivattyú automatika pótlása</t>
  </si>
  <si>
    <t>Nemenkénti zuhanyzó kialakítása tornatermi öltözőben</t>
  </si>
  <si>
    <t>Szakértői vélemény tornaterem épületszárny süllyedésére és helyreállítás</t>
  </si>
  <si>
    <t>Középiskolai Kollégium</t>
  </si>
  <si>
    <t>Önkormányzati felújítási kiadások összesen</t>
  </si>
  <si>
    <t>Főépület, fűtési rendszer alagsori felszálló ágak kiváltása</t>
  </si>
  <si>
    <t>Intézményi felújítási kiadások összesen</t>
  </si>
  <si>
    <t>Ebből:</t>
  </si>
  <si>
    <t>Önkormányzat által önként vállalt feladatokat ellátó intézmények összesen</t>
  </si>
  <si>
    <t>VMJV Polgármesteri Hivatal által ellátott kötelező és államigazgatási feladatok összesen</t>
  </si>
  <si>
    <t xml:space="preserve">          - Tánc Fesztivál </t>
  </si>
  <si>
    <t>Á</t>
  </si>
  <si>
    <t>Köztemetés</t>
  </si>
  <si>
    <t>Központi orvosi ügyelet (önkormányzatok hozzájárulása)</t>
  </si>
  <si>
    <t>Intézményüzemeltetéssel kapcsolatos kiadások</t>
  </si>
  <si>
    <t xml:space="preserve">Kéményseprési tevékenység támogatása </t>
  </si>
  <si>
    <t xml:space="preserve">Balaton Volán Zrt. helyi közösségi közlekedés közszolgáltatás és veszteségkiegyenlítés </t>
  </si>
  <si>
    <t>Fenntartható városfejlesztési programok előkészítése KDOP-3.1.1/E-13.</t>
  </si>
  <si>
    <t>Ebből: Önkormányzat által ellátott kötelező feladatok összesen:</t>
  </si>
  <si>
    <t>Ebből: Önkormányzat által ellátott önként vállalt feladatok összesen:</t>
  </si>
  <si>
    <t>Á= Állami (államigazgatási) feladatok</t>
  </si>
  <si>
    <t>Társadalmi tudatformálási kampányok (mobilitási hét, "Te Szedd", kerékpárral munkába)</t>
  </si>
  <si>
    <t>Ebből: Önkormányzat által ellátott állami (államigazgatási) feladatok összesen:</t>
  </si>
  <si>
    <t>Polgármesteri Hivatal összesen:</t>
  </si>
  <si>
    <t xml:space="preserve">KDOP-3.1.1/D2-13-k2-2013-0002. Szociális Városrehabilitáció Veszprémben </t>
  </si>
  <si>
    <t>Bevételek összesen</t>
  </si>
  <si>
    <t>Önkormányzati kötelező feladatokat ellátó intézmények összesen</t>
  </si>
  <si>
    <t>Cím</t>
  </si>
  <si>
    <t>1.</t>
  </si>
  <si>
    <t>2.</t>
  </si>
  <si>
    <t>3.</t>
  </si>
  <si>
    <t>4.</t>
  </si>
  <si>
    <t>Gépjárműadó</t>
  </si>
  <si>
    <t>5.</t>
  </si>
  <si>
    <t>6.</t>
  </si>
  <si>
    <t>Kulturális és közművelődési int. összesen</t>
  </si>
  <si>
    <t>INTÉZMÉNYEK ÖSSZESEN</t>
  </si>
  <si>
    <t>VMJV Polgármesteri Hivatal összesen</t>
  </si>
  <si>
    <t>NK</t>
  </si>
  <si>
    <t>Feladatellátás jellege*</t>
  </si>
  <si>
    <t>* Feladatellátás jellege:</t>
  </si>
  <si>
    <t>11.</t>
  </si>
  <si>
    <t>12.</t>
  </si>
  <si>
    <t xml:space="preserve"> - Egyéb felhalmozási célú kiadások</t>
  </si>
  <si>
    <t>Működési finanszírozási kiadások</t>
  </si>
  <si>
    <t>Felhalmozási finanszírozási kiadások</t>
  </si>
  <si>
    <t>Egyéb felhalmozási célú kiadások</t>
  </si>
  <si>
    <t>Költségvetési maradvány, vállalkozási maradvány</t>
  </si>
  <si>
    <t>Finanszírozási kiadásokkal korrigált hiány összege</t>
  </si>
  <si>
    <t>Egyéb működési célú támogatások bevételei</t>
  </si>
  <si>
    <t>Önkormányzatok működési támogatásai</t>
  </si>
  <si>
    <t>Egyéb felhalmozási célú támogatások bevételei</t>
  </si>
  <si>
    <t>(Kastélykert Óvoda, Ficánka Óvoda)</t>
  </si>
  <si>
    <t>Óvodák összesen:</t>
  </si>
  <si>
    <t>Báthory István Általános Iskola</t>
  </si>
  <si>
    <t>Deák Ferenc Általános Iskola</t>
  </si>
  <si>
    <t>Szökőkutak, ivókutak szolgáltatási díjai</t>
  </si>
  <si>
    <t>Dózsa György Általános Iskola</t>
  </si>
  <si>
    <t>Rózsa úti Általános Iskola</t>
  </si>
  <si>
    <t>Gyulaffy László Általános Iskola</t>
  </si>
  <si>
    <t>VMJV Eü. Alapellátási Intézmény</t>
  </si>
  <si>
    <t>VMJV Egyesített Bölcsődéje</t>
  </si>
  <si>
    <t>Egészségügyi és szoc. int. összesen:</t>
  </si>
  <si>
    <t>Lovassy László Gimnázium</t>
  </si>
  <si>
    <t>Vetési Albert Gimnázium</t>
  </si>
  <si>
    <t>Intézményi Szolgáltató Szervezet</t>
  </si>
  <si>
    <t>Eötvös Károly Megyei Könyvtár</t>
  </si>
  <si>
    <t>Laczkó Dezső Múzeum</t>
  </si>
  <si>
    <t>Göllesz Viktor Fogyatékos Személyek Nappali Intézménye</t>
  </si>
  <si>
    <t>VMJV Polgármesteri Hivatal által ellátott kötelező és önként vállalt feladatok</t>
  </si>
  <si>
    <t>Közcélú és közhasznú foglalkoztatás</t>
  </si>
  <si>
    <t>J</t>
  </si>
  <si>
    <t>K</t>
  </si>
  <si>
    <t>L</t>
  </si>
  <si>
    <t>M</t>
  </si>
  <si>
    <t>N</t>
  </si>
  <si>
    <t>Irányító szervtől kapott támogatás</t>
  </si>
  <si>
    <t>Felhalmozási bevétel</t>
  </si>
  <si>
    <t>Felhalmozási célú támogatás Áht.-on belülről</t>
  </si>
  <si>
    <t>Munk.a. terh. jár. és szoc.hj.adó</t>
  </si>
  <si>
    <t>VESZPRÉM MEGYEI JOGÚ VÁROS ÖNKORMÁNYZATÁNAK MŰKÖDÉSI ÉS FELHALMOZÁSI</t>
  </si>
  <si>
    <t>MŰKÖDÉSI KÖLTSÉGVETÉSI BEVÉTELEK</t>
  </si>
  <si>
    <t>MŰKÖDÉSI KÖLTSÉGVETÉSI KIADÁSOK</t>
  </si>
  <si>
    <t>Személyi juttatások</t>
  </si>
  <si>
    <t>Munkaadókat terhelő járulékok és szociális hozzájárulási adó</t>
  </si>
  <si>
    <t>Dologi kiadások</t>
  </si>
  <si>
    <t>Egyéb működési kiadások</t>
  </si>
  <si>
    <t>FELHALMOZÁSI KÖLTSÉGVETÉSI BEVÉTELEK</t>
  </si>
  <si>
    <t>FELHALMOZÁSI KÖLTSÉGVETÉSI KIADÁSOK</t>
  </si>
  <si>
    <t>Felhalmozási célú átvett pénzeszköz</t>
  </si>
  <si>
    <t>MŰKÖDÉSI FINANSZÍROZÁSI BEVÉTELEK</t>
  </si>
  <si>
    <t>MŰKÖDÉSI FINANSZÍROZÁSI KIADÁSOK</t>
  </si>
  <si>
    <t>Hosszú lejáratú hitel felvétele</t>
  </si>
  <si>
    <t>Hosszú lejáratú hitel tőkeösszegének törlesztése</t>
  </si>
  <si>
    <t>Rövid lejáratú hitel felvétele</t>
  </si>
  <si>
    <t>Rövid lejáratú hitel tőkeösszegének törlesztése</t>
  </si>
  <si>
    <t>FELHALMOZÁSI FINANSZÍROZÁSI BEVÉTELEK</t>
  </si>
  <si>
    <t>FELHALMOZÁSI FINANSZÍROZÁSI KIADÁSOK</t>
  </si>
  <si>
    <t>Működési bevételek aránya %-ban</t>
  </si>
  <si>
    <t>Működési kiadások aránya %-ban</t>
  </si>
  <si>
    <t>Felhalmozási bevételek aránya %-ban</t>
  </si>
  <si>
    <t>Felhalmozási kiadások aránya %-ban</t>
  </si>
  <si>
    <t>O</t>
  </si>
  <si>
    <t>P</t>
  </si>
  <si>
    <t>Önkormányzati beruházási kiadások</t>
  </si>
  <si>
    <t>Intézményi beruházási kiadások</t>
  </si>
  <si>
    <t>Önkormányzati felújítási kiadások</t>
  </si>
  <si>
    <t>Intézményi felújítási kiadások</t>
  </si>
  <si>
    <t>Rendszámfelismerő alapszoftver beszerzése (Városi Rendőrkapitányság r. tört. Haszn. adásra) 2., 3., 4., 5., 9. vk.</t>
  </si>
  <si>
    <t>Holokauszt emlékmű</t>
  </si>
  <si>
    <t>lejárat és eszközök szerinti bontásban</t>
  </si>
  <si>
    <t>2015. évi előirányzat</t>
  </si>
  <si>
    <t>2014. évi eredeti előirányzat</t>
  </si>
  <si>
    <t>2014. évi tény</t>
  </si>
  <si>
    <t>Önkormányzat</t>
  </si>
  <si>
    <t>Működési célú költségvetési támogatások és kiegészítő támogatások</t>
  </si>
  <si>
    <t>Vis maior, Egyéb felhalmozási célú támogatás</t>
  </si>
  <si>
    <t>Működési célú költségvetési maradvány igénybevétele</t>
  </si>
  <si>
    <t>H)        KÖTELEZETTSÉGEK (=H/I+H/II+H/III)</t>
  </si>
  <si>
    <t>I)        EGYÉB SAJÁTOS FORRÁSOLDALI ELSZÁMOLÁSOK</t>
  </si>
  <si>
    <t>J)        KINCSTÁRI SZÁMLAVEZETÉSSEL KAPCSOLATOS ELSZÁMOLÁSOK</t>
  </si>
  <si>
    <t>K/1        Eredményszemléletű bevételek passzív időbeli elhatárolása</t>
  </si>
  <si>
    <t>K/2        Költségek, ráfordítások passzív időbeli elhatárolása</t>
  </si>
  <si>
    <t>K/3        Halasztott eredményszemléletű bevételek</t>
  </si>
  <si>
    <t>K)        PASSZÍV IDŐBELI ELHATÁROLÁSOK (=K/1+K/2+K/3)</t>
  </si>
  <si>
    <t xml:space="preserve">FORRÁSOK ÖSSZESEN (=G+H+I+J+K) </t>
  </si>
  <si>
    <t>Intézmény neve</t>
  </si>
  <si>
    <t>Alaptevékenység költségvetési egyenlege</t>
  </si>
  <si>
    <t>Alaptevékenység finanszírozási egyenlege</t>
  </si>
  <si>
    <t>Alaptevékenység maradványa</t>
  </si>
  <si>
    <t>Alaptevékenység kötelezettség-vállalással terhelt maradványa</t>
  </si>
  <si>
    <t>ebből: a tárgyévi évi központi költségvetésből kapott támogatás elszámolásából eredő kötelezettség</t>
  </si>
  <si>
    <t>Alaptevékenység szabad maradványa</t>
  </si>
  <si>
    <t>Városi Művelődési Központ és Könyvtár</t>
  </si>
  <si>
    <t>Kabóca Bábszínház</t>
  </si>
  <si>
    <t>Intézmények összesen:</t>
  </si>
  <si>
    <t>Mindösszesen:</t>
  </si>
  <si>
    <t>az Önkormányzat pénzeszköz változásáról</t>
  </si>
  <si>
    <t>(Tájékoztató adatok az Áht. 91. § (2) bekezdés a) pontja alapján)</t>
  </si>
  <si>
    <t>Sor-szám</t>
  </si>
  <si>
    <t>Összeg       (ezer Ft)</t>
  </si>
  <si>
    <t>ebből:</t>
  </si>
  <si>
    <t xml:space="preserve"> - Bankszámlák egyenlege</t>
  </si>
  <si>
    <t xml:space="preserve"> - Pénztárak és betétkönyvek egyenlege</t>
  </si>
  <si>
    <t>Követelések (+)</t>
  </si>
  <si>
    <t>Egyéb sajátos eszközoldali elszámolások (+)</t>
  </si>
  <si>
    <t>Kötelezettségek (-)</t>
  </si>
  <si>
    <t>Egyéb sajátos forrásoldali elszámolások (-)</t>
  </si>
  <si>
    <t>Veszprém Megyei Jogú Város Önkormányzatának 2015. évi összesített mérlege</t>
  </si>
  <si>
    <t>az Önkormányzat 2015. évi költségvetési maradványáról</t>
  </si>
  <si>
    <t>Pénzkészlet 2015. január 1-jén</t>
  </si>
  <si>
    <t>Záró pénzkészlet 2015. december 31-én</t>
  </si>
  <si>
    <t>és a tulajdoni hányadokról az érintett társaságokban</t>
  </si>
  <si>
    <t>A részvénycsomag, ill.</t>
  </si>
  <si>
    <t>Az Önkormányzat</t>
  </si>
  <si>
    <t>A gazdasági társaság megnevezése</t>
  </si>
  <si>
    <t xml:space="preserve"> mérleg szerinti értéke</t>
  </si>
  <si>
    <t>könyv szerinti értéke</t>
  </si>
  <si>
    <t>tőketart.ba hely. értéke</t>
  </si>
  <si>
    <t>mérleg szerinti értéke</t>
  </si>
  <si>
    <t>„VKSZ” Veszprémi Közüzemi Szolgáltató Zrt.</t>
  </si>
  <si>
    <t>Bakonykarszt Zrt.</t>
  </si>
  <si>
    <t>Balatoni Korona Zrt.</t>
  </si>
  <si>
    <t>Veszprémi Városi Televízió és Lapkiadó Kft.</t>
  </si>
  <si>
    <t>Csarnok Kft.</t>
  </si>
  <si>
    <t xml:space="preserve">Kittenberger Kálmán Növény és Vadaspark Szolgáltató Kiemelten Közhasznú Nonprofit Kft. </t>
  </si>
  <si>
    <t>Veszprémi Egyetem Stadion Szolgáltató            Nonprofit Kft.</t>
  </si>
  <si>
    <t>Pannon TISZK Szakképzés-szervezési Kiemelkedően Közhasznú Nonprofit Kft.</t>
  </si>
  <si>
    <t>Veszprémi Turisztikai Közhasznú Nonprofit Kft.</t>
  </si>
  <si>
    <t>Swing-Swing Kft.</t>
  </si>
  <si>
    <t>Programiroda Kft.</t>
  </si>
  <si>
    <t>Összesen:</t>
  </si>
  <si>
    <t xml:space="preserve">Veszprém Megyei Jogú Város Önkormányzata </t>
  </si>
  <si>
    <t>Vagyonkimutatása</t>
  </si>
  <si>
    <t>[Tájékoztató adatok az Áht. 91. § (2) bekezdés c.) pontja alapján]</t>
  </si>
  <si>
    <t>Eszközök</t>
  </si>
  <si>
    <t>Előző év</t>
  </si>
  <si>
    <t>Változás %-a</t>
  </si>
  <si>
    <t>VMJV Önkormányzat</t>
  </si>
  <si>
    <t>Polgármesteri Hivatal</t>
  </si>
  <si>
    <t>Intézmények összesen</t>
  </si>
  <si>
    <t>01.</t>
  </si>
  <si>
    <t>I. Immateriális javak</t>
  </si>
  <si>
    <t>02.</t>
  </si>
  <si>
    <t>II. Tárgyi eszközök (3+11)</t>
  </si>
  <si>
    <t>03.</t>
  </si>
  <si>
    <t>II/1. Törzsvagyon (4+7+8)</t>
  </si>
  <si>
    <t>04.</t>
  </si>
  <si>
    <t>a./ Forgalomképtelen ingatlanok (5+6))</t>
  </si>
  <si>
    <t>05.</t>
  </si>
  <si>
    <t>1. Ingatlanok és kapcsolódó vagyoni értékű jogok</t>
  </si>
  <si>
    <t>06.</t>
  </si>
  <si>
    <t>2. Folyamatban lévő ingatlan beruházás, felújítás</t>
  </si>
  <si>
    <t>07.</t>
  </si>
  <si>
    <t>b./ Nemzetgazdasági szempontból kiemelt jelentőségű ingatlanok</t>
  </si>
  <si>
    <t>08.</t>
  </si>
  <si>
    <t>c./ Korlátozottan forgalomképes ingatlanok (9+10)</t>
  </si>
  <si>
    <t>09.</t>
  </si>
  <si>
    <t>10.</t>
  </si>
  <si>
    <t>II/2. Üzleti vagyon (12+16)</t>
  </si>
  <si>
    <t>a./ Forgalomképes ingatlanok (13+14+15)</t>
  </si>
  <si>
    <t>13.</t>
  </si>
  <si>
    <t>1. Telkek, zártkerti-és külterületi földterületek</t>
  </si>
  <si>
    <t>14.</t>
  </si>
  <si>
    <t>2. Épületek</t>
  </si>
  <si>
    <t>15.</t>
  </si>
  <si>
    <t>3. Folyamatban lévő ingatlan beruházás, felújítás</t>
  </si>
  <si>
    <t>16.</t>
  </si>
  <si>
    <t>b./ Egyéb tárgyi eszközök (17+18+19+20)</t>
  </si>
  <si>
    <t>17.</t>
  </si>
  <si>
    <t>1. Gépek, berendezések, felszerelések, járművek</t>
  </si>
  <si>
    <t>18.</t>
  </si>
  <si>
    <t>2. Tenyészállatok</t>
  </si>
  <si>
    <t>19.</t>
  </si>
  <si>
    <t>3. Folyamatban lévő egyéb tárgyi eszköz beruházás, felújítás</t>
  </si>
  <si>
    <t>20.</t>
  </si>
  <si>
    <t>4. Tárgyi eszközök értékhelyesbítése</t>
  </si>
  <si>
    <t>21.</t>
  </si>
  <si>
    <t>III. Befektetett pénzügyi eszközök (22+26)</t>
  </si>
  <si>
    <t>22.</t>
  </si>
  <si>
    <t>III/1. Törzsvagyon (23+24)</t>
  </si>
  <si>
    <t>23.</t>
  </si>
  <si>
    <t>a./ Forgalomképtelen</t>
  </si>
  <si>
    <t>24.</t>
  </si>
  <si>
    <t>b./ Korlátozottan forgalomképes (25)</t>
  </si>
  <si>
    <t>25.</t>
  </si>
  <si>
    <t>1. Tartós részesedések</t>
  </si>
  <si>
    <t>26.</t>
  </si>
  <si>
    <t>III/2. Üzleti vagyon (27+28)</t>
  </si>
  <si>
    <t>27.</t>
  </si>
  <si>
    <t>1. Tartós hitelviszonyt megtestesítő értékpapírok</t>
  </si>
  <si>
    <t>28.</t>
  </si>
  <si>
    <t>2. Befektetett pénzügyi eszközök értékhelyesbítése</t>
  </si>
  <si>
    <t>29.</t>
  </si>
  <si>
    <t>IV. Koncesszióba, vagyonkezelésbe adott eszközök</t>
  </si>
  <si>
    <t>30.</t>
  </si>
  <si>
    <t>A.) Nemzeti vagyonba tartozó befektetett  eszközök összesen (1+2+21+29)</t>
  </si>
  <si>
    <t>31.</t>
  </si>
  <si>
    <t>I.  Készletek</t>
  </si>
  <si>
    <t>32.</t>
  </si>
  <si>
    <t>II. Értékpapírok</t>
  </si>
  <si>
    <t>33.</t>
  </si>
  <si>
    <t>B.) Nemzeti vagyonba tartozó forgóeszközök (31+32)</t>
  </si>
  <si>
    <t>34.</t>
  </si>
  <si>
    <t>I.    Lekötött bankbetétek</t>
  </si>
  <si>
    <t>35.</t>
  </si>
  <si>
    <t>II.   Pénztárak, csekkek, betétkönyvek</t>
  </si>
  <si>
    <t>36.</t>
  </si>
  <si>
    <t>III.  Forintszámlák</t>
  </si>
  <si>
    <t>37.</t>
  </si>
  <si>
    <t>IV. Devizaszámlák</t>
  </si>
  <si>
    <t>38.</t>
  </si>
  <si>
    <t>V.  Idegen pénzeszközök</t>
  </si>
  <si>
    <t>39.</t>
  </si>
  <si>
    <t>C.) Pénzeszközök (34+35+36+37+38)</t>
  </si>
  <si>
    <t>40.</t>
  </si>
  <si>
    <t>I.     Költségvetési évben esedékes követelések</t>
  </si>
  <si>
    <t>41.</t>
  </si>
  <si>
    <t>II.   Költségvetési évet követően esedékes követelések</t>
  </si>
  <si>
    <t>42.</t>
  </si>
  <si>
    <t>III. Követelés jellegű sajátos elszámolások</t>
  </si>
  <si>
    <t>43.</t>
  </si>
  <si>
    <t>D.) Követelések összesen (40+41+42)</t>
  </si>
  <si>
    <t>44.</t>
  </si>
  <si>
    <t>I.   December havi illetmények, munkabérek elszámolása</t>
  </si>
  <si>
    <t>45.</t>
  </si>
  <si>
    <t>II. Utalványok, bérletek és más hasonló készpénz-helyettesítő fizetési eszköznek nem minősülő eszközök elszámolásai</t>
  </si>
  <si>
    <t>46.</t>
  </si>
  <si>
    <t>E.) Egyéb sajátos eszközoldali elszámolások (44+45)</t>
  </si>
  <si>
    <t>47.</t>
  </si>
  <si>
    <t>F.) Aktív időbeli elhatárolások</t>
  </si>
  <si>
    <t>48.</t>
  </si>
  <si>
    <t>Eszközök összesen: (30+33+39+43+46+47)</t>
  </si>
  <si>
    <t xml:space="preserve">Források  </t>
  </si>
  <si>
    <t>49.</t>
  </si>
  <si>
    <t>I.    Nemzeti vagyon induláskori értéke</t>
  </si>
  <si>
    <t>50.</t>
  </si>
  <si>
    <t>II.   Nemzeti vagyon változásai</t>
  </si>
  <si>
    <t>51.</t>
  </si>
  <si>
    <t>III.  Egyéb eszközök induláskori értéke és változásai</t>
  </si>
  <si>
    <t>52.</t>
  </si>
  <si>
    <t>IV. Felhalmozott eredmény</t>
  </si>
  <si>
    <t>53.</t>
  </si>
  <si>
    <t>V.  Eszközök értékhelyesbítésének forrása</t>
  </si>
  <si>
    <t>54.</t>
  </si>
  <si>
    <t>VI. Mérleg szerinti eredmény</t>
  </si>
  <si>
    <t>55.</t>
  </si>
  <si>
    <t>G.) Saját tőke összesen (49+50+51+52+53+54)</t>
  </si>
  <si>
    <t>56.</t>
  </si>
  <si>
    <t>I.    Költségvetési évben esedékes kötelezettségek</t>
  </si>
  <si>
    <t>57.</t>
  </si>
  <si>
    <t>II.  Költségvetési évet követően esedékes kötelezettségek</t>
  </si>
  <si>
    <t>58.</t>
  </si>
  <si>
    <t>III. Kötelezettség jellegű sajátos elszámolások</t>
  </si>
  <si>
    <t>59.</t>
  </si>
  <si>
    <t>H.) Kötelezettségek összesen (56+57+58)</t>
  </si>
  <si>
    <t>60.</t>
  </si>
  <si>
    <t>I.) Egyéb sajátos forrásoldali elszámolások</t>
  </si>
  <si>
    <t>61.</t>
  </si>
  <si>
    <t>J.)  Kincstári számlavezetéssel kapcsolatos elszámolások</t>
  </si>
  <si>
    <t>62.</t>
  </si>
  <si>
    <t>K.)  Passzív időbeli elhatárolások</t>
  </si>
  <si>
    <t>63.</t>
  </si>
  <si>
    <t>Források összesen: (55+59+60+61+62)</t>
  </si>
  <si>
    <t>sor-
szám</t>
  </si>
  <si>
    <t>Bruttó érték</t>
  </si>
  <si>
    <t>A/I. Immateriális javak (2+3)</t>
  </si>
  <si>
    <t>"0"-ra leírt, de használatban lévő</t>
  </si>
  <si>
    <t>"0"-ra leírt, használaton kívüli</t>
  </si>
  <si>
    <t>A/II. Tárgyi eszközök (5+8+11+14)</t>
  </si>
  <si>
    <t>1. Ingatlanok és kapcsolódó vagyoni értékű jogok (6+7)</t>
  </si>
  <si>
    <t>2. Gépek, berendezések, felszerelések és járművek (9+10)</t>
  </si>
  <si>
    <t>3. Tenyészállatok (12+13)</t>
  </si>
  <si>
    <t>A/IV. Koncesszióba, vagyonkezelésbe adott eszközök (15+16)</t>
  </si>
  <si>
    <t>ÖSSZESEN (1+4+14)</t>
  </si>
  <si>
    <t>A/I. Immateriális javak</t>
  </si>
  <si>
    <t>A/II. Tárgyi eszközök (3+4+5)</t>
  </si>
  <si>
    <t>2. Gépek, berendezések, felszerelések és járművek</t>
  </si>
  <si>
    <t>3. Tenyészállatok</t>
  </si>
  <si>
    <t>B/I. Készletek (7+8+9+10+11)</t>
  </si>
  <si>
    <t>1. Vásárolt készletek</t>
  </si>
  <si>
    <t>2. Átsorolt, követelés fejében átvett készletek</t>
  </si>
  <si>
    <t>3. Egyéb készletek</t>
  </si>
  <si>
    <t>4. Befejezetlen termelés, félkész termékek, késztermékek</t>
  </si>
  <si>
    <t>5. Növendék-, hízó és egyéb állatok</t>
  </si>
  <si>
    <t>ÖSSZESEN (1+2+6)</t>
  </si>
  <si>
    <t>I. Befektetett eszközök (2+3+4+5)</t>
  </si>
  <si>
    <t>1. Államháztartáson belüli vagyonkezelésbe adott eszközök</t>
  </si>
  <si>
    <t>2. Bérbe vett befektetett eszközök</t>
  </si>
  <si>
    <t>3. Letétbe, bizományba, üzemeltetésre átvett befektetett eszközök</t>
  </si>
  <si>
    <t>4. PPP konstrukcióban használt befektetett eszközök</t>
  </si>
  <si>
    <t>II. Készletek (7+8+9)</t>
  </si>
  <si>
    <t>1. Bérbe vett készletek</t>
  </si>
  <si>
    <t>2. Letétbe, bizományba vett készletek</t>
  </si>
  <si>
    <t>3. Intervenciós készletek</t>
  </si>
  <si>
    <t>ÖSSZESEN (1+6)</t>
  </si>
  <si>
    <t>Képzőművészeti alkotások(kisplasztika)</t>
  </si>
  <si>
    <t>Képzőművészeti alkotások</t>
  </si>
  <si>
    <t>Kép- és hangarchívum</t>
  </si>
  <si>
    <t>Gyűjtemények</t>
  </si>
  <si>
    <t>Kulturális javak</t>
  </si>
  <si>
    <t>Régészeti leletek</t>
  </si>
  <si>
    <t>Összesen (1+2+3+4+5)</t>
  </si>
  <si>
    <t>I. Függő követelések (2+3)</t>
  </si>
  <si>
    <t xml:space="preserve"> </t>
  </si>
  <si>
    <t>1. Támogatási célú előlegekkel kapcsolatos elszámolási követelések</t>
  </si>
  <si>
    <t>2. Egyéb függő követelések</t>
  </si>
  <si>
    <t>II. Biztos (jövőbeni) követelések</t>
  </si>
  <si>
    <t>III. Függő kötelezettségek (6+7+8+9+10)</t>
  </si>
  <si>
    <t>1. Kezességgel-, garanciavállalással kapcsolatos függő kötelezettségek</t>
  </si>
  <si>
    <t>2. Peres ügyekkel kapcsolatos függő kötelezettségek</t>
  </si>
  <si>
    <t>3. El nem ismert tartozások</t>
  </si>
  <si>
    <t>4. Támogatási célú előlegekkel kapcsolatos elszámolási kötelezettségek</t>
  </si>
  <si>
    <t>5. Egyéb függő Kötelezettségek</t>
  </si>
  <si>
    <t>Összesen (1+4+5)</t>
  </si>
  <si>
    <t>2015. december 31-én tulajdonában lévő részvények, üzletrészek névértékéről</t>
  </si>
  <si>
    <t>üzletrész 2014. évi</t>
  </si>
  <si>
    <t>üzletrész 2015. évben</t>
  </si>
  <si>
    <t xml:space="preserve">üzletrész 2015. évi </t>
  </si>
  <si>
    <t>2015. évi</t>
  </si>
  <si>
    <t xml:space="preserve">Az önkormányzat által adott közvetett támogatásokról </t>
  </si>
  <si>
    <t xml:space="preserve">(kedvezményekről) </t>
  </si>
  <si>
    <t>(Tájékoztató adatok)</t>
  </si>
  <si>
    <t>Törvények és helyi rendeletek által nyújtott mentességek, kedvezmények</t>
  </si>
  <si>
    <t>2014. évben</t>
  </si>
  <si>
    <t>Adórendeletek alapján:</t>
  </si>
  <si>
    <t>Adórendeletek alapján összesen:</t>
  </si>
  <si>
    <t>Egyéb közvetett támogatások:</t>
  </si>
  <si>
    <t>Ellátottak térítési díjának illetve kártérítésének méltányossági alapon történő elengedésének összege</t>
  </si>
  <si>
    <t>Lakosság részére lakásépítéshez, lakásfelújításhoz nyújtott kölcsönök elengedésének összege</t>
  </si>
  <si>
    <t>Helyiségek, eszközök hasznosításából származó bevételből nyújtott kedvezmény, mentesség összege</t>
  </si>
  <si>
    <t>Követelések elengedése</t>
  </si>
  <si>
    <t>Egyéb nyújtott kedvezmény vagy kölcsön elengedésének összege</t>
  </si>
  <si>
    <t>2015. évben</t>
  </si>
  <si>
    <t>Államháztartáson belüli megelőlegezések</t>
  </si>
  <si>
    <t>"Hivatásforgalmi kerékpárút hálózat fejlesztése a térségi elérhetőség javításához a 8. sz. főközlekedési út tehermentesítése érdekében" KÖZOP-3.2.0/C-08-11-2012-0022</t>
  </si>
  <si>
    <t>Kubinyi Ágoston program</t>
  </si>
  <si>
    <t>Városépítészeti feladatok - tablet, ASZA Munkaállomás</t>
  </si>
  <si>
    <t>Kézbilincs, gumibot, fényképezőgép (Közterület Felügyelet - gyepmesteri telep</t>
  </si>
  <si>
    <t>Földterület vásárlás (csere)</t>
  </si>
  <si>
    <t>Család és gyermekjóléti központok egyszeri támogatása - beruházási, felújítási kiadásokra</t>
  </si>
  <si>
    <t>Egyedi gyártású öltözőszekrény 10 fő részére 3 db</t>
  </si>
  <si>
    <t>Sporteszköz</t>
  </si>
  <si>
    <t>Kombi pároló készülék</t>
  </si>
  <si>
    <t>Kisértékű tárgyi eszközök (porszívó)</t>
  </si>
  <si>
    <t>NKA 3905/00502. Technológiai eszközfejlesztés</t>
  </si>
  <si>
    <t>NKA 3909/00700. Boros - Birkás egy-egy alkotás I. részlet</t>
  </si>
  <si>
    <t>NKA: 3909/00700 Boros - Birkás egy-egy alkotás II. részlet</t>
  </si>
  <si>
    <t>Kórház rendelőintézet épület 3. emeletének belső átalakítása ideiglenes orvosi rendelő elhelyezés érdekében</t>
  </si>
  <si>
    <t xml:space="preserve">Csiga csoport mosdójának felúj. (foly. dugulás, csöpögés, repedezett csempe </t>
  </si>
  <si>
    <t>Babaház</t>
  </si>
  <si>
    <t>Laptop</t>
  </si>
  <si>
    <t>Számítógép konfiguráció</t>
  </si>
  <si>
    <t>Veszprémi Egry úti Körzeti Óvoda (Nárcisz tagóvoda)</t>
  </si>
  <si>
    <t>Kisértékű tárgyi eszközök (Vasaló, kávéfőző, fénymásoló, szárítóállvány)</t>
  </si>
  <si>
    <t>Élelmezési program, számítástechnikai eszköz</t>
  </si>
  <si>
    <t>ISPOST étkezési nyilvántartó szoftver</t>
  </si>
  <si>
    <t>Támogatás évközi változás Május 15.</t>
  </si>
  <si>
    <t>A 05. űrlap alapján a támogatási jogcímhez kapcsolódó kormányzati funkció szerinti kiadások összege</t>
  </si>
  <si>
    <t>I. 1. A települési önkormányzatok működésének támogatása</t>
  </si>
  <si>
    <t>II. A települési önkormányzatok egyes köznevelési feladatainak támogatása, a II.4. és II.5. jogcímek kivételével</t>
  </si>
  <si>
    <t>II. 5. Kiegészítő támogatás az óvodapedagógusok minősítéséből adódó többletfeladatokhoz</t>
  </si>
  <si>
    <t>III. 4. A települési önkormányzatok által biztosított egyes szociális szakosított ellátások, valamint a gyermekek átmeneti gondozásával kapcsolatos feladatok támogatása</t>
  </si>
  <si>
    <t>Az önkormányzatok általános, köznevelési és szociális feladataihoz kapcsolódó támogatások elszámolása</t>
  </si>
  <si>
    <t>Előző évi költségvetési marad</t>
  </si>
  <si>
    <t>Beázások megszüntetése Fogadótér, lépcsőház, ruhatár (új épület)</t>
  </si>
  <si>
    <t>Nyílászáró csere a helytörténeti múzeumban és beázás megszüntetés</t>
  </si>
  <si>
    <t>Rózsa utca 48. belső átalakítások</t>
  </si>
  <si>
    <t>Cserhát ltp.1.  átalakítása házi orvosi rendelőkké</t>
  </si>
  <si>
    <t>Cholnoky u. 19. gyerek rendelő váró járólapozása, vizesblokk felújítása</t>
  </si>
  <si>
    <t>Március 15. u. 4/B. felnőtt rendelő járólapozása</t>
  </si>
  <si>
    <t>Ördögárok u. 5. gyerek rendelő tető javítása a folyamatos beázás miatt</t>
  </si>
  <si>
    <t>Halle u. 5/F. felnőtt rendelő felújítás befejező ütem</t>
  </si>
  <si>
    <t>Jutasi 59. rendelő felülvilágító ablakcsere befejezés</t>
  </si>
  <si>
    <t>Családsegítő és Gyermekjóléti Központ</t>
  </si>
  <si>
    <t>Felázott főfalak vizesedése miatt szakvélemény készítés</t>
  </si>
  <si>
    <t>Nagy László u. 4. sz. alatti lelki segélyszolgálat</t>
  </si>
  <si>
    <t>Lelki segélyszolgálat belső felújítása</t>
  </si>
  <si>
    <t>VKTT Egyesített Szociális Intézmény</t>
  </si>
  <si>
    <r>
      <rPr>
        <b/>
        <sz val="11"/>
        <rFont val="Palatino Linotype"/>
        <family val="1"/>
      </rPr>
      <t>Völgyikút utca 2</t>
    </r>
    <r>
      <rPr>
        <sz val="11"/>
        <rFont val="Palatino Linotype"/>
        <family val="1"/>
      </rPr>
      <t>. - Nyílászárók cseréje</t>
    </r>
  </si>
  <si>
    <t>vizesblokk felújítás</t>
  </si>
  <si>
    <t>Iktatási irodánál elmozdult fal helyreállítás</t>
  </si>
  <si>
    <t xml:space="preserve">B épület alagsor belső felújítás szellőzés </t>
  </si>
  <si>
    <t>Színház lapostető vízszigetelésének javítása, cseréje beázások miatt</t>
  </si>
  <si>
    <t>Játékszín tetőjavítása</t>
  </si>
  <si>
    <t>Színészház tetőjavítása</t>
  </si>
  <si>
    <t>Számítástechnikai rendszerfejlesztés</t>
  </si>
  <si>
    <t>Büfé melletti vakolat szigetelése</t>
  </si>
  <si>
    <t>Kazán felújítás befejezése</t>
  </si>
  <si>
    <t>Lift felújítás</t>
  </si>
  <si>
    <t>Motorfelújítás</t>
  </si>
  <si>
    <t>Táborállás park 1. felújítási munkák</t>
  </si>
  <si>
    <t>Erzsébet sétány illemhely felújítás</t>
  </si>
  <si>
    <t>Felújítási kiadások mindösszesen</t>
  </si>
  <si>
    <t>Költségvetési egyenleg összege</t>
  </si>
  <si>
    <t>ebből működési:</t>
  </si>
  <si>
    <t>ebből felhalmozási:</t>
  </si>
  <si>
    <t>Párátlanító, üvegajtós szekrény, merülő szivattyú</t>
  </si>
  <si>
    <t>ISPOST élelmezési, étkezési program</t>
  </si>
  <si>
    <t>Örmény kőkereszt alapozás, felállítás</t>
  </si>
  <si>
    <t xml:space="preserve">Rövid lejáratú hitel </t>
  </si>
  <si>
    <t>Beruházási hitel  - MFB 2014</t>
  </si>
  <si>
    <t>Beruházási hitel - Célhitel 2014</t>
  </si>
  <si>
    <t>Hiány belső finanszírozására szolgáló bevételek</t>
  </si>
  <si>
    <t>Hiány külső finanszírozására szolgáló bevételek</t>
  </si>
  <si>
    <t>I. Világháborús Centenáriumi Emlékezés költségei</t>
  </si>
  <si>
    <t>Ingatlanhasznosítással összefüggő hatósági és igazgatási díjak (Földhivatali eljárások)</t>
  </si>
  <si>
    <t>Amerikai Kuckó támogatása: számítógép, laptopok, Smart TV-k, fotelok, székek, licencek beszerzése</t>
  </si>
  <si>
    <t>Belső finanszírozásra szolgáló költségvetési maradvány összegével korrigált hiány/többlet</t>
  </si>
  <si>
    <t>Külső finanszírozásra szolgáló költségvetési bevételek összegével korrigált hiány/többlet</t>
  </si>
  <si>
    <t>Bevételeinek 2015. évi teljesítése</t>
  </si>
  <si>
    <t>Kiadásainak 2015. évi teljesítése</t>
  </si>
  <si>
    <t>Önkormányzati feladatok és egyéb kötelezettségek 2015. évi teljesítése</t>
  </si>
  <si>
    <t>2015. évi beruházások és egyéb felhalmozási kiadások 2015. évi teljesítése</t>
  </si>
  <si>
    <t>Felújítási kiadásainak 2015. évi teljesítése</t>
  </si>
  <si>
    <t>Veszprém Megyei Jogú Város Önkormányzata 2015. évi hitelállományának és azok törlesztésének alakulásáról</t>
  </si>
  <si>
    <t>2015. évi teljesítés</t>
  </si>
  <si>
    <t>A választókerületi alap 2015. évi teljesítése</t>
  </si>
  <si>
    <t>2015. december 31</t>
  </si>
  <si>
    <t>adatok Ft-ban</t>
  </si>
  <si>
    <t>Költségvetési törvény alapján feladatátvétellel / feladatátadással korrigált támogatás</t>
  </si>
  <si>
    <t>Támogatás évközi változás Október 15.</t>
  </si>
  <si>
    <t>Tényleges támogatás</t>
  </si>
  <si>
    <t>Évvégi eltérés (+;-) mutatószám szerint támogatás                 (=6-(3+4+5))</t>
  </si>
  <si>
    <t>Az önkormányzat által az adott célra december 31-ig ténylegesen felhasznált összeg</t>
  </si>
  <si>
    <t>Eltérés            (támogatásban és felhasználás szerint) (=7-(6-8))</t>
  </si>
  <si>
    <t>1</t>
  </si>
  <si>
    <t>01</t>
  </si>
  <si>
    <t>02</t>
  </si>
  <si>
    <t>I. 2. Nem közművel összegyűjtött háztartási szennyvíz ártalmatlanítása</t>
  </si>
  <si>
    <t>03</t>
  </si>
  <si>
    <t>04</t>
  </si>
  <si>
    <t>05</t>
  </si>
  <si>
    <t>III. 3. Egyes szociális és gyermekjóléti feladatok támogatása</t>
  </si>
  <si>
    <t>06</t>
  </si>
  <si>
    <t>07</t>
  </si>
  <si>
    <t>III. 5. Gyermekétkeztetés támogatása</t>
  </si>
  <si>
    <t>08</t>
  </si>
  <si>
    <t>2015. év</t>
  </si>
  <si>
    <t>ű</t>
  </si>
  <si>
    <t xml:space="preserve">Veszprémi Vadvirág Körzeti Óvoda </t>
  </si>
  <si>
    <t>Veszprémi Bóbita Körzeti Óvoda</t>
  </si>
  <si>
    <t>Veszprémi Ringató Körzeti Óvoda</t>
  </si>
  <si>
    <t>Veszprémi Egry úti Körzeti Óvoda</t>
  </si>
  <si>
    <t>Veszprémi Csillag úti Körzeti Óvoda</t>
  </si>
  <si>
    <t>Veszprémi Kastélykert Körzeti Óvoda</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</si>
  <si>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</si>
  <si>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</si>
  <si>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</si>
  <si>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</si>
  <si>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</si>
  <si>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</si>
  <si>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"Pannon-Tudás-Park" TÁMOP-4.2.1C-14/1/Konv.</t>
  </si>
  <si>
    <t>Nyári diákmunka</t>
  </si>
  <si>
    <t>ebből: Veszprémi Rendőrkapitányság támogatása (Utcazene-fesztivál és más városi rendezvények)</t>
  </si>
  <si>
    <t>Kárpátaljai települések támogatása (Visk, Szalóka) (nehéz helyzetbe került kárpátaljai magyarok szociális támogatására)</t>
  </si>
  <si>
    <t>Gyulaffy László Alapítvány</t>
  </si>
  <si>
    <t>Pannon Várszínház támogatása</t>
  </si>
  <si>
    <t>Észak-Balatoni Térség Regionális Települési Szilárdhulladék kezelési Önkormányzati Társulás - visszatérítendő támogatás</t>
  </si>
  <si>
    <t>Uszodaépítés előkészítése</t>
  </si>
  <si>
    <t>Kolostorok és Kertek a Veszprémi Vár tövében lévő Jezsuita templom vagyonkezelésből adódó elszámolás</t>
  </si>
  <si>
    <t>Energiastratégia felülvizsgálata</t>
  </si>
  <si>
    <t>Bízzunk az új nemzedékben ÁROP-1.A.6-2013-2013-005</t>
  </si>
  <si>
    <t>Veszprém Integrált településfejlesztés, belváros funkcióbővítő rehabilitációja I/B. ütem</t>
  </si>
  <si>
    <t>Beruházáshoz kapcsolódó működési kiadások:</t>
  </si>
  <si>
    <t>Végleges forgalomba helyezéshez szükséges ingatlanrendezés</t>
  </si>
  <si>
    <t>Út,-járda, parkoló építések tervezési munkái</t>
  </si>
  <si>
    <t>Lovassy László Gimnázium napóra elhelyezés</t>
  </si>
  <si>
    <t>Erdész utca csapadékvízcsatorna tervezés, engedélyezés</t>
  </si>
  <si>
    <t>Budapest út-Bajcsy Zs. u.-Mártírok útja-Brusznyai u. jelzőlámpás közl. Csp. körforgalmú csomóponttá történő átalakítása kiviteli- és közbeszerzési terveinek elkészítése</t>
  </si>
  <si>
    <t>Vögyikút utca orvosi rendelő és demens foglalkoztató - tervezési feladatok</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</si>
  <si>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</si>
  <si>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</si>
  <si>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</si>
  <si>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</si>
  <si>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</si>
  <si>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</si>
  <si>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</si>
  <si>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</si>
  <si>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</si>
  <si>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</si>
  <si>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</si>
  <si>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</si>
  <si>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</si>
  <si>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</si>
  <si>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</si>
  <si>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</si>
  <si>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</si>
  <si>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</si>
  <si>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Dózsa György Általános Iskola - Koncepció a teljes felújításra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</si>
  <si>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</si>
  <si>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</si>
  <si>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</si>
  <si>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</si>
  <si>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Hajókonténer telepítése és bérlése 1 tanterem átmeneti biztosítása érdekében</t>
  </si>
  <si>
    <t>H. Botev Általános Iskola - Intézmény bővítése tanulmányterv készítés</t>
  </si>
  <si>
    <t>H. Botev Általános Iskola - "B" épület emeletráépítéshez tervdokumentáció készítés</t>
  </si>
  <si>
    <t>H. Botev Általános Iskola - Belső udvar felújítás</t>
  </si>
  <si>
    <t>Kossuth Lajos Ált.Isk.-Pincében vakolat csere, É-i oldal drénezésével együtt (penészedés m.)</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</si>
  <si>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</si>
  <si>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</si>
  <si>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</si>
  <si>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</si>
  <si>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</si>
  <si>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</si>
  <si>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</si>
  <si>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</si>
  <si>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</si>
  <si>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</si>
  <si>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</si>
  <si>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Cserhát ltp. 1. védőnői tanácsadó és gyermekorvosi rendelő felújítása, kialakítása</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</si>
  <si>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</si>
  <si>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</si>
  <si>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</si>
  <si>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</si>
  <si>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</si>
  <si>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</si>
  <si>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</si>
  <si>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</si>
  <si>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</si>
  <si>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módosítás -</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</si>
  <si>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</si>
  <si>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</si>
  <si>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</si>
  <si>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</si>
  <si>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Veszprém MJV Völgyikút utca 2. 2539. hrsz-ú ingatlanra vonatkozó szabályozási paraméterek felülvizsgálata</t>
  </si>
  <si>
    <t>Kádár Tibor festmény</t>
  </si>
  <si>
    <t>Zászlóvitrin</t>
  </si>
  <si>
    <t>Uszodaépítés előkészítés - csarnok tanulmány készítés</t>
  </si>
  <si>
    <t>Kubinyi Ágoston Program</t>
  </si>
  <si>
    <t>Járásszékhely települési önkormányzatok által fenntartott múzeumok szakmai támogatása</t>
  </si>
  <si>
    <t>2. vk. Iskolabútorok beszerzése (Deák F. Ált. Iskola részére)</t>
  </si>
  <si>
    <t>4. vk. Iskolabútorok beszerzése (Deák F. Ált. Iskola részére)</t>
  </si>
  <si>
    <t>5. vk. 2 db Térfigyelő kamera telepítése</t>
  </si>
  <si>
    <t>7. vk. Cholnoky Iskola WIFI-hálózatának bővítése</t>
  </si>
  <si>
    <t>Fényképezőgép (Településfejlesztési feladatok)</t>
  </si>
  <si>
    <t>Erősítő (Családi Ünnepek szervezése)</t>
  </si>
  <si>
    <t>Bérlőkijelölési jog vásárlás</t>
  </si>
  <si>
    <t>Köznevelési intézmények fenntartásához kapcsolódó kisértékű tárgyi eszközök (szauna kályha, szerszámok, popszegecshúzó, lemezfúró, sarokcsiszoló, kézszárító)</t>
  </si>
  <si>
    <t>Veszprém Közösségi Lakásügynökség Nonprofit Kft. létrehozásával kapcsolatos költségek - törzstőke befizetés</t>
  </si>
  <si>
    <r>
      <t xml:space="preserve">Út,-járda, parkoló építések tervezési munkái </t>
    </r>
    <r>
      <rPr>
        <i/>
        <sz val="10"/>
        <rFont val="Palatino Linotype"/>
        <family val="1"/>
      </rPr>
      <t>(Kiskőrösi u.,</t>
    </r>
    <r>
      <rPr>
        <i/>
        <strike/>
        <sz val="10"/>
        <rFont val="Palatino Linotype"/>
        <family val="1"/>
      </rPr>
      <t xml:space="preserve"> </t>
    </r>
    <r>
      <rPr>
        <i/>
        <sz val="10"/>
        <rFont val="Palatino Linotype"/>
        <family val="1"/>
      </rPr>
      <t>Gyulafirátót - Németh u, Prépost u., Kerti u. útrekonstrukció;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t>
    </r>
  </si>
  <si>
    <r>
      <t xml:space="preserve">Út,-járda, parkoló építések tervezési munkái </t>
    </r>
    <r>
      <rPr>
        <i/>
        <sz val="10"/>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</si>
  <si>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Kisértékű tárgyi eszközök (6 db tálalókocsi, folyósóra 1 db komolyabb ipari porszívó, vasaló deszka 1 db, vasaló 2 db, óvodai kisbútorok: játékasztal, polcok, óvodai szekrények, polcok csoportszobába, irodai bútorok, babaház, óvodai szekrények folyosóra, irodába, irattárba, szárítógép)</t>
  </si>
  <si>
    <t>Kisértékű tárgyi eszközök (biztonsági kapuzár nagykapuhoz, szekrény, irodai székek, mini konyha, csoportszobai szekrények)</t>
  </si>
  <si>
    <t>Veszprémi Vadvirág Körzeti Óvoda</t>
  </si>
  <si>
    <t>Veszprémi Vadvirág Körzeti Óvoda (Csillagvár Waldorf Tagóvoda)</t>
  </si>
  <si>
    <t>Veszprémi Bóbita Körzeti Óvoda (Bóbita Óvoda)</t>
  </si>
  <si>
    <t>Kisértékű tárgyi eszközök (mosógép, 10 db porszívó, 4 db vasaló, robotgép, szeletelő, szőnyeg 5 csoportba, tornapad 2 db, tornaszivacs csere 2 db, diavetítő 2 db, nevelői szék 24 db, nevelői bútor 6db, íróasztal 8db, polc 1 db,dohányzóasztal 1db, zománcozott tepsi, öltözőszekrény 5db, függöny 1db, iratszekrény 3 db, tornaszőnyeg 2 db, tornapad 2 db, főzőedény 30-50 literes 2-2db, 3 db létra, 1db telefonközp., 3 db gyerm. konyhai berendezés, gyermek mosógép)</t>
  </si>
  <si>
    <t>Veszprémi Bóbita Körzeti Óvoda (Hársfa Tagóvoda)</t>
  </si>
  <si>
    <t>Kisértékű tárgyi eszközök (2 db porszívó, hűtő, dohányzóasztal 1 db, irodai bútor 4 db, fali napellenző 2 db, homokozó fölé árnyékoló 1 db, szőnyeg 9 db, udvari szemetes, 5 db Öltözőszekr., 3 db iratszekr.)</t>
  </si>
  <si>
    <t>Kisértékű tárgyi eszközök (telefonos fax készülék, mosógép 1 db LG, tálaló kocsi 10 db, csoportszőnyeg 10 db, napernyő homokozó fölé 5 db legalább 3 m-es, villanyzsámoly, mosogatógép, varrógép, élelmezési program, étkezési program, mosogatógéphez vízlágyító készülék + kosár, locsolóberendezés, bútor, szőnyeg, függöny, tepsi tartó regál,4db asztali lámpa, 3 db porszívó, 31 db zuhanyfüggöny,nagyteljesítményű gőztisztító, gőzölős vasaló,15 db ventilátor, beépített szekrény, babzsák fotel 1db, hősugárzó 6 db)</t>
  </si>
  <si>
    <t>Babaház 5 fb</t>
  </si>
  <si>
    <t>Veszprémi Ringató Körzeti Óvoda (Kuckó Tagóvoda)</t>
  </si>
  <si>
    <t>Kisértékű tárgyi eszközök (napernyő homokozó fölé legalább 3 m-es 5 db, mosógép, 2 db Porszívó, 1.db asztali lámpa, szőnyeg, tálaló kocsi, címer)</t>
  </si>
  <si>
    <t>Veszprémi Ringató Körzeti Óvoda (Erdei Tagóvoda)</t>
  </si>
  <si>
    <t>Kisértékű tárgyi eszközök (tálalókocsi, napernyő homokozó fölé, élelmezési progr., étkezési progr., 2 db porszívó, 1 db asztali lámpa, gőzölő, nyomtató, szék, konyhai gép, edény, vasaló állv., címer )</t>
  </si>
  <si>
    <t>Kisértékű tárgyi eszközök (gázzsámoly; kisgépek: hűtőgép, vasaló,kávéfőző, mikrohullámú sütő, porszívó; 1 db saválló tálalókocsi; óvodai fektető mozgássérült gyermek esetén kemény ágybetéttel - decubitus matrac; 4 db gyerekszék mozgássérült gyermek részére - állítható magasságú, lábtartóval, ülőkével; 4 db gyermekasztal mozgássérült gyermek részére - állítható magasságú, dönthető lapú, peremes, egyszemélyes óvodai asztal, konyhai edények és felszerelések, udvari és beltéri játékok, játszóeszközök)</t>
  </si>
  <si>
    <t>Konyhagép</t>
  </si>
  <si>
    <t>Udvari mászóvár 2 db</t>
  </si>
  <si>
    <t xml:space="preserve">Veszprémi Csillag úti Körzeti Óvoda </t>
  </si>
  <si>
    <t>Kisértékű tárgyi eszközök (2 db gőzölős vasaló; 24 db szőnyeg 8 csoportszobába,szőnyegek, függönyök 4 csoportba, reluxa 16 db, szakmai játékok mini hifi 4 db, tisztázógép, varrógép, porszívó 5 db, hűtőgép, asztali telefon, szőnyegtisztító gép, sporteszközök, tálalókocsi 4 db, postaláda, asztalok, székek 40 db, több elemes irodabútorok, létra 18 db, konyhaszekrény, beépített szekrénysor, párakapu acél tartószerkezetének telepítése, blokkmodul készlet pihenő,egyensúly és alagút, színes TV, irodaszék 1db, fotel 2 db, íróasztal 3 db földszinti, emeleti óvónői szekrénysorra magasító rész,ventilátor 8 db)</t>
  </si>
  <si>
    <t>Veszprémi Csillag úti Körzeti Óvoda (Cholnoky Jenő Tagóvoda)</t>
  </si>
  <si>
    <t>Kisértékű tárgyi eszközök (2 db porszívó, vasaló deszka, függönyök, gumiszőnyeg, varrógép, tálalókocsi, postaláda, létrák, állványos vetítővászon, takarítógép, mini hifi, zsúrkocsi, szőnyeg, forgószék, szekrény, komód, asztal, asztali telefon, futóbicikli, biciklik, bukósisak, kresztábla készlet, automata mosógép, színes TV, kishűtő, ventilátorok, vasalók)</t>
  </si>
  <si>
    <t>Dajka öltözőszekrénysor magasító résszel</t>
  </si>
  <si>
    <t>Kisértékű tárgyi eszközök (gyerek WC ülőke 9 db,  felnőtt WC ülőke 2 db, óvodai asztal 6 db, óvodai szék 30 db,rugós játék, páramentesítő, polcok, komódok, babaszoba, függöny, fonott játéktartó 10 db, mobiltelefon, porszívó, vágógép, mikrohullámú sütő, kávéfőző, vezeték nélküli egér 5 db, címer, WC paraván, poharak, hűtőgép, szekrénysor 8 db, kisszekrény 4 db, kiskonyha 4 db, felengedős hűtő)</t>
  </si>
  <si>
    <t>Számítógép, laptopok, Ispost étkezési nyilvántartó szoftverek, laminálógép, spirálozógép</t>
  </si>
  <si>
    <t>Veszprémi Kastélykert Körzeti Óvoda (Ficánka Tagóvoda)</t>
  </si>
  <si>
    <t>Kisértékű tárgyi eszközök (Mosógép - Whirpool, szivacslabda 30 db, iratmegsemmisítő, gyerekszékek 30db, mikrohullámú sütő, laptop 1 db, címer, varrógép, fésülködő szekrény, íróasztal, vezeték nélküli egér 1db)</t>
  </si>
  <si>
    <t>Kisértékű tárgyi eszközök (10 db vérnyomásmérő, 10 db vérnyomásmérő mandzsetta sorozat, 4 db pelenkázó asztal, 5 db csecsemőmérleg, fogászati ügyelet vákuumos eszköz csomagoló, fogászati ügyelet fóliázógép, vezetékes telefon)</t>
  </si>
  <si>
    <t>Fogászati sterilizátor (fogászati ügyelet)</t>
  </si>
  <si>
    <t>Konyhai (kombi párolók) és szakmai eszközök</t>
  </si>
  <si>
    <t>Kisértékű tárgyi eszközök (székek 20 db, kávéfőző, mikrohullámú sütő, számítógép, monitor, irodai bútor, polc, konyhai berendezés, függöny, irodai és konyhai berendezés, felszerelés, téli gumi felnivel)</t>
  </si>
  <si>
    <t>Kisértékű tárgyi eszközök (függöny, karnis, 6 db zárható szekrény, sínrendszer a kiállításokhoz, színpadgépészeti berendezések költségkülönbözete, videó ügyelői rendszer, színpadi ügyelői szekrény, új bútorzat előcsarnokba, emeleti előcsarnokba, színházterem padló csiszolása, festése, új bútorzat előcsarnokba, emeleti előcsarnokba)</t>
  </si>
  <si>
    <t>Ford Transit gépkocsi lízingdíja</t>
  </si>
  <si>
    <t>Kisértékű tárgyi eszközök (csavarbehajtó, fúrógép, fémtároló szekrény, online pénztárgép 3 db, mobil telefonok, mozgásérzékelő, párásító ventilátor)</t>
  </si>
  <si>
    <t>Számítógép konfiguráció, monitor, office 2013.Win7 programok, Samsung Galaxi Tablet, számítógép Office</t>
  </si>
  <si>
    <t>NKA pályázat (kombó szett (vevő, zsebadó,mikrofon, Transformer Book, digitális konvertáló csatlakozó)</t>
  </si>
  <si>
    <t>Könyvszekrény</t>
  </si>
  <si>
    <t>Kisértékű tárgyi eszközök (merülő szivattyú, hűtőszekrény, könyvszállító, hangosító berendezés Márc.15. u. könyvtár, 5vk. Könyvtári bútorok, takarítógép)</t>
  </si>
  <si>
    <t>Kisértékű tárgyi eszközök (3 db online pénztárgép beszerzése, polcrendszer, hordozható HDD, vevőkijelző, villanybojler, kávéfőző, vízforraló, kerti bútor Várkapu projekthez, 3 db Szék, fúró-csiszológép, keverő pult, állólétra,Philips TV, 2db Szalagos összeadó gép, porszívók, készletnyilvántartó program, fényképezőgép, szalagfűrész, marógép, mosógép, kávéfőző, szerszámosládák, 2 db. mobiltelefon, Tűztorony zenelejátszóhoz hangfal, erősítő)</t>
  </si>
  <si>
    <t>Nívódíj - 5 db Táblagép</t>
  </si>
  <si>
    <t>NKA pályázat (Optimális környezet eszközbeszerzés)</t>
  </si>
  <si>
    <t>NKA pályázat (Állományvédelem eszközbeszerzés)</t>
  </si>
  <si>
    <t>Tűztorony zenelejátszó rendszer</t>
  </si>
  <si>
    <t>Beléptető rendszer Török I. u. Erzsébet sétány</t>
  </si>
  <si>
    <t>Bútortároló (Történeti osztály)</t>
  </si>
  <si>
    <t>Várbörtön kiállítás hangtechnikai rendszer</t>
  </si>
  <si>
    <t>Szerverek (2 db) cseréje és egyéb informatikai eszközbeszerzés</t>
  </si>
  <si>
    <t>Irodabútor beszerzés</t>
  </si>
  <si>
    <t>Homokfújó berendezés</t>
  </si>
  <si>
    <t>Vákuumszekrény</t>
  </si>
  <si>
    <t>Páramentesítő berendezés 2 db Várbörtön kiállításhoz</t>
  </si>
  <si>
    <t>Defensor 2 db állandó kiállításhoz</t>
  </si>
  <si>
    <t>Rendezvénysátor</t>
  </si>
  <si>
    <t>Lemez szekrény</t>
  </si>
  <si>
    <t>Szárítóállvány</t>
  </si>
  <si>
    <t>Kiállító vitrin 4 db állandó kiállításhoz</t>
  </si>
  <si>
    <t>Képrögzítő rendszer időszaki kiállításokhoz</t>
  </si>
  <si>
    <t>Műtárgymásolatok készítéséhez 3 D nyomtató</t>
  </si>
  <si>
    <t>Kisértékű tárgyi eszközök (székek 50 db, balettszőnyeg, fényképezőgép és videokamera, laminálógép, monitor, mikrofon 2db, fényvezérlőpult, keverőpult, mikroport kapszula 2 db, csiptetős mikrofon 2db, nanokontroll, számítógép felújítása, Magic DMX Full világítástechnikai eszköz)</t>
  </si>
  <si>
    <t>Óvodafejlesztés, az óvodapedagógia strukturális feltételrendszerének továbbfejl. TIOP-3.1.11-12/2-2012-0026</t>
  </si>
  <si>
    <t>Az Észak-déli közlekedési főtengely kialakítása - Új gyűjtő út kiépítése Veszprémben KDOP 4.2.1/B-11-2012-0032</t>
  </si>
  <si>
    <t>Hivatásforgalmi kerékpárút hálózat fejlesztése a térségi elérhetőség javításához, a 8. számú főközlekedési út tehermentesítése érdekében KÖZOP-3.2.0/c-08-11-2011-0022</t>
  </si>
  <si>
    <t>Veszprém város intermodális pályaudvar kialakítás és kapcsolódó közösségi közlekedési fejlesztések (KÖZOP -5.5.0-09-11-2011-0013)</t>
  </si>
  <si>
    <t>Fenntartható városfejlesztés Veszprémben KDOP-3.1.1/E-13-2013-0002*</t>
  </si>
  <si>
    <t>Nemesvámos-Veszprém közötti kerékpárforgalmi út kiépítése KDOP 4.2.2-11-2011-0010</t>
  </si>
  <si>
    <t>Szervezetfejlesztés a Veszprémi Önkormányzatnál ÁROP-1.A.5-2013-2013-0070.*</t>
  </si>
  <si>
    <t>Veszprém Megyei Jogú Város Egészségre nevelő és szemléletformáló programjai TÁMOP-6.1.2-11/1-2012-1626 pályázat*</t>
  </si>
  <si>
    <t xml:space="preserve">Bízzunk az új nemzedékben ÁROP-1.A.6-2013-2013-0050 </t>
  </si>
  <si>
    <t>* A 2014. évben kifizetett utófinanszírozott projekt költségek 2015. évben befolyt bevételei</t>
  </si>
  <si>
    <t xml:space="preserve">B)        NEMZETI VAGYONBA TARTOZÓ FORGÓESZKÖZÖK     (= B/I+B/II) </t>
  </si>
  <si>
    <t>C/I          Lekötött bankbetétek</t>
  </si>
  <si>
    <t>C/III       Forintszámlák</t>
  </si>
  <si>
    <t>C/IV       Devizaszámlák</t>
  </si>
  <si>
    <t>C)        PÉNZESZKÖZÖK (=C/I+…+C/IV)</t>
  </si>
  <si>
    <t>D/III/1        Adott előlegek (=D/III/1a+…+D/III/1f)</t>
  </si>
  <si>
    <t>D/III/1d        - ebből: igénybe vett szolgáltatásokra adott előlegek</t>
  </si>
  <si>
    <t>D/III/1e        - ebből: foglalkoztatottaknak adott előlegek</t>
  </si>
  <si>
    <t>D/III/1f        - ebből: túlfizetések, téves és visszajáró kifizetések</t>
  </si>
  <si>
    <t>D/III/8        Gazdasági társaság alapítása, jegyzett tőkéjének emelése esetén a társ.nak tény. átadott eszközök</t>
  </si>
  <si>
    <t>D/III/9        Letétre, megőrzésre, fedezetkezelésre átadott pénzeszközök, biztosítékok</t>
  </si>
  <si>
    <t>D/III        Követelés jellegű sajátos elszámolások (=D/III/1+…+D/III/9)</t>
  </si>
  <si>
    <t>H/I/9a        - ebből: költségvetési évben esedékes kötelezettségek hosszú lejár.hitelek, kölcs.törl.re</t>
  </si>
  <si>
    <t>H/III/8        Letétre, megőrzésre, fedezetkezelésre átvett pénzeszközök, biztosítékok</t>
  </si>
  <si>
    <t>H/III/9        Nemzetközi támogatási programok pénzeszközei</t>
  </si>
  <si>
    <t>H/III/10     Államadósság Kezelő Központ Zrt.-nél elhelyezett fedezeti betétek</t>
  </si>
  <si>
    <t>H/III        Kötelezettség jellegű sajátos elszámolások (=H)/III/1+…+H)/III/10)</t>
  </si>
  <si>
    <t>A részvénycsomag, ill. üzletrész névértéke</t>
  </si>
  <si>
    <t xml:space="preserve">végrehajtott törzstőke emelése </t>
  </si>
  <si>
    <t>tulajdoni hányada (%)</t>
  </si>
  <si>
    <t>-</t>
  </si>
  <si>
    <t>Megjegyzés: Az államháztartásról szóló 2011. évi CXCV. törvény 91. § (2) bekezdés d) pontjával kapcsolatban az önkormányzat tulajdonában álló gazdálkodó szervezetek számviteli törvény szerinti beszámolójának, az adózott eredmény felhasználásának, éves üzleti tervének, illetve a következő évi gazdasági tevékenységgel szemben támasztott főbb követelmények jóváhagyását az Önkormányzat vagyonáról, a vagyongazdálkodás és vagyonhasznosítás szabályairól szóló 6/2012. (II.24.) önkormányzati rendelet a Tulajdonosi Bizottság hatáskörébe utalja.</t>
  </si>
  <si>
    <t>Kedvezmények változása % (2014=100 %)</t>
  </si>
  <si>
    <t>Kedvezmények összege eFt</t>
  </si>
  <si>
    <t>Hitelfelvétel 2015.</t>
  </si>
  <si>
    <t>Hitelállomány  2015.12.31</t>
  </si>
  <si>
    <t>Tőketörlesztés 2015.</t>
  </si>
  <si>
    <t>Hitelállomány 2014.12.31</t>
  </si>
  <si>
    <t xml:space="preserve">Önkormányzat VAGYONKIMUTATÁS </t>
  </si>
  <si>
    <t>a "0"-ra leírt eszközökről 2015.</t>
  </si>
  <si>
    <t>Érték</t>
  </si>
  <si>
    <t>a használatban lévő kisértékű immateriális javakról, tárgyi eszközökről és készletekről 2015.</t>
  </si>
  <si>
    <t>Önkormányzat VAGYONKIMUTATÁS</t>
  </si>
  <si>
    <t>a 01-02 számlacsoportba nyilvántartott eszközökről 2015.</t>
  </si>
  <si>
    <t>a NVT. 1. § (2) bekezdés g) és h) pontja szerinti kulturális javakról és régészeti leleltekről 2015.</t>
  </si>
  <si>
    <t>a függő követelésekről és kötelezettségekről, a biztos (jövőbeni) követelésekről 2015.</t>
  </si>
  <si>
    <t>H/II/9a        - ebből: költségvetési évet követően esedékes köt. hosszú lejár.hitelek, kölcs.tör.re</t>
  </si>
  <si>
    <t>Előző évi korrekció (+/-)</t>
  </si>
  <si>
    <t>Veszprém Megyei Jogú Város Önkormányzata által</t>
  </si>
  <si>
    <t>alapítványoknak, egyesületeknek, civil és társadalmi szervezeteknek nyújtott támogatásokról 2015. évben</t>
  </si>
  <si>
    <t>Alapítvány / egyesület / civil és társadalmi szervezet megnevezése</t>
  </si>
  <si>
    <t>Támogatás összege</t>
  </si>
  <si>
    <t>Veszprémi Táncegyüttesért Alapítvány</t>
  </si>
  <si>
    <t>Gizella Kórus/Dowland Alapítvány</t>
  </si>
  <si>
    <t>Kárpátaljai települések támogatása (Visk - Viski Zöld Falusi Turizmus Szövetség, Szalóka - M. Pokrova Jótékonysági Alapítvány; nehéz helyzetbe került kárpátaljai magyarok szociális támogatására)</t>
  </si>
  <si>
    <t>Polgárőrság Vp. Cholnoky v.r. Egyesület</t>
  </si>
  <si>
    <t>Gyulafirátóti Polgárőr Egyesület</t>
  </si>
  <si>
    <t>Dózsa Polgárőrség</t>
  </si>
  <si>
    <t>Veszprémi Liszt Ferenc Kórustársaság</t>
  </si>
  <si>
    <t>Mendelssohn Kamarazenekar Egyesület</t>
  </si>
  <si>
    <t>Veszprém Város Vegyeskara</t>
  </si>
  <si>
    <t>Orsolya-Fashion Line Mozgásműv.Egyesület</t>
  </si>
  <si>
    <t>Lélektér Alapítvány</t>
  </si>
  <si>
    <t>Veszprémi Kézilabda Fan Club</t>
  </si>
  <si>
    <t>Veszprémi Fiatal Sportolóiért Közhasznú Egyesület</t>
  </si>
  <si>
    <t>Veszprémi Építész Klub és Alkotó Műhely</t>
  </si>
  <si>
    <t>Veszprémi Jégkorong SE</t>
  </si>
  <si>
    <t>Bakonyi Szépalmáskert Erdei Iskola Alapítvány</t>
  </si>
  <si>
    <t>Fagyöngy Emlőbetegek, Gyógyultak Egyesület</t>
  </si>
  <si>
    <t>AutiSpektrum Egyesület</t>
  </si>
  <si>
    <t>Veszprémi Ilco Egyesület</t>
  </si>
  <si>
    <t>A Báthorys Gyermekekért Alapítvány</t>
  </si>
  <si>
    <t>Keresztény Szülők Alapítványa</t>
  </si>
  <si>
    <t>Vesebetegek Veszprém Megyei Egyesülete</t>
  </si>
  <si>
    <t>Éltes Mátyás Alapítvány</t>
  </si>
  <si>
    <t>Zonta Club Veszprém</t>
  </si>
  <si>
    <t>Veszprémi Művész Céh</t>
  </si>
  <si>
    <t>Veszprémi Nők Kerekasztala Egyesület</t>
  </si>
  <si>
    <t>Nagycsaládosok Veszprémi Egyesülete</t>
  </si>
  <si>
    <t>Veszprém Város Mozgássérültjeiért Alapítvány</t>
  </si>
  <si>
    <t>Édesvíz Természetbarát Egyesület</t>
  </si>
  <si>
    <t>Kozmutza Flóra Alapítvány</t>
  </si>
  <si>
    <t>Kapcsolat '96 Mentálhigiénés Egyesület</t>
  </si>
  <si>
    <t>Csalán Környezet és Természetvédelmi Egyesület</t>
  </si>
  <si>
    <t>Gárdonyi Zoltán Zenekarért Alapítvány</t>
  </si>
  <si>
    <t>Munkanélküliek, Álláskeresők és Segítők Egyesülete</t>
  </si>
  <si>
    <t>Bencés Diákok Veszprém Megyei Egyesülete</t>
  </si>
  <si>
    <t>Buhim-Völgyi Baráti kör</t>
  </si>
  <si>
    <t>Veszprémi Polgári Társaskör Közhasznú Szervezet</t>
  </si>
  <si>
    <t>Veszprém Egyházmegyei, Ifjúsági és Lelkipásztori Fórum</t>
  </si>
  <si>
    <t>Útkereső Alapítvány a Gyermekekért</t>
  </si>
  <si>
    <t>Veszprémi Kolping Családi Egyesület</t>
  </si>
  <si>
    <t>Szabadság Lakótelepi Baráti Kör</t>
  </si>
  <si>
    <t>Vadvirág Alapítvány</t>
  </si>
  <si>
    <t>Gyulafirátóti Német Nemzetiségi Kulturális Egyesület</t>
  </si>
  <si>
    <t>Veszprém-Passau Baráti Társaság Egyesület</t>
  </si>
  <si>
    <t>Egry lakótelepi Baráti Kör</t>
  </si>
  <si>
    <t>Ritmus Művészeti Egyesület</t>
  </si>
  <si>
    <t>Gyulafirátótért Közhasznú Egyesület</t>
  </si>
  <si>
    <t>Családokért és Gyermekekért Közhasznú Alapítvány</t>
  </si>
  <si>
    <t>Dózsavárosi Baráti Kör</t>
  </si>
  <si>
    <t>Vakok és Gyengénlátók Veszprém Megyei Egyesülete</t>
  </si>
  <si>
    <t>Tampolin Sportegyesület</t>
  </si>
  <si>
    <t>Város-Tér Kulturális Alapítvány</t>
  </si>
  <si>
    <t>Kid Rock and Roll SE</t>
  </si>
  <si>
    <t>Bárczi Caritas Alapítvány</t>
  </si>
  <si>
    <t>Veszprémi Magyar-Finn Egyesület</t>
  </si>
  <si>
    <t>Kádártai Sporthorgász Egyesület</t>
  </si>
  <si>
    <t>Veszprém Megyei Honismereti Egyesület</t>
  </si>
  <si>
    <t>Veszprém Polgárai a Városi Zenedéért Alapítvány</t>
  </si>
  <si>
    <t>Veszprémi Jeruzsálemhegyi Baráti Kör</t>
  </si>
  <si>
    <t>Veszprém Városi Nyugdíjasok Érdekvédelmi Egyesülete</t>
  </si>
  <si>
    <t>Veszprém-Cserháti Társaskör Kulturális Egyesület</t>
  </si>
  <si>
    <t>Horgony Pszichiátriai Betegekért Egyesület</t>
  </si>
  <si>
    <t>Mozaik Érdekvédelmi Egyesület</t>
  </si>
  <si>
    <t>Mozgássérültek Aktív Egyesülete</t>
  </si>
  <si>
    <t>Közösség Kádártáért Egyesület</t>
  </si>
  <si>
    <t>Miklós u. 18. Művészekért Alapítvány</t>
  </si>
  <si>
    <t>Veszprém Város Hátrányos Helyzetű Fiatalokért Egyesület</t>
  </si>
  <si>
    <t>Lélek Éled Kör Közhasznú Egyesület</t>
  </si>
  <si>
    <t>Veszprémi Szemle Várostörténeti Közhasznú Alapítvány</t>
  </si>
  <si>
    <t>"A tudományosság és kultúra bölcsője"</t>
  </si>
  <si>
    <t>Centrum Diák- és Szabadidősport Egyesület</t>
  </si>
  <si>
    <t>Örömélet Idősekért és Hátrányos Helyzetűekért Alapítvány</t>
  </si>
  <si>
    <t>Veszprémi Újtelepi Baráti Kör Egyesület</t>
  </si>
  <si>
    <t>Keresztény Értelmiségiek Szövetsége</t>
  </si>
  <si>
    <t>Ficánka Alapítvány</t>
  </si>
  <si>
    <t>Ne Felejts Közhasznú Alapítvány</t>
  </si>
  <si>
    <t>Kövirózsa Alapítvány</t>
  </si>
  <si>
    <t>Csererdei Baráti Kör</t>
  </si>
  <si>
    <t>Veszprémi Német Nemzetiségi Klub</t>
  </si>
  <si>
    <t>Csigaház Alapítvány</t>
  </si>
  <si>
    <t>Sporttámogatások</t>
  </si>
  <si>
    <t xml:space="preserve">Ász Veszprémi Teniszerzők Klubja </t>
  </si>
  <si>
    <t xml:space="preserve">Bakony Dinamikus Lövész Egyesület </t>
  </si>
  <si>
    <t>Berendhidai H.P.Baranta SE</t>
  </si>
  <si>
    <t>Veszprémi Shotokan Karate SE</t>
  </si>
  <si>
    <t>Futsal Club Veszprém</t>
  </si>
  <si>
    <t>Veszprémi Tollaslabda SE</t>
  </si>
  <si>
    <t>Veszprémi SI Egylet</t>
  </si>
  <si>
    <t>Fortuna Ritmikus Gimnasztikai SE</t>
  </si>
  <si>
    <t>Veszprémi Asztalitenisz SE</t>
  </si>
  <si>
    <t>Veszprémi Ejtőernyős Egyesület</t>
  </si>
  <si>
    <t>Bakony Kendo és Aido Club</t>
  </si>
  <si>
    <t>Veszprémi Thai-Boksz SE</t>
  </si>
  <si>
    <t>Bonita Sporttánc Egyesület</t>
  </si>
  <si>
    <t>Veszprémi Sportmászó SE</t>
  </si>
  <si>
    <t>MKB Veszprém KC</t>
  </si>
  <si>
    <t>Golding Táncsport Egyesület</t>
  </si>
  <si>
    <t>Veszprémi Szivárvány Integrált SE</t>
  </si>
  <si>
    <t>LAROCO Motorsport Egyesület</t>
  </si>
  <si>
    <t>Top Gym SE</t>
  </si>
  <si>
    <t>HEMO Winner Versenytánc Egyesület</t>
  </si>
  <si>
    <t>Balaton Úszó Klub</t>
  </si>
  <si>
    <t>Veszprémi Focicentrum Utánpótlás SE</t>
  </si>
  <si>
    <t>Veszprémi Rendőr Sportegyesület</t>
  </si>
  <si>
    <t>Trampolin Sportegyesület</t>
  </si>
  <si>
    <t>Veszprémi Kerékpáros Egyesület</t>
  </si>
  <si>
    <t>Veszprémi Spartacus SE</t>
  </si>
  <si>
    <t>Dózsavárosi Diáksport Egyesület</t>
  </si>
  <si>
    <t>Veszprémi Egyetemi SC</t>
  </si>
  <si>
    <t>Veszprémi Egyetemi Diák Atlétikai Club</t>
  </si>
  <si>
    <t>Rock 'n Roll Klub Veszprém</t>
  </si>
  <si>
    <t>Veszprémi Úszó Klub</t>
  </si>
  <si>
    <t>Veszprémi Taekwondo Sportegyesület</t>
  </si>
  <si>
    <t>Veszprémi Torna Club</t>
  </si>
  <si>
    <t>Veszprémi Triatlon Egylet</t>
  </si>
  <si>
    <t>Ezüst Huszár Sakkegyesület</t>
  </si>
  <si>
    <t>Veszprémi Fitt SE</t>
  </si>
  <si>
    <t>K. O. Sport és Szabadidő Egyesület</t>
  </si>
  <si>
    <t>Domonkos László Veszprémi Judo SE</t>
  </si>
  <si>
    <t>A Fény Sportegyesület</t>
  </si>
  <si>
    <t>Veszprémi Szabadidő és Tömegsport Egyesület</t>
  </si>
  <si>
    <t>Veszprémi Honvéd SE</t>
  </si>
  <si>
    <t>Veszprémi Dózs Sportkör Birkózó Szakosztály</t>
  </si>
  <si>
    <t>Építők Természetbarát SE</t>
  </si>
  <si>
    <t>Gyulafirátót Sport Egyesület</t>
  </si>
  <si>
    <t>Választókerületi keretből nyújtott támogatások</t>
  </si>
  <si>
    <t>1. vk.</t>
  </si>
  <si>
    <t>2. vk.</t>
  </si>
  <si>
    <t>3. vk.</t>
  </si>
  <si>
    <t>4. vk.</t>
  </si>
  <si>
    <t>5. vk.</t>
  </si>
  <si>
    <t>6. vk.</t>
  </si>
  <si>
    <t>7. vk.</t>
  </si>
  <si>
    <t>8. vk.</t>
  </si>
  <si>
    <t>9. vk.</t>
  </si>
  <si>
    <t>10. vk.</t>
  </si>
  <si>
    <t>11. vk.</t>
  </si>
  <si>
    <t>12. vk.</t>
  </si>
  <si>
    <t>Veszprémi szemle Várostörténeti Közhasznú Alapítvány</t>
  </si>
  <si>
    <t>Alapítvány a Magyar Műemléki Topográfia támogatására</t>
  </si>
  <si>
    <t>Gyulafirátótért Közhasznú Egyesület támogatása</t>
  </si>
  <si>
    <t>Hét Domb hagyományőrző és Kulturális Egyesület</t>
  </si>
  <si>
    <t>Auti Spektrum Egyesület</t>
  </si>
  <si>
    <t>Veszprémi Szivárvány Integrált Sportegyesület</t>
  </si>
  <si>
    <t>Emberkék Alapítvány</t>
  </si>
  <si>
    <t>Veszprémi Deák Ferenc Általános Iskoláért Közhasznú Alapítvány</t>
  </si>
  <si>
    <t>Tárgyi eszközök értékesítése</t>
  </si>
  <si>
    <t xml:space="preserve">A Báthorys Gyermekekért Alapítvány </t>
  </si>
  <si>
    <t>Város-TÉR Kulturális Alapítvány</t>
  </si>
  <si>
    <t>Kittenberger ZOO Alapítvány</t>
  </si>
  <si>
    <t>Ifjú Közgazdászokért Alapítvány</t>
  </si>
  <si>
    <t>Veszprémi Thai Boksz SE</t>
  </si>
  <si>
    <t>SZABAD-SAJTÓ Kulturális és Ifjúsági Közhasznú Egyesület</t>
  </si>
  <si>
    <t>Esthajnal a Veszprémi Időskorúakért Alapítvány</t>
  </si>
  <si>
    <t>Veszprémi Lovassy és volt Piarista Gimnázium Öregdiákjainak Baráti Köre</t>
  </si>
  <si>
    <t>Kossuth Iskoláért Alapítvány</t>
  </si>
  <si>
    <t>Kertvárosi Városvédő Egyesület</t>
  </si>
  <si>
    <t>Veszprémegyházmegyei Építési és Felújítási Alapítvány</t>
  </si>
  <si>
    <t>Örömélet Idősekért és Hátrányos Helyzetűekért Közhasznú Alapítvány</t>
  </si>
  <si>
    <t>Kittenberger Zoo Alapítvány</t>
  </si>
  <si>
    <t>Cholnoky J. Iskolai Alapítvány</t>
  </si>
  <si>
    <t>Dowland Alapítvány</t>
  </si>
  <si>
    <t>AutiSpektrum Egyesület támogatása</t>
  </si>
  <si>
    <t>Kapcsolat '96 mentálhigiénes Egyesület</t>
  </si>
  <si>
    <t>Polgárőrség Veszprém Cholnoky Városrész Egyesület</t>
  </si>
  <si>
    <t>Rózsás Gyermekkor Közhasznú Alapítvány</t>
  </si>
  <si>
    <t>AutiSpektrum Egyesülete</t>
  </si>
  <si>
    <t>Szabadság Lakótelep Baráti Kör</t>
  </si>
  <si>
    <t>Veszprém Városi Hátrányos Helyzetű Fiatalokért Egyesület</t>
  </si>
  <si>
    <t>Szilágyi Táncegyüttes Alapítvány</t>
  </si>
  <si>
    <t>Veszprémi Amatőr Meteorológusok Egyesülete</t>
  </si>
  <si>
    <t>Veszprémi Kolping Család Egyesület</t>
  </si>
  <si>
    <t>Társasházak Veszprémi Egyesülete</t>
  </si>
  <si>
    <t>Dózsa Iskoláért Alapítvány</t>
  </si>
  <si>
    <t>Veszprémi SÍ Egylet</t>
  </si>
  <si>
    <t xml:space="preserve">Hét Domb hagyományőrző és Kulturális Egyesület </t>
  </si>
  <si>
    <t xml:space="preserve">Dózsavárosi Polgárőrség </t>
  </si>
  <si>
    <t xml:space="preserve">Veszprém a Kereszténységért Közhasznú Alapítvány </t>
  </si>
  <si>
    <t>Top Gym Sport Egyesület</t>
  </si>
  <si>
    <t xml:space="preserve">Veszprém Város Vegyeskara Egyesület </t>
  </si>
  <si>
    <t xml:space="preserve">Veszprémi Waldorf Pedagógiai Alapítvány támogatása </t>
  </si>
  <si>
    <t xml:space="preserve">Jutaspusztai Baráti Kör </t>
  </si>
  <si>
    <t>Dózsavárosi Baráti kör</t>
  </si>
  <si>
    <t>Dózsavárosi Polgárőrség</t>
  </si>
  <si>
    <t>Veszprém Megyei Rendőrfőkapitányság</t>
  </si>
  <si>
    <t>Alkohol Drogsegély Ambulancia</t>
  </si>
  <si>
    <t>Veszprém Kosárlabda Kft.</t>
  </si>
  <si>
    <t>Veszprémi Bridzs és Tájékozódási SE</t>
  </si>
  <si>
    <t>Veszprémi Egyetemi Stadion Kft.</t>
  </si>
  <si>
    <t>Veszprémi Labdarúgó és Sportszervező Kft.</t>
  </si>
  <si>
    <t>Bakonyfolk Baráti Kör</t>
  </si>
  <si>
    <t>KultúrMasszázs Egyesület</t>
  </si>
  <si>
    <t>Szabad Sajtó Kulturális Egyesület</t>
  </si>
  <si>
    <t>Magyar Máltai Szeretetszolgálat Egyesület</t>
  </si>
  <si>
    <t>Akrobatikus Rock&amp;Roll Sporttánc Egyesület</t>
  </si>
  <si>
    <t>Padányi Biró Márton Római Katolikus Gimnázium</t>
  </si>
  <si>
    <t>KÖLTSÉGVETÉSI BEVÉTELEI ÉS KIADÁSAI 2015. ÉVBEN</t>
  </si>
  <si>
    <t>1. melléklet a 13/2016. (IV.28.) önkormányzati rendelethez</t>
  </si>
  <si>
    <t>2. melléklet a 13/2016. (IV.28.) önkormányzati rendelethez</t>
  </si>
  <si>
    <t>3. melléklet a 13/2016. (IV.28.) önkormányzati rendelethez</t>
  </si>
  <si>
    <t>4. melléklet a 13/2016. (IV.28.) önkormányzati rendelethez</t>
  </si>
  <si>
    <t>5. melléklet a 13/2016. (IV.28.) önkormányzati rendelethez</t>
  </si>
  <si>
    <t>6. melléklet a 13/2016. (IV.28.) önkormányzati rendelethez</t>
  </si>
  <si>
    <t>6/A. melléklet a 13/2016. (IV.28.) önkormányzati rendelethez</t>
  </si>
  <si>
    <t>7. melléklet a 13/2016. (IV.28.) önkormányzati rendelethez</t>
  </si>
  <si>
    <t>8. melléklet a 13/2016. (IV.28.) önkormányzati rendelethez</t>
  </si>
  <si>
    <t>9. melléklet a 13/2016. (IV.28.) önkormányzati rendelethez</t>
  </si>
  <si>
    <t>10. melléklet a 13/2016. (IV.28.) önkormányzati rendelethez</t>
  </si>
  <si>
    <t>11. melléklet a 13/2016. (IV.28.) önkormányzati rendelethez</t>
  </si>
  <si>
    <t>12. melléklet a 13/2016. (IV.28.) önkormányzati rendelethez</t>
  </si>
  <si>
    <t>13. melléklet a 13/2016. (IV.28.) önkormányzati rendelethez</t>
  </si>
  <si>
    <t>14. melléklet a 13/2016. (IV.28.) önkormányzati rendelethez</t>
  </si>
  <si>
    <t>15. melléklet a 13/2016. (IV.28.) önkormányzati rendelethez</t>
  </si>
  <si>
    <t>16. melléklet a 13/2016. (IV.28.) önkormányzati rendelethez</t>
  </si>
  <si>
    <t>17. melléklet a 13/2016. (IV.28.) önkormányzati rendelethez</t>
  </si>
  <si>
    <t>18. melléklet a 13/2016. (IV.28.) önkormányzati rendelethez</t>
  </si>
  <si>
    <t>18.A melléklet a 13/2016. (IV.28.) önkormányzati rendelethez</t>
  </si>
</sst>
</file>

<file path=xl/styles.xml><?xml version="1.0" encoding="utf-8"?>
<styleSheet xmlns="http://schemas.openxmlformats.org/spreadsheetml/2006/main">
  <numFmts count="5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
    <numFmt numFmtId="173" formatCode="0.0%"/>
    <numFmt numFmtId="174" formatCode="0.0"/>
    <numFmt numFmtId="175" formatCode="#,##0.0"/>
    <numFmt numFmtId="176" formatCode="[$-40E]yyyy\.\ mmmm\ d\."/>
    <numFmt numFmtId="177" formatCode="yyyy/mm/dd;@"/>
    <numFmt numFmtId="178" formatCode="#,##0\ _F_t"/>
    <numFmt numFmtId="179" formatCode="#,##0.000"/>
    <numFmt numFmtId="180" formatCode="#,##0_ ;[Red]\-#,##0\ "/>
    <numFmt numFmtId="181" formatCode="&quot;Igen&quot;;&quot;Igen&quot;;&quot;Nem&quot;"/>
    <numFmt numFmtId="182" formatCode="&quot;Igaz&quot;;&quot;Igaz&quot;;&quot;Hamis&quot;"/>
    <numFmt numFmtId="183" formatCode="&quot;Be&quot;;&quot;Be&quot;;&quot;Ki&quot;"/>
    <numFmt numFmtId="184" formatCode="#,##0_ ;\-#,##0\ "/>
    <numFmt numFmtId="185" formatCode="0\1"/>
    <numFmt numFmtId="186" formatCode="\ 0\1"/>
    <numFmt numFmtId="187" formatCode="0.000"/>
    <numFmt numFmtId="188" formatCode="_-* #,##0.000\ _F_t_-;\-* #,##0.000\ _F_t_-;_-* &quot;-&quot;??\ _F_t_-;_-@_-"/>
    <numFmt numFmtId="189" formatCode="_-* #,##0.0\ _F_t_-;\-* #,##0.0\ _F_t_-;_-* &quot;-&quot;??\ _F_t_-;_-@_-"/>
    <numFmt numFmtId="190" formatCode="0.000%"/>
    <numFmt numFmtId="191" formatCode="##\-##\-##\-##"/>
    <numFmt numFmtId="192" formatCode="#\ ##0"/>
    <numFmt numFmtId="193" formatCode="&quot;H-&quot;0000"/>
    <numFmt numFmtId="194" formatCode="#,##0\ &quot;Ft&quot;"/>
    <numFmt numFmtId="195" formatCode="_-* #,##0\ _F_t_-;\-* #,##0\ _F_t_-;_-* &quot;-&quot;??\ _F_t_-;_-@_-"/>
    <numFmt numFmtId="196" formatCode="0.000000"/>
    <numFmt numFmtId="197" formatCode="0.00000"/>
    <numFmt numFmtId="198" formatCode="0.0000"/>
    <numFmt numFmtId="199" formatCode="#,###__"/>
    <numFmt numFmtId="200" formatCode="yyyy/mm"/>
    <numFmt numFmtId="201" formatCode="mmm/yyyy"/>
    <numFmt numFmtId="202" formatCode="[$-40E]mmmm\ d\.;@"/>
    <numFmt numFmtId="203" formatCode="#,##0.00000"/>
    <numFmt numFmtId="204" formatCode="#,##0.0000"/>
    <numFmt numFmtId="205" formatCode="[$¥€-2]\ #\ ##,000_);[Red]\([$€-2]\ #\ ##,000\)"/>
    <numFmt numFmtId="206" formatCode="#,###"/>
    <numFmt numFmtId="207" formatCode="#,###__;\-\ #,###__"/>
    <numFmt numFmtId="208" formatCode="00"/>
    <numFmt numFmtId="209" formatCode="#,###\ _F_t;\-#,###\ _F_t"/>
    <numFmt numFmtId="210" formatCode="#,##0.00\ _F_t;\-\ #,##0.00\ _F_t"/>
    <numFmt numFmtId="211" formatCode="#,##0.00_ ;\-#,##0.00\ "/>
  </numFmts>
  <fonts count="70">
    <font>
      <sz val="10"/>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8"/>
      <name val="Arial CE"/>
      <family val="0"/>
    </font>
    <font>
      <sz val="11"/>
      <color indexed="17"/>
      <name val="Calibri"/>
      <family val="2"/>
    </font>
    <font>
      <b/>
      <sz val="11"/>
      <color indexed="63"/>
      <name val="Calibri"/>
      <family val="2"/>
    </font>
    <font>
      <i/>
      <sz val="11"/>
      <color indexed="23"/>
      <name val="Calibri"/>
      <family val="2"/>
    </font>
    <font>
      <u val="single"/>
      <sz val="10"/>
      <color indexed="36"/>
      <name val="Arial CE"/>
      <family val="0"/>
    </font>
    <font>
      <sz val="10"/>
      <name val="Arial"/>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name val="Palatino Linotype"/>
      <family val="1"/>
    </font>
    <font>
      <sz val="10"/>
      <name val="Palatino Linotype"/>
      <family val="1"/>
    </font>
    <font>
      <b/>
      <sz val="10"/>
      <name val="Palatino Linotype"/>
      <family val="1"/>
    </font>
    <font>
      <b/>
      <sz val="11"/>
      <name val="Palatino Linotype"/>
      <family val="1"/>
    </font>
    <font>
      <b/>
      <sz val="12"/>
      <name val="Palatino Linotype"/>
      <family val="1"/>
    </font>
    <font>
      <sz val="11"/>
      <name val="Palatino Linotype"/>
      <family val="1"/>
    </font>
    <font>
      <b/>
      <sz val="9"/>
      <name val="Palatino Linotype"/>
      <family val="1"/>
    </font>
    <font>
      <i/>
      <sz val="10"/>
      <name val="Palatino Linotype"/>
      <family val="1"/>
    </font>
    <font>
      <i/>
      <sz val="9"/>
      <name val="Palatino Linotype"/>
      <family val="1"/>
    </font>
    <font>
      <i/>
      <sz val="11"/>
      <name val="Palatino Linotype"/>
      <family val="1"/>
    </font>
    <font>
      <i/>
      <u val="single"/>
      <sz val="10"/>
      <name val="Palatino Linotype"/>
      <family val="1"/>
    </font>
    <font>
      <sz val="12"/>
      <name val="Times New Roman"/>
      <family val="1"/>
    </font>
    <font>
      <b/>
      <i/>
      <sz val="10"/>
      <name val="Palatino Linotype"/>
      <family val="1"/>
    </font>
    <font>
      <sz val="9"/>
      <name val="Arial CE"/>
      <family val="0"/>
    </font>
    <font>
      <sz val="8"/>
      <name val="Palatino Linotype"/>
      <family val="1"/>
    </font>
    <font>
      <b/>
      <i/>
      <sz val="11"/>
      <name val="Palatino Linotype"/>
      <family val="1"/>
    </font>
    <font>
      <b/>
      <u val="single"/>
      <sz val="10"/>
      <name val="Palatino Linotype"/>
      <family val="1"/>
    </font>
    <font>
      <sz val="10"/>
      <name val="Times New Roman"/>
      <family val="1"/>
    </font>
    <font>
      <b/>
      <sz val="9"/>
      <color indexed="18"/>
      <name val="Palatino Linotype"/>
      <family val="1"/>
    </font>
    <font>
      <b/>
      <sz val="8"/>
      <name val="Palatino Linotype"/>
      <family val="1"/>
    </font>
    <font>
      <sz val="10"/>
      <color indexed="16"/>
      <name val="Palatino Linotype"/>
      <family val="1"/>
    </font>
    <font>
      <i/>
      <sz val="10"/>
      <color indexed="16"/>
      <name val="Palatino Linotype"/>
      <family val="1"/>
    </font>
    <font>
      <b/>
      <sz val="10"/>
      <color indexed="16"/>
      <name val="Palatino Linotype"/>
      <family val="1"/>
    </font>
    <font>
      <sz val="9"/>
      <color indexed="16"/>
      <name val="Palatino Linotype"/>
      <family val="1"/>
    </font>
    <font>
      <i/>
      <sz val="9"/>
      <color indexed="16"/>
      <name val="Palatino Linotype"/>
      <family val="1"/>
    </font>
    <font>
      <b/>
      <i/>
      <sz val="9"/>
      <name val="Palatino Linotype"/>
      <family val="1"/>
    </font>
    <font>
      <sz val="11"/>
      <color indexed="16"/>
      <name val="Palatino Linotype"/>
      <family val="1"/>
    </font>
    <font>
      <i/>
      <sz val="11"/>
      <color indexed="16"/>
      <name val="Palatino Linotype"/>
      <family val="1"/>
    </font>
    <font>
      <b/>
      <sz val="11"/>
      <color indexed="16"/>
      <name val="Palatino Linotype"/>
      <family val="1"/>
    </font>
    <font>
      <i/>
      <sz val="8"/>
      <name val="Palatino Linotype"/>
      <family val="1"/>
    </font>
    <font>
      <sz val="8"/>
      <color indexed="16"/>
      <name val="Palatino Linotype"/>
      <family val="1"/>
    </font>
    <font>
      <i/>
      <sz val="8"/>
      <color indexed="16"/>
      <name val="Palatino Linotype"/>
      <family val="1"/>
    </font>
    <font>
      <b/>
      <sz val="10.5"/>
      <name val="Palatino Linotype"/>
      <family val="1"/>
    </font>
    <font>
      <b/>
      <u val="single"/>
      <sz val="11"/>
      <name val="Palatino Linotype"/>
      <family val="1"/>
    </font>
    <font>
      <vertAlign val="subscript"/>
      <sz val="11"/>
      <name val="Palatino Linotype"/>
      <family val="1"/>
    </font>
    <font>
      <u val="single"/>
      <sz val="11"/>
      <name val="Palatino Linotype"/>
      <family val="1"/>
    </font>
    <font>
      <sz val="7"/>
      <name val="Palatino Linotype"/>
      <family val="1"/>
    </font>
    <font>
      <b/>
      <u val="double"/>
      <sz val="11"/>
      <name val="Palatino Linotype"/>
      <family val="1"/>
    </font>
    <font>
      <i/>
      <strike/>
      <sz val="10"/>
      <name val="Palatino Linotype"/>
      <family val="1"/>
    </font>
    <font>
      <sz val="9"/>
      <name val="Times New Roman"/>
      <family val="1"/>
    </font>
    <font>
      <sz val="10"/>
      <color indexed="10"/>
      <name val="Palatino Linotype"/>
      <family val="1"/>
    </font>
    <font>
      <sz val="10.5"/>
      <name val="Palatino Linotype"/>
      <family val="1"/>
    </font>
    <font>
      <sz val="11"/>
      <name val="Arial CE"/>
      <family val="0"/>
    </font>
    <font>
      <sz val="10"/>
      <color indexed="60"/>
      <name val="Palatino Linotype"/>
      <family val="1"/>
    </font>
    <font>
      <sz val="11"/>
      <color indexed="8"/>
      <name val="Palatino Linotype"/>
      <family val="1"/>
    </font>
    <font>
      <b/>
      <sz val="10"/>
      <color indexed="60"/>
      <name val="Palatino Linotype"/>
      <family val="1"/>
    </font>
    <font>
      <b/>
      <sz val="9"/>
      <color indexed="60"/>
      <name val="Palatino Linotype"/>
      <family val="1"/>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s>
  <borders count="2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double"/>
      <right>
        <color indexed="63"/>
      </right>
      <top style="thin"/>
      <bottom style="thin"/>
    </border>
    <border>
      <left>
        <color indexed="63"/>
      </left>
      <right>
        <color indexed="63"/>
      </right>
      <top style="thin"/>
      <bottom style="double"/>
    </border>
    <border>
      <left style="thin"/>
      <right style="double"/>
      <top style="thin"/>
      <bottom style="double"/>
    </border>
    <border>
      <left style="double"/>
      <right>
        <color indexed="63"/>
      </right>
      <top style="thin"/>
      <bottom style="double"/>
    </border>
    <border>
      <left style="double"/>
      <right>
        <color indexed="63"/>
      </right>
      <top style="double"/>
      <bottom style="double"/>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thin"/>
      <bottom style="thin"/>
    </border>
    <border>
      <left style="dotted"/>
      <right style="dotted"/>
      <top style="dotted"/>
      <bottom style="dotted"/>
    </border>
    <border>
      <left style="dotted"/>
      <right style="medium"/>
      <top style="dotted"/>
      <bottom style="dotted"/>
    </border>
    <border>
      <left style="hair"/>
      <right style="hair"/>
      <top style="hair"/>
      <bottom style="hair"/>
    </border>
    <border>
      <left>
        <color indexed="63"/>
      </left>
      <right>
        <color indexed="63"/>
      </right>
      <top style="double"/>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style="thin"/>
      <bottom style="thin"/>
    </border>
    <border>
      <left style="thin"/>
      <right style="medium"/>
      <top style="thin"/>
      <bottom style="double"/>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double"/>
      <right/>
      <top style="medium"/>
      <bottom/>
    </border>
    <border>
      <left style="double"/>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top/>
      <bottom style="double"/>
    </border>
    <border>
      <left>
        <color indexed="63"/>
      </left>
      <right>
        <color indexed="63"/>
      </right>
      <top style="double"/>
      <bottom>
        <color indexed="63"/>
      </bottom>
    </border>
    <border>
      <left style="double"/>
      <right>
        <color indexed="63"/>
      </right>
      <top>
        <color indexed="63"/>
      </top>
      <bottom style="medium"/>
    </border>
    <border>
      <left style="dotted"/>
      <right style="dotted"/>
      <top style="dotted"/>
      <bottom>
        <color indexed="63"/>
      </bottom>
    </border>
    <border>
      <left style="dotted"/>
      <right style="medium"/>
      <top style="dotted"/>
      <bottom>
        <color indexed="63"/>
      </bottom>
    </border>
    <border>
      <left style="medium"/>
      <right style="medium"/>
      <top style="medium"/>
      <bottom>
        <color indexed="63"/>
      </bottom>
    </border>
    <border>
      <left style="medium"/>
      <right style="medium"/>
      <top style="medium"/>
      <bottom style="medium"/>
    </border>
    <border>
      <left style="medium"/>
      <right style="dotted"/>
      <top>
        <color indexed="63"/>
      </top>
      <bottom style="dotted"/>
    </border>
    <border>
      <left style="dotted"/>
      <right style="dotted"/>
      <top>
        <color indexed="63"/>
      </top>
      <bottom style="dotted"/>
    </border>
    <border>
      <left style="dotted"/>
      <right/>
      <top style="dotted"/>
      <bottom style="dotted"/>
    </border>
    <border>
      <left style="double"/>
      <right style="dotted"/>
      <top style="dotted"/>
      <bottom style="dotted"/>
    </border>
    <border>
      <left style="medium"/>
      <right style="dotted"/>
      <top style="dotted"/>
      <bottom style="dotted"/>
    </border>
    <border>
      <left style="medium"/>
      <right style="dotted"/>
      <top style="dotted"/>
      <bottom>
        <color indexed="63"/>
      </bottom>
    </border>
    <border>
      <left style="dotted"/>
      <right/>
      <top style="dotted"/>
      <bottom/>
    </border>
    <border>
      <left style="medium"/>
      <right style="dotted"/>
      <top style="medium"/>
      <bottom style="dotted"/>
    </border>
    <border>
      <left style="dotted"/>
      <right style="dotted"/>
      <top style="medium"/>
      <bottom style="dotted"/>
    </border>
    <border>
      <left style="double"/>
      <right style="dotted"/>
      <top style="medium"/>
      <bottom style="dotted"/>
    </border>
    <border>
      <left style="dotted"/>
      <right style="medium"/>
      <top style="medium"/>
      <bottom style="dotted"/>
    </border>
    <border>
      <left style="medium"/>
      <right style="dotted"/>
      <top style="dotted"/>
      <bottom style="medium"/>
    </border>
    <border>
      <left style="dotted"/>
      <right style="dotted"/>
      <top style="dotted"/>
      <bottom style="medium"/>
    </border>
    <border>
      <left style="dotted"/>
      <right/>
      <top style="dotted"/>
      <bottom style="medium"/>
    </border>
    <border>
      <left style="thin"/>
      <right style="double"/>
      <top style="thin"/>
      <bottom style="thin"/>
    </border>
    <border>
      <left style="thin"/>
      <right style="double"/>
      <top>
        <color indexed="63"/>
      </top>
      <bottom style="double"/>
    </border>
    <border>
      <left style="thin"/>
      <right style="thin"/>
      <top>
        <color indexed="63"/>
      </top>
      <bottom>
        <color indexed="63"/>
      </bottom>
    </border>
    <border>
      <left style="thin"/>
      <right style="thin"/>
      <top style="thin"/>
      <bottom style="double"/>
    </border>
    <border>
      <left style="thin"/>
      <right style="thin"/>
      <top style="double"/>
      <bottom>
        <color indexed="63"/>
      </bottom>
    </border>
    <border>
      <left style="thin"/>
      <right style="thin"/>
      <top>
        <color indexed="63"/>
      </top>
      <bottom style="thin"/>
    </border>
    <border>
      <left style="double"/>
      <right>
        <color indexed="63"/>
      </right>
      <top style="double"/>
      <bottom>
        <color indexed="63"/>
      </bottom>
    </border>
    <border>
      <left>
        <color indexed="63"/>
      </left>
      <right style="medium"/>
      <top style="double"/>
      <bottom>
        <color indexed="63"/>
      </bottom>
    </border>
    <border>
      <left>
        <color indexed="63"/>
      </left>
      <right style="medium"/>
      <top>
        <color indexed="63"/>
      </top>
      <bottom style="double"/>
    </border>
    <border>
      <left style="dotted"/>
      <right style="double"/>
      <top style="dotted"/>
      <bottom style="dotted"/>
    </border>
    <border>
      <left style="hair"/>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style="hair"/>
      <right style="hair"/>
      <top style="thin"/>
      <bottom style="double"/>
    </border>
    <border>
      <left style="hair"/>
      <right style="hair"/>
      <top>
        <color indexed="63"/>
      </top>
      <bottom style="hair"/>
    </border>
    <border>
      <left style="hair"/>
      <right/>
      <top/>
      <bottom style="hair"/>
    </border>
    <border>
      <left style="hair"/>
      <right style="hair"/>
      <top style="hair"/>
      <bottom style="thin"/>
    </border>
    <border>
      <left style="hair"/>
      <right style="hair"/>
      <top style="double"/>
      <bottom style="hair"/>
    </border>
    <border>
      <left style="hair"/>
      <right/>
      <top style="double"/>
      <bottom style="hair"/>
    </border>
    <border>
      <left style="double"/>
      <right style="hair"/>
      <top style="hair"/>
      <bottom style="hair"/>
    </border>
    <border>
      <left style="hair"/>
      <right style="hair"/>
      <top style="hair"/>
      <bottom>
        <color indexed="63"/>
      </bottom>
    </border>
    <border>
      <left style="hair"/>
      <right/>
      <top style="hair"/>
      <bottom/>
    </border>
    <border>
      <left style="hair"/>
      <right/>
      <top style="hair"/>
      <bottom style="thin"/>
    </border>
    <border>
      <left style="hair"/>
      <right/>
      <top style="thin"/>
      <bottom style="double"/>
    </border>
    <border>
      <left style="double"/>
      <right style="hair"/>
      <top style="thin"/>
      <bottom style="double"/>
    </border>
    <border>
      <left style="hair"/>
      <right style="hair"/>
      <top>
        <color indexed="63"/>
      </top>
      <bottom style="medium"/>
    </border>
    <border>
      <left style="hair"/>
      <right/>
      <top/>
      <bottom style="medium"/>
    </border>
    <border>
      <left style="double"/>
      <right style="hair"/>
      <top style="medium"/>
      <bottom style="medium"/>
    </border>
    <border>
      <left style="double"/>
      <right style="hair"/>
      <top style="medium"/>
      <bottom style="hair"/>
    </border>
    <border>
      <left style="double"/>
      <right style="hair"/>
      <top style="double"/>
      <bottom style="hair"/>
    </border>
    <border>
      <left style="double"/>
      <right style="hair"/>
      <top style="hair"/>
      <bottom style="thin"/>
    </border>
    <border>
      <left style="double"/>
      <right style="hair"/>
      <top/>
      <bottom style="medium"/>
    </border>
    <border>
      <left style="hair"/>
      <right style="medium"/>
      <top>
        <color indexed="63"/>
      </top>
      <bottom style="medium"/>
    </border>
    <border>
      <left style="medium"/>
      <right style="hair"/>
      <top style="medium"/>
      <bottom style="medium"/>
    </border>
    <border>
      <left style="medium"/>
      <right style="hair"/>
      <top style="medium"/>
      <bottom style="hair"/>
    </border>
    <border>
      <left style="medium"/>
      <right style="hair"/>
      <top style="hair"/>
      <bottom style="hair"/>
    </border>
    <border>
      <left style="medium"/>
      <right style="hair"/>
      <top style="double"/>
      <bottom style="medium"/>
    </border>
    <border>
      <left style="hair"/>
      <right style="hair"/>
      <top style="double"/>
      <bottom style="medium"/>
    </border>
    <border>
      <left style="double"/>
      <right style="hair"/>
      <top style="double"/>
      <bottom style="medium"/>
    </border>
    <border>
      <left style="thin"/>
      <right style="thin"/>
      <top style="medium"/>
      <bottom style="thin"/>
    </border>
    <border>
      <left style="double"/>
      <right/>
      <top style="medium"/>
      <bottom style="thin"/>
    </border>
    <border>
      <left>
        <color indexed="63"/>
      </left>
      <right>
        <color indexed="63"/>
      </right>
      <top style="medium"/>
      <bottom style="thin"/>
    </border>
    <border>
      <left style="thin"/>
      <right style="medium"/>
      <top style="medium"/>
      <bottom style="thin"/>
    </border>
    <border>
      <left style="thin"/>
      <right>
        <color indexed="63"/>
      </right>
      <top>
        <color indexed="63"/>
      </top>
      <bottom>
        <color indexed="63"/>
      </bottom>
    </border>
    <border>
      <left style="thin"/>
      <right style="thin"/>
      <top style="thin"/>
      <bottom style="thin"/>
    </border>
    <border>
      <left/>
      <right style="thin"/>
      <top style="double"/>
      <bottom style="double"/>
    </border>
    <border>
      <left style="thin"/>
      <right style="thin"/>
      <top>
        <color indexed="63"/>
      </top>
      <bottom style="double"/>
    </border>
    <border>
      <left style="thin"/>
      <right style="medium"/>
      <top/>
      <bottom style="double"/>
    </border>
    <border>
      <left style="thin"/>
      <right style="medium"/>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double"/>
      <top style="medium"/>
      <bottom style="thin"/>
    </border>
    <border>
      <left style="dotted"/>
      <right/>
      <top style="medium"/>
      <bottom style="dotted"/>
    </border>
    <border>
      <left style="dotted"/>
      <right style="double"/>
      <top style="dotted"/>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medium"/>
      <top style="thin"/>
      <bottom style="double"/>
    </border>
    <border>
      <left style="medium"/>
      <right>
        <color indexed="63"/>
      </right>
      <top style="double"/>
      <bottom style="medium"/>
    </border>
    <border>
      <left style="medium"/>
      <right>
        <color indexed="63"/>
      </right>
      <top style="thin"/>
      <bottom style="thin"/>
    </border>
    <border>
      <left style="medium"/>
      <right>
        <color indexed="63"/>
      </right>
      <top style="thin"/>
      <bottom style="medium"/>
    </border>
    <border>
      <left>
        <color indexed="63"/>
      </left>
      <right style="medium"/>
      <top style="double"/>
      <bottom style="medium"/>
    </border>
    <border>
      <left style="hair"/>
      <right style="medium"/>
      <top style="thin"/>
      <bottom style="double"/>
    </border>
    <border>
      <left style="hair"/>
      <right style="medium"/>
      <top style="double"/>
      <bottom style="medium"/>
    </border>
    <border>
      <left style="medium"/>
      <right style="thin"/>
      <top style="medium"/>
      <bottom style="thin"/>
    </border>
    <border>
      <left style="medium"/>
      <right style="thin"/>
      <top/>
      <bottom/>
    </border>
    <border>
      <left style="medium"/>
      <right style="thin"/>
      <top style="thin"/>
      <bottom style="thin"/>
    </border>
    <border>
      <left style="medium"/>
      <right style="thin"/>
      <top style="thin"/>
      <bottom style="double"/>
    </border>
    <border>
      <left style="medium"/>
      <right style="thin"/>
      <top style="double"/>
      <bottom style="double"/>
    </border>
    <border>
      <left style="thin"/>
      <right style="thin"/>
      <top style="double"/>
      <bottom style="double"/>
    </border>
    <border>
      <left style="medium"/>
      <right style="thin"/>
      <top style="double"/>
      <bottom>
        <color indexed="63"/>
      </bottom>
    </border>
    <border>
      <left style="medium"/>
      <right style="thin"/>
      <top>
        <color indexed="63"/>
      </top>
      <bottom style="thin"/>
    </border>
    <border>
      <left style="hair"/>
      <right style="medium"/>
      <top style="medium"/>
      <bottom style="medium"/>
    </border>
    <border>
      <left style="hair"/>
      <right style="medium"/>
      <top style="medium"/>
      <bottom style="hair"/>
    </border>
    <border>
      <left style="hair"/>
      <right style="medium"/>
      <top style="hair"/>
      <bottom style="hair"/>
    </border>
    <border>
      <left style="medium"/>
      <right style="hair"/>
      <top style="hair"/>
      <bottom style="thin"/>
    </border>
    <border>
      <left style="hair"/>
      <right style="medium"/>
      <top style="hair"/>
      <bottom style="thin"/>
    </border>
    <border>
      <left style="medium"/>
      <right style="hair"/>
      <top/>
      <bottom style="hair"/>
    </border>
    <border>
      <left style="hair"/>
      <right style="medium"/>
      <top/>
      <bottom style="hair"/>
    </border>
    <border>
      <left style="medium"/>
      <right style="hair"/>
      <top>
        <color indexed="63"/>
      </top>
      <bottom style="medium"/>
    </border>
    <border>
      <left style="medium"/>
      <right style="hair"/>
      <top style="thin"/>
      <bottom style="double"/>
    </border>
    <border>
      <left style="medium"/>
      <right style="hair"/>
      <top style="double"/>
      <bottom style="hair"/>
    </border>
    <border>
      <left style="medium"/>
      <right style="hair"/>
      <top style="hair"/>
      <bottom>
        <color indexed="63"/>
      </bottom>
    </border>
    <border>
      <left/>
      <right style="double"/>
      <top/>
      <bottom/>
    </border>
    <border>
      <left style="double"/>
      <right/>
      <top style="double"/>
      <bottom style="medium"/>
    </border>
    <border>
      <left/>
      <right style="double"/>
      <top style="double"/>
      <bottom style="medium"/>
    </border>
    <border>
      <left style="medium"/>
      <right>
        <color indexed="63"/>
      </right>
      <top style="double"/>
      <bottom style="double"/>
    </border>
    <border>
      <left>
        <color indexed="63"/>
      </left>
      <right>
        <color indexed="63"/>
      </right>
      <top style="double"/>
      <bottom style="double"/>
    </border>
    <border>
      <left/>
      <right style="medium"/>
      <top style="double"/>
      <bottom style="double"/>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hair"/>
      <bottom>
        <color indexed="63"/>
      </bottom>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style="thin"/>
      <top>
        <color indexed="63"/>
      </top>
      <bottom style="thin"/>
    </border>
    <border>
      <left>
        <color indexed="63"/>
      </left>
      <right style="hair"/>
      <top style="hair"/>
      <bottom style="hair"/>
    </border>
    <border>
      <left style="hair"/>
      <right style="medium"/>
      <top style="double"/>
      <bottom style="hair"/>
    </border>
    <border>
      <left style="double"/>
      <right style="dotted"/>
      <top style="dotted"/>
      <bottom style="medium"/>
    </border>
    <border>
      <left style="dotted"/>
      <right style="medium"/>
      <top style="dotted"/>
      <bottom style="medium"/>
    </border>
    <border>
      <left style="thin"/>
      <right/>
      <top style="medium"/>
      <bottom style="thin"/>
    </border>
    <border>
      <left style="thin"/>
      <right/>
      <top style="thin"/>
      <bottom style="thin"/>
    </border>
    <border>
      <left style="thin"/>
      <right/>
      <top style="thin"/>
      <bottom style="double"/>
    </border>
    <border>
      <left style="thin"/>
      <right/>
      <top/>
      <bottom style="double"/>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medium"/>
      <bottom style="double"/>
    </border>
    <border>
      <left style="hair"/>
      <right style="medium"/>
      <top style="medium"/>
      <bottom style="double"/>
    </border>
    <border>
      <left style="medium"/>
      <right style="hair"/>
      <top style="hair"/>
      <bottom style="double"/>
    </border>
    <border>
      <left style="hair"/>
      <right style="hair"/>
      <top style="hair"/>
      <bottom style="double"/>
    </border>
    <border>
      <left style="hair"/>
      <right style="medium"/>
      <top style="hair"/>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medium"/>
      <top style="medium"/>
      <bottom/>
    </border>
    <border>
      <left style="double"/>
      <right style="medium"/>
      <top/>
      <bottom style="medium"/>
    </border>
    <border>
      <left style="medium"/>
      <right>
        <color indexed="63"/>
      </right>
      <top style="double"/>
      <bottom>
        <color indexed="63"/>
      </bottom>
    </border>
    <border>
      <left style="double"/>
      <right style="dotted"/>
      <top style="dotted"/>
      <bottom/>
    </border>
    <border>
      <left>
        <color indexed="63"/>
      </left>
      <right style="dotted"/>
      <top style="dotted"/>
      <bottom style="dotted"/>
    </border>
    <border>
      <left style="medium"/>
      <right style="hair"/>
      <top style="medium"/>
      <bottom style="dotted"/>
    </border>
    <border>
      <left style="medium"/>
      <right style="hair"/>
      <top style="dotted"/>
      <bottom style="double"/>
    </border>
    <border>
      <left style="hair"/>
      <right style="medium"/>
      <top/>
      <bottom style="double"/>
    </border>
    <border>
      <left style="thin"/>
      <right/>
      <top style="medium"/>
      <bottom/>
    </border>
    <border>
      <left style="double"/>
      <right style="thin"/>
      <top style="medium"/>
      <bottom/>
    </border>
    <border>
      <left style="thin"/>
      <right style="double"/>
      <top style="medium"/>
      <bottom/>
    </border>
    <border>
      <left>
        <color indexed="63"/>
      </left>
      <right style="thin"/>
      <top style="medium"/>
      <bottom/>
    </border>
    <border>
      <left style="double"/>
      <right style="thin"/>
      <top/>
      <bottom/>
    </border>
    <border>
      <left style="double"/>
      <right style="thin"/>
      <top/>
      <bottom style="medium"/>
    </border>
    <border>
      <left style="thin"/>
      <right style="double"/>
      <top/>
      <bottom style="medium"/>
    </border>
    <border>
      <left>
        <color indexed="63"/>
      </left>
      <right style="thin"/>
      <top/>
      <bottom/>
    </border>
    <border>
      <left/>
      <right style="thin"/>
      <top/>
      <bottom style="medium"/>
    </border>
    <border>
      <left style="medium"/>
      <right style="hair"/>
      <top style="medium"/>
      <bottom style="double"/>
    </border>
    <border>
      <left style="medium"/>
      <right style="hair"/>
      <top style="medium"/>
      <bottom>
        <color indexed="63"/>
      </bottom>
    </border>
    <border>
      <left style="medium"/>
      <right style="hair"/>
      <top>
        <color indexed="63"/>
      </top>
      <bottom>
        <color indexed="63"/>
      </bottom>
    </border>
    <border>
      <left>
        <color indexed="63"/>
      </left>
      <right style="thin"/>
      <top style="medium"/>
      <bottom style="medium"/>
    </border>
    <border>
      <left>
        <color indexed="63"/>
      </left>
      <right style="thin"/>
      <top style="medium"/>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9" fillId="3" borderId="0" applyNumberFormat="0" applyBorder="0" applyAlignment="0" applyProtection="0"/>
    <xf numFmtId="0" fontId="3" fillId="7" borderId="1" applyNumberFormat="0" applyAlignment="0" applyProtection="0"/>
    <xf numFmtId="0" fontId="21" fillId="20" borderId="1" applyNumberFormat="0" applyAlignment="0" applyProtection="0"/>
    <xf numFmtId="0" fontId="8" fillId="21" borderId="2" applyNumberFormat="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1" borderId="2"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0" fontId="9" fillId="0" borderId="0" applyNumberFormat="0" applyFill="0" applyBorder="0" applyAlignment="0" applyProtection="0"/>
    <xf numFmtId="0" fontId="13"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3" fillId="7" borderId="1" applyNumberFormat="0" applyAlignment="0" applyProtection="0"/>
    <xf numFmtId="0" fontId="12" fillId="22" borderId="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4" borderId="0" applyNumberFormat="0" applyBorder="0" applyAlignment="0" applyProtection="0"/>
    <xf numFmtId="0" fontId="14" fillId="20" borderId="8" applyNumberFormat="0" applyAlignment="0" applyProtection="0"/>
    <xf numFmtId="0" fontId="16" fillId="0" borderId="0" applyNumberFormat="0" applyFill="0" applyBorder="0" applyAlignment="0" applyProtection="0"/>
    <xf numFmtId="0" fontId="11" fillId="0" borderId="6" applyNumberFormat="0" applyFill="0" applyAlignment="0" applyProtection="0"/>
    <xf numFmtId="0" fontId="15" fillId="0" borderId="0" applyNumberFormat="0" applyFill="0" applyBorder="0" applyAlignment="0" applyProtection="0"/>
    <xf numFmtId="0" fontId="20" fillId="23" borderId="0" applyNumberFormat="0" applyBorder="0" applyAlignment="0" applyProtection="0"/>
    <xf numFmtId="0" fontId="12" fillId="0" borderId="0">
      <alignment/>
      <protection/>
    </xf>
    <xf numFmtId="0" fontId="33" fillId="0" borderId="0">
      <alignment/>
      <protection/>
    </xf>
    <xf numFmtId="0" fontId="33" fillId="0" borderId="0">
      <alignment/>
      <protection/>
    </xf>
    <xf numFmtId="0" fontId="69" fillId="0" borderId="0">
      <alignment/>
      <protection/>
    </xf>
    <xf numFmtId="0" fontId="17" fillId="0" borderId="0">
      <alignment/>
      <protection/>
    </xf>
    <xf numFmtId="0" fontId="0" fillId="0" borderId="0">
      <alignment/>
      <protection/>
    </xf>
    <xf numFmtId="0" fontId="17" fillId="0" borderId="0">
      <alignment/>
      <protection/>
    </xf>
    <xf numFmtId="0" fontId="12" fillId="0" borderId="0">
      <alignment/>
      <protection/>
    </xf>
    <xf numFmtId="0" fontId="17"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22" borderId="7" applyNumberFormat="0" applyFont="0" applyAlignment="0" applyProtection="0"/>
    <xf numFmtId="0" fontId="14" fillId="20" borderId="8" applyNumberFormat="0" applyAlignment="0" applyProtection="0"/>
    <xf numFmtId="0" fontId="1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xf numFmtId="0" fontId="20" fillId="23" borderId="0" applyNumberFormat="0" applyBorder="0" applyAlignment="0" applyProtection="0"/>
    <xf numFmtId="0" fontId="21"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9" fillId="0" borderId="0" applyNumberFormat="0" applyFill="0" applyBorder="0" applyAlignment="0" applyProtection="0"/>
  </cellStyleXfs>
  <cellXfs count="1681">
    <xf numFmtId="0" fontId="0" fillId="0" borderId="0" xfId="0" applyAlignment="1">
      <alignment/>
    </xf>
    <xf numFmtId="3" fontId="23" fillId="0" borderId="0" xfId="0" applyNumberFormat="1" applyFont="1" applyBorder="1" applyAlignment="1">
      <alignment/>
    </xf>
    <xf numFmtId="0" fontId="23" fillId="0" borderId="0" xfId="0" applyFont="1" applyBorder="1" applyAlignment="1">
      <alignment/>
    </xf>
    <xf numFmtId="0" fontId="24" fillId="0" borderId="0" xfId="0" applyFont="1" applyBorder="1" applyAlignment="1">
      <alignment horizontal="center"/>
    </xf>
    <xf numFmtId="0" fontId="23" fillId="0" borderId="0" xfId="0" applyFont="1" applyFill="1" applyBorder="1" applyAlignment="1">
      <alignment/>
    </xf>
    <xf numFmtId="3" fontId="23" fillId="0" borderId="0" xfId="0" applyNumberFormat="1" applyFont="1" applyBorder="1" applyAlignment="1">
      <alignment vertical="center"/>
    </xf>
    <xf numFmtId="3" fontId="23" fillId="0" borderId="0" xfId="0" applyNumberFormat="1" applyFont="1" applyFill="1" applyBorder="1" applyAlignment="1">
      <alignment horizontal="center" vertical="top"/>
    </xf>
    <xf numFmtId="3" fontId="24" fillId="0" borderId="10" xfId="0" applyNumberFormat="1" applyFont="1" applyFill="1" applyBorder="1" applyAlignment="1">
      <alignment vertical="center"/>
    </xf>
    <xf numFmtId="3" fontId="24" fillId="0" borderId="0" xfId="0" applyNumberFormat="1" applyFont="1" applyFill="1" applyAlignment="1">
      <alignment vertical="center"/>
    </xf>
    <xf numFmtId="3" fontId="25" fillId="0" borderId="0" xfId="0" applyNumberFormat="1" applyFont="1" applyFill="1" applyBorder="1" applyAlignment="1">
      <alignment/>
    </xf>
    <xf numFmtId="0" fontId="23" fillId="0" borderId="0" xfId="0" applyFont="1" applyBorder="1" applyAlignment="1">
      <alignment horizontal="right" vertical="center"/>
    </xf>
    <xf numFmtId="0" fontId="23" fillId="0" borderId="0" xfId="0" applyFont="1" applyBorder="1" applyAlignment="1">
      <alignment vertical="center"/>
    </xf>
    <xf numFmtId="3" fontId="23" fillId="0" borderId="0" xfId="0" applyNumberFormat="1" applyFont="1" applyBorder="1" applyAlignment="1">
      <alignment horizontal="right" vertical="center"/>
    </xf>
    <xf numFmtId="174" fontId="23" fillId="0" borderId="0" xfId="0" applyNumberFormat="1" applyFont="1" applyBorder="1" applyAlignment="1">
      <alignment vertical="center"/>
    </xf>
    <xf numFmtId="174" fontId="23" fillId="0" borderId="0" xfId="0" applyNumberFormat="1" applyFont="1" applyBorder="1" applyAlignment="1">
      <alignment/>
    </xf>
    <xf numFmtId="3" fontId="23" fillId="0" borderId="11" xfId="0" applyNumberFormat="1" applyFont="1" applyBorder="1" applyAlignment="1">
      <alignment/>
    </xf>
    <xf numFmtId="0" fontId="23" fillId="0" borderId="12" xfId="0" applyFont="1" applyBorder="1" applyAlignment="1">
      <alignment horizontal="center"/>
    </xf>
    <xf numFmtId="0" fontId="23" fillId="0" borderId="12" xfId="0" applyFont="1" applyBorder="1" applyAlignment="1">
      <alignment horizontal="center" vertical="top"/>
    </xf>
    <xf numFmtId="0" fontId="23" fillId="0" borderId="0" xfId="0" applyFont="1" applyBorder="1" applyAlignment="1">
      <alignment horizontal="left"/>
    </xf>
    <xf numFmtId="0" fontId="24" fillId="0" borderId="13" xfId="0" applyFont="1" applyFill="1" applyBorder="1" applyAlignment="1">
      <alignment horizontal="left" vertical="center"/>
    </xf>
    <xf numFmtId="3" fontId="24" fillId="0" borderId="14" xfId="0" applyNumberFormat="1" applyFont="1" applyBorder="1" applyAlignment="1">
      <alignment horizontal="center" vertical="center"/>
    </xf>
    <xf numFmtId="3" fontId="24" fillId="0" borderId="11" xfId="0" applyNumberFormat="1" applyFont="1" applyBorder="1" applyAlignment="1">
      <alignment horizontal="center"/>
    </xf>
    <xf numFmtId="0" fontId="24" fillId="0" borderId="12" xfId="0" applyFont="1" applyBorder="1" applyAlignment="1">
      <alignment horizontal="center"/>
    </xf>
    <xf numFmtId="3" fontId="23" fillId="0" borderId="11" xfId="0" applyNumberFormat="1" applyFont="1" applyBorder="1" applyAlignment="1">
      <alignment horizontal="right"/>
    </xf>
    <xf numFmtId="1" fontId="23" fillId="0" borderId="12" xfId="0" applyNumberFormat="1" applyFont="1" applyBorder="1" applyAlignment="1">
      <alignment horizontal="center"/>
    </xf>
    <xf numFmtId="0" fontId="24" fillId="0" borderId="15" xfId="0" applyFont="1" applyFill="1" applyBorder="1" applyAlignment="1">
      <alignment horizontal="left" vertical="center"/>
    </xf>
    <xf numFmtId="3" fontId="24" fillId="0" borderId="16" xfId="0" applyNumberFormat="1" applyFont="1" applyBorder="1" applyAlignment="1">
      <alignment vertical="center"/>
    </xf>
    <xf numFmtId="3" fontId="24" fillId="0" borderId="17" xfId="0" applyNumberFormat="1" applyFont="1" applyBorder="1" applyAlignment="1">
      <alignment horizontal="center" vertical="center"/>
    </xf>
    <xf numFmtId="0" fontId="24" fillId="0" borderId="18" xfId="0" applyFont="1" applyBorder="1" applyAlignment="1">
      <alignment vertical="center"/>
    </xf>
    <xf numFmtId="3" fontId="23" fillId="0" borderId="11" xfId="0" applyNumberFormat="1" applyFont="1" applyBorder="1" applyAlignment="1">
      <alignment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0" fontId="24" fillId="0" borderId="15" xfId="0" applyFont="1" applyBorder="1" applyAlignment="1">
      <alignment horizontal="center" vertical="center"/>
    </xf>
    <xf numFmtId="0" fontId="23" fillId="0" borderId="17" xfId="0" applyFont="1" applyFill="1" applyBorder="1" applyAlignment="1">
      <alignment horizontal="center" vertical="center"/>
    </xf>
    <xf numFmtId="0" fontId="24" fillId="0" borderId="17" xfId="0" applyFont="1" applyBorder="1" applyAlignment="1">
      <alignment horizontal="right" vertical="center"/>
    </xf>
    <xf numFmtId="3" fontId="24" fillId="0" borderId="12" xfId="0" applyNumberFormat="1" applyFont="1" applyBorder="1" applyAlignment="1">
      <alignment horizontal="center" vertical="center"/>
    </xf>
    <xf numFmtId="0" fontId="24" fillId="0" borderId="0" xfId="0" applyFont="1" applyFill="1" applyBorder="1" applyAlignment="1">
      <alignment horizontal="left" vertical="center"/>
    </xf>
    <xf numFmtId="0" fontId="24" fillId="0" borderId="19" xfId="0" applyFont="1" applyFill="1" applyBorder="1" applyAlignment="1">
      <alignment horizontal="left" vertical="center"/>
    </xf>
    <xf numFmtId="3" fontId="24" fillId="0" borderId="20" xfId="0" applyNumberFormat="1" applyFont="1" applyBorder="1" applyAlignment="1">
      <alignment horizontal="center" vertical="center"/>
    </xf>
    <xf numFmtId="0" fontId="23" fillId="0" borderId="0" xfId="0" applyFont="1" applyBorder="1" applyAlignment="1">
      <alignment horizontal="right"/>
    </xf>
    <xf numFmtId="3" fontId="24" fillId="0" borderId="21" xfId="0" applyNumberFormat="1" applyFont="1" applyFill="1" applyBorder="1" applyAlignment="1">
      <alignment vertical="center"/>
    </xf>
    <xf numFmtId="0" fontId="23" fillId="0" borderId="0" xfId="0" applyFont="1" applyFill="1" applyBorder="1" applyAlignment="1">
      <alignment vertical="top"/>
    </xf>
    <xf numFmtId="3" fontId="23" fillId="0" borderId="22" xfId="0" applyNumberFormat="1" applyFont="1" applyFill="1" applyBorder="1" applyAlignment="1">
      <alignment horizontal="center" vertical="center" wrapText="1"/>
    </xf>
    <xf numFmtId="3" fontId="32" fillId="0" borderId="22" xfId="0" applyNumberFormat="1" applyFont="1" applyFill="1" applyBorder="1" applyAlignment="1">
      <alignment horizontal="center" vertical="center" wrapText="1"/>
    </xf>
    <xf numFmtId="3" fontId="22" fillId="0" borderId="0" xfId="0" applyNumberFormat="1" applyFont="1" applyFill="1" applyBorder="1" applyAlignment="1">
      <alignment vertical="center"/>
    </xf>
    <xf numFmtId="3" fontId="28" fillId="0" borderId="10" xfId="0" applyNumberFormat="1" applyFont="1" applyFill="1" applyBorder="1" applyAlignment="1">
      <alignment vertical="center"/>
    </xf>
    <xf numFmtId="3" fontId="25" fillId="0" borderId="23" xfId="0" applyNumberFormat="1" applyFont="1" applyFill="1" applyBorder="1" applyAlignment="1">
      <alignment/>
    </xf>
    <xf numFmtId="3" fontId="27" fillId="0" borderId="23" xfId="0" applyNumberFormat="1" applyFont="1" applyFill="1" applyBorder="1" applyAlignment="1">
      <alignment/>
    </xf>
    <xf numFmtId="3" fontId="27" fillId="0" borderId="0" xfId="0" applyNumberFormat="1" applyFont="1" applyFill="1" applyBorder="1" applyAlignment="1">
      <alignment/>
    </xf>
    <xf numFmtId="3" fontId="27" fillId="0" borderId="24" xfId="0" applyNumberFormat="1" applyFont="1" applyFill="1" applyBorder="1" applyAlignment="1">
      <alignment/>
    </xf>
    <xf numFmtId="3" fontId="27" fillId="0" borderId="0" xfId="0" applyNumberFormat="1" applyFont="1" applyFill="1" applyAlignment="1">
      <alignment/>
    </xf>
    <xf numFmtId="3" fontId="23" fillId="0" borderId="25" xfId="0" applyNumberFormat="1" applyFont="1" applyFill="1" applyBorder="1" applyAlignment="1">
      <alignment horizontal="center" vertical="center"/>
    </xf>
    <xf numFmtId="3" fontId="23" fillId="0" borderId="0" xfId="0" applyNumberFormat="1" applyFont="1" applyFill="1" applyBorder="1" applyAlignment="1">
      <alignment vertical="center"/>
    </xf>
    <xf numFmtId="3" fontId="29" fillId="0" borderId="0" xfId="0" applyNumberFormat="1" applyFont="1" applyFill="1" applyBorder="1" applyAlignment="1">
      <alignment vertical="center"/>
    </xf>
    <xf numFmtId="3" fontId="23" fillId="0" borderId="26"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28" fillId="0" borderId="0" xfId="0" applyNumberFormat="1" applyFont="1" applyFill="1" applyBorder="1" applyAlignment="1">
      <alignment vertical="center"/>
    </xf>
    <xf numFmtId="3" fontId="24" fillId="0" borderId="0" xfId="0" applyNumberFormat="1" applyFont="1" applyFill="1" applyBorder="1" applyAlignment="1">
      <alignment vertical="center"/>
    </xf>
    <xf numFmtId="3" fontId="24" fillId="0" borderId="23" xfId="0" applyNumberFormat="1" applyFont="1" applyFill="1" applyBorder="1" applyAlignment="1">
      <alignment vertical="center"/>
    </xf>
    <xf numFmtId="3" fontId="23" fillId="0" borderId="0" xfId="0" applyNumberFormat="1" applyFont="1" applyFill="1" applyBorder="1" applyAlignment="1">
      <alignment horizontal="center" vertical="center"/>
    </xf>
    <xf numFmtId="3" fontId="23" fillId="0" borderId="23" xfId="0" applyNumberFormat="1" applyFont="1" applyFill="1" applyBorder="1" applyAlignment="1">
      <alignment vertical="center"/>
    </xf>
    <xf numFmtId="3" fontId="23" fillId="0" borderId="0" xfId="0" applyNumberFormat="1" applyFont="1" applyFill="1" applyAlignment="1">
      <alignment vertical="center"/>
    </xf>
    <xf numFmtId="3" fontId="23" fillId="0" borderId="0" xfId="0" applyNumberFormat="1" applyFont="1" applyFill="1" applyBorder="1" applyAlignment="1">
      <alignment vertical="top"/>
    </xf>
    <xf numFmtId="3" fontId="25" fillId="0" borderId="27" xfId="0" applyNumberFormat="1" applyFont="1" applyFill="1" applyBorder="1" applyAlignment="1">
      <alignment vertical="center"/>
    </xf>
    <xf numFmtId="3" fontId="24" fillId="0" borderId="23" xfId="0" applyNumberFormat="1" applyFont="1" applyFill="1" applyBorder="1" applyAlignment="1">
      <alignment vertical="top"/>
    </xf>
    <xf numFmtId="3" fontId="24" fillId="0" borderId="23" xfId="0" applyNumberFormat="1" applyFont="1" applyFill="1" applyBorder="1" applyAlignment="1">
      <alignment/>
    </xf>
    <xf numFmtId="3" fontId="23" fillId="0" borderId="0" xfId="0" applyNumberFormat="1" applyFont="1" applyFill="1" applyAlignment="1">
      <alignment horizontal="center" vertical="center"/>
    </xf>
    <xf numFmtId="3" fontId="29" fillId="0" borderId="23" xfId="0" applyNumberFormat="1" applyFont="1" applyFill="1" applyBorder="1" applyAlignment="1">
      <alignment vertical="center"/>
    </xf>
    <xf numFmtId="3" fontId="27" fillId="0" borderId="28" xfId="0" applyNumberFormat="1" applyFont="1" applyFill="1" applyBorder="1" applyAlignment="1">
      <alignment horizontal="right" wrapText="1"/>
    </xf>
    <xf numFmtId="3" fontId="27" fillId="0" borderId="29" xfId="0" applyNumberFormat="1" applyFont="1" applyFill="1" applyBorder="1" applyAlignment="1">
      <alignment horizontal="right" wrapText="1"/>
    </xf>
    <xf numFmtId="3" fontId="29" fillId="0" borderId="0" xfId="0" applyNumberFormat="1" applyFont="1" applyFill="1" applyAlignment="1">
      <alignment vertical="center"/>
    </xf>
    <xf numFmtId="3" fontId="23" fillId="0" borderId="0" xfId="0" applyNumberFormat="1" applyFont="1" applyFill="1" applyAlignment="1">
      <alignment vertical="top"/>
    </xf>
    <xf numFmtId="3" fontId="29" fillId="0" borderId="26" xfId="0" applyNumberFormat="1" applyFont="1" applyFill="1" applyBorder="1" applyAlignment="1">
      <alignment horizontal="center" vertical="center"/>
    </xf>
    <xf numFmtId="3" fontId="23" fillId="0" borderId="0" xfId="0" applyNumberFormat="1" applyFont="1" applyFill="1" applyAlignment="1">
      <alignment/>
    </xf>
    <xf numFmtId="3" fontId="23" fillId="0" borderId="26" xfId="0" applyNumberFormat="1" applyFont="1" applyFill="1" applyBorder="1" applyAlignment="1">
      <alignment horizontal="center"/>
    </xf>
    <xf numFmtId="3" fontId="23" fillId="0" borderId="0" xfId="0" applyNumberFormat="1" applyFont="1" applyFill="1" applyBorder="1" applyAlignment="1">
      <alignment horizontal="center"/>
    </xf>
    <xf numFmtId="3" fontId="23" fillId="0" borderId="0" xfId="0" applyNumberFormat="1" applyFont="1" applyFill="1" applyBorder="1" applyAlignment="1">
      <alignment/>
    </xf>
    <xf numFmtId="3" fontId="29" fillId="0" borderId="0" xfId="0" applyNumberFormat="1" applyFont="1" applyFill="1" applyBorder="1" applyAlignment="1">
      <alignment/>
    </xf>
    <xf numFmtId="3" fontId="34" fillId="0" borderId="0" xfId="0" applyNumberFormat="1" applyFont="1" applyFill="1" applyBorder="1" applyAlignment="1">
      <alignment vertical="center"/>
    </xf>
    <xf numFmtId="0" fontId="23" fillId="0" borderId="30" xfId="102" applyFont="1" applyFill="1" applyBorder="1" applyAlignment="1">
      <alignment horizontal="center" wrapText="1"/>
      <protection/>
    </xf>
    <xf numFmtId="0" fontId="23" fillId="0" borderId="30" xfId="116" applyFont="1" applyFill="1" applyBorder="1" applyAlignment="1">
      <alignment horizontal="center" wrapText="1"/>
      <protection/>
    </xf>
    <xf numFmtId="0" fontId="38" fillId="0" borderId="30" xfId="116" applyFont="1" applyFill="1" applyBorder="1" applyAlignment="1">
      <alignment wrapText="1"/>
      <protection/>
    </xf>
    <xf numFmtId="3" fontId="25" fillId="0" borderId="13" xfId="0" applyNumberFormat="1" applyFont="1" applyFill="1" applyBorder="1" applyAlignment="1">
      <alignment vertical="center"/>
    </xf>
    <xf numFmtId="3" fontId="25" fillId="0" borderId="31" xfId="0" applyNumberFormat="1" applyFont="1" applyFill="1" applyBorder="1" applyAlignment="1">
      <alignment vertical="center"/>
    </xf>
    <xf numFmtId="3" fontId="27" fillId="0" borderId="19" xfId="0" applyNumberFormat="1" applyFont="1" applyFill="1" applyBorder="1" applyAlignment="1">
      <alignment/>
    </xf>
    <xf numFmtId="3" fontId="26" fillId="0" borderId="0" xfId="0" applyNumberFormat="1" applyFont="1" applyFill="1" applyBorder="1" applyAlignment="1">
      <alignment/>
    </xf>
    <xf numFmtId="3" fontId="26" fillId="0" borderId="0" xfId="0" applyNumberFormat="1" applyFont="1" applyFill="1" applyBorder="1" applyAlignment="1">
      <alignment/>
    </xf>
    <xf numFmtId="3" fontId="26" fillId="0" borderId="23" xfId="0" applyNumberFormat="1" applyFont="1" applyFill="1" applyBorder="1" applyAlignment="1">
      <alignment/>
    </xf>
    <xf numFmtId="3" fontId="26" fillId="0" borderId="0" xfId="0" applyNumberFormat="1" applyFont="1" applyFill="1" applyBorder="1" applyAlignment="1">
      <alignment vertical="center"/>
    </xf>
    <xf numFmtId="3" fontId="26" fillId="0" borderId="23" xfId="0" applyNumberFormat="1" applyFont="1" applyFill="1" applyBorder="1" applyAlignment="1">
      <alignment vertical="center"/>
    </xf>
    <xf numFmtId="3" fontId="26" fillId="0" borderId="13" xfId="0" applyNumberFormat="1" applyFont="1" applyFill="1" applyBorder="1" applyAlignment="1">
      <alignment vertical="center"/>
    </xf>
    <xf numFmtId="3" fontId="26" fillId="0" borderId="27" xfId="0" applyNumberFormat="1" applyFont="1" applyFill="1" applyBorder="1" applyAlignment="1">
      <alignment vertical="center"/>
    </xf>
    <xf numFmtId="3" fontId="26" fillId="0" borderId="32" xfId="0" applyNumberFormat="1" applyFont="1" applyFill="1" applyBorder="1" applyAlignment="1">
      <alignment vertical="center"/>
    </xf>
    <xf numFmtId="3" fontId="26" fillId="0" borderId="33" xfId="0" applyNumberFormat="1" applyFont="1" applyFill="1" applyBorder="1" applyAlignment="1">
      <alignment vertical="center"/>
    </xf>
    <xf numFmtId="3" fontId="22" fillId="0" borderId="0" xfId="0" applyNumberFormat="1" applyFont="1" applyFill="1" applyAlignment="1">
      <alignment vertical="center"/>
    </xf>
    <xf numFmtId="3" fontId="22" fillId="0" borderId="0" xfId="0" applyNumberFormat="1" applyFont="1" applyFill="1" applyAlignment="1">
      <alignment horizontal="center" vertical="center"/>
    </xf>
    <xf numFmtId="3" fontId="22" fillId="0" borderId="0" xfId="0" applyNumberFormat="1" applyFont="1" applyFill="1" applyAlignment="1">
      <alignment/>
    </xf>
    <xf numFmtId="3" fontId="22" fillId="0" borderId="0" xfId="0" applyNumberFormat="1" applyFont="1" applyFill="1" applyBorder="1" applyAlignment="1">
      <alignment/>
    </xf>
    <xf numFmtId="3" fontId="28" fillId="0" borderId="0" xfId="0" applyNumberFormat="1" applyFont="1" applyFill="1" applyBorder="1" applyAlignment="1">
      <alignment/>
    </xf>
    <xf numFmtId="3" fontId="23" fillId="0" borderId="34" xfId="0" applyNumberFormat="1" applyFont="1" applyBorder="1" applyAlignment="1">
      <alignment/>
    </xf>
    <xf numFmtId="3" fontId="24" fillId="0" borderId="35" xfId="0" applyNumberFormat="1" applyFont="1" applyBorder="1" applyAlignment="1">
      <alignment horizontal="right" vertical="center"/>
    </xf>
    <xf numFmtId="3" fontId="23" fillId="0" borderId="34" xfId="0" applyNumberFormat="1" applyFont="1" applyBorder="1" applyAlignment="1">
      <alignment horizontal="right"/>
    </xf>
    <xf numFmtId="3" fontId="24" fillId="0" borderId="36" xfId="0" applyNumberFormat="1" applyFont="1" applyBorder="1" applyAlignment="1">
      <alignment horizontal="right" vertical="center"/>
    </xf>
    <xf numFmtId="3" fontId="23" fillId="0" borderId="34" xfId="0" applyNumberFormat="1" applyFont="1" applyBorder="1" applyAlignment="1">
      <alignment vertical="center"/>
    </xf>
    <xf numFmtId="3" fontId="24" fillId="0" borderId="36" xfId="0" applyNumberFormat="1" applyFont="1" applyBorder="1" applyAlignment="1">
      <alignment vertical="center"/>
    </xf>
    <xf numFmtId="3" fontId="26" fillId="0" borderId="23" xfId="0" applyNumberFormat="1" applyFont="1" applyFill="1" applyBorder="1" applyAlignment="1">
      <alignment/>
    </xf>
    <xf numFmtId="0" fontId="25" fillId="0" borderId="0" xfId="0" applyFont="1" applyFill="1" applyBorder="1" applyAlignment="1">
      <alignment horizontal="left" wrapText="1"/>
    </xf>
    <xf numFmtId="3" fontId="26" fillId="0" borderId="19" xfId="0" applyNumberFormat="1" applyFont="1" applyFill="1" applyBorder="1" applyAlignment="1">
      <alignment/>
    </xf>
    <xf numFmtId="3" fontId="26" fillId="0" borderId="24" xfId="0" applyNumberFormat="1" applyFont="1" applyFill="1" applyBorder="1" applyAlignment="1">
      <alignment/>
    </xf>
    <xf numFmtId="3" fontId="23" fillId="0" borderId="37" xfId="0" applyNumberFormat="1" applyFont="1" applyFill="1" applyBorder="1" applyAlignment="1">
      <alignment horizontal="center"/>
    </xf>
    <xf numFmtId="3" fontId="23" fillId="0" borderId="37" xfId="0" applyNumberFormat="1" applyFont="1" applyFill="1" applyBorder="1" applyAlignment="1">
      <alignment/>
    </xf>
    <xf numFmtId="3" fontId="36" fillId="0" borderId="0" xfId="0" applyNumberFormat="1" applyFont="1" applyFill="1" applyAlignment="1">
      <alignment horizontal="center" vertical="top"/>
    </xf>
    <xf numFmtId="3" fontId="23" fillId="0" borderId="0" xfId="0" applyNumberFormat="1" applyFont="1" applyFill="1" applyAlignment="1">
      <alignment horizontal="center" vertical="top"/>
    </xf>
    <xf numFmtId="3" fontId="23" fillId="0" borderId="0" xfId="0" applyNumberFormat="1" applyFont="1" applyFill="1" applyAlignment="1">
      <alignment/>
    </xf>
    <xf numFmtId="3" fontId="23" fillId="0" borderId="0" xfId="0" applyNumberFormat="1" applyFont="1" applyFill="1" applyAlignment="1">
      <alignment horizontal="center"/>
    </xf>
    <xf numFmtId="3" fontId="36" fillId="0" borderId="0" xfId="0" applyNumberFormat="1" applyFont="1" applyFill="1" applyBorder="1" applyAlignment="1">
      <alignment horizontal="center"/>
    </xf>
    <xf numFmtId="3" fontId="36" fillId="0" borderId="0" xfId="0" applyNumberFormat="1" applyFont="1" applyFill="1" applyBorder="1" applyAlignment="1">
      <alignment horizontal="center" vertical="center"/>
    </xf>
    <xf numFmtId="3" fontId="36" fillId="0" borderId="0" xfId="0" applyNumberFormat="1" applyFont="1" applyFill="1" applyAlignment="1">
      <alignment horizontal="center"/>
    </xf>
    <xf numFmtId="3" fontId="24" fillId="0" borderId="0" xfId="0" applyNumberFormat="1" applyFont="1" applyFill="1" applyBorder="1" applyAlignment="1">
      <alignment/>
    </xf>
    <xf numFmtId="3" fontId="24" fillId="0" borderId="0" xfId="0" applyNumberFormat="1" applyFont="1" applyFill="1" applyBorder="1" applyAlignment="1">
      <alignment horizontal="left" vertical="center"/>
    </xf>
    <xf numFmtId="3" fontId="24" fillId="0" borderId="10" xfId="0" applyNumberFormat="1" applyFont="1" applyFill="1" applyBorder="1" applyAlignment="1">
      <alignment horizontal="left" vertical="center"/>
    </xf>
    <xf numFmtId="3" fontId="22" fillId="0" borderId="0" xfId="0" applyNumberFormat="1" applyFont="1" applyFill="1" applyAlignment="1">
      <alignment horizontal="center"/>
    </xf>
    <xf numFmtId="3" fontId="22" fillId="0" borderId="0" xfId="0" applyNumberFormat="1" applyFont="1" applyFill="1" applyBorder="1" applyAlignment="1">
      <alignment horizontal="center" vertical="center"/>
    </xf>
    <xf numFmtId="3" fontId="30" fillId="0" borderId="0" xfId="0" applyNumberFormat="1" applyFont="1" applyFill="1" applyAlignment="1">
      <alignment horizontal="center" vertical="center"/>
    </xf>
    <xf numFmtId="3" fontId="42" fillId="0" borderId="26"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0" xfId="0" applyNumberFormat="1" applyFont="1" applyFill="1" applyBorder="1" applyAlignment="1">
      <alignment/>
    </xf>
    <xf numFmtId="3" fontId="43" fillId="0" borderId="0" xfId="0" applyNumberFormat="1" applyFont="1" applyFill="1" applyBorder="1" applyAlignment="1">
      <alignment/>
    </xf>
    <xf numFmtId="3" fontId="42" fillId="0" borderId="23" xfId="0" applyNumberFormat="1" applyFont="1" applyFill="1" applyBorder="1" applyAlignment="1">
      <alignment/>
    </xf>
    <xf numFmtId="3" fontId="23" fillId="0" borderId="23" xfId="0" applyNumberFormat="1" applyFont="1" applyFill="1" applyBorder="1" applyAlignment="1">
      <alignment/>
    </xf>
    <xf numFmtId="3" fontId="29" fillId="0" borderId="23" xfId="0" applyNumberFormat="1" applyFont="1" applyFill="1" applyBorder="1" applyAlignment="1">
      <alignment/>
    </xf>
    <xf numFmtId="3" fontId="24" fillId="0" borderId="26" xfId="0" applyNumberFormat="1" applyFont="1" applyFill="1" applyBorder="1" applyAlignment="1">
      <alignment horizontal="center" vertical="center"/>
    </xf>
    <xf numFmtId="3" fontId="24" fillId="0" borderId="26" xfId="0" applyNumberFormat="1" applyFont="1" applyFill="1" applyBorder="1" applyAlignment="1">
      <alignment horizontal="center" vertical="top"/>
    </xf>
    <xf numFmtId="3" fontId="24" fillId="0" borderId="0" xfId="0" applyNumberFormat="1" applyFont="1" applyFill="1" applyBorder="1" applyAlignment="1">
      <alignment horizontal="center" vertical="top"/>
    </xf>
    <xf numFmtId="3" fontId="24" fillId="0" borderId="0" xfId="0" applyNumberFormat="1" applyFont="1" applyFill="1" applyBorder="1" applyAlignment="1">
      <alignment vertical="top"/>
    </xf>
    <xf numFmtId="3" fontId="29" fillId="0" borderId="38" xfId="0" applyNumberFormat="1" applyFont="1" applyFill="1" applyBorder="1" applyAlignment="1">
      <alignment vertical="center"/>
    </xf>
    <xf numFmtId="3" fontId="23" fillId="0" borderId="39" xfId="0" applyNumberFormat="1" applyFont="1" applyFill="1" applyBorder="1" applyAlignment="1">
      <alignment vertical="center"/>
    </xf>
    <xf numFmtId="3" fontId="43" fillId="0" borderId="26" xfId="0" applyNumberFormat="1" applyFont="1" applyFill="1" applyBorder="1" applyAlignment="1">
      <alignment horizontal="center" vertical="center"/>
    </xf>
    <xf numFmtId="3" fontId="43" fillId="0" borderId="0" xfId="0" applyNumberFormat="1" applyFont="1" applyFill="1" applyBorder="1" applyAlignment="1">
      <alignment vertical="center"/>
    </xf>
    <xf numFmtId="3" fontId="42" fillId="0" borderId="0" xfId="0" applyNumberFormat="1" applyFont="1" applyFill="1" applyBorder="1" applyAlignment="1">
      <alignment vertical="center"/>
    </xf>
    <xf numFmtId="3" fontId="42" fillId="0" borderId="23" xfId="0" applyNumberFormat="1" applyFont="1" applyFill="1" applyBorder="1" applyAlignment="1">
      <alignment vertical="center"/>
    </xf>
    <xf numFmtId="3" fontId="29" fillId="0" borderId="19" xfId="0" applyNumberFormat="1" applyFont="1" applyFill="1" applyBorder="1" applyAlignment="1">
      <alignment vertical="center"/>
    </xf>
    <xf numFmtId="3" fontId="24" fillId="0" borderId="19" xfId="0" applyNumberFormat="1" applyFont="1" applyFill="1" applyBorder="1" applyAlignment="1">
      <alignment vertical="center"/>
    </xf>
    <xf numFmtId="3" fontId="34" fillId="0" borderId="19" xfId="0" applyNumberFormat="1" applyFont="1" applyFill="1" applyBorder="1" applyAlignment="1">
      <alignment vertical="center"/>
    </xf>
    <xf numFmtId="3" fontId="24" fillId="0" borderId="39" xfId="0" applyNumberFormat="1" applyFont="1" applyFill="1" applyBorder="1" applyAlignment="1">
      <alignment vertical="center"/>
    </xf>
    <xf numFmtId="3" fontId="24" fillId="0" borderId="24" xfId="0" applyNumberFormat="1" applyFont="1" applyFill="1" applyBorder="1" applyAlignment="1">
      <alignment vertical="center"/>
    </xf>
    <xf numFmtId="3" fontId="34" fillId="0" borderId="0" xfId="0" applyNumberFormat="1" applyFont="1" applyFill="1" applyBorder="1" applyAlignment="1">
      <alignment vertical="top"/>
    </xf>
    <xf numFmtId="3" fontId="29" fillId="0" borderId="26" xfId="0" applyNumberFormat="1" applyFont="1" applyFill="1" applyBorder="1" applyAlignment="1">
      <alignment horizontal="center"/>
    </xf>
    <xf numFmtId="3" fontId="29" fillId="0" borderId="38" xfId="0" applyNumberFormat="1" applyFont="1" applyFill="1" applyBorder="1" applyAlignment="1">
      <alignment/>
    </xf>
    <xf numFmtId="3" fontId="23" fillId="0" borderId="38" xfId="0" applyNumberFormat="1" applyFont="1" applyFill="1" applyBorder="1" applyAlignment="1">
      <alignment/>
    </xf>
    <xf numFmtId="3" fontId="24" fillId="0" borderId="39" xfId="0" applyNumberFormat="1" applyFont="1" applyFill="1" applyBorder="1" applyAlignment="1">
      <alignment/>
    </xf>
    <xf numFmtId="3" fontId="23" fillId="0" borderId="40" xfId="0" applyNumberFormat="1" applyFont="1" applyFill="1" applyBorder="1" applyAlignment="1">
      <alignment horizontal="center"/>
    </xf>
    <xf numFmtId="3" fontId="24" fillId="0" borderId="37" xfId="0" applyNumberFormat="1" applyFont="1" applyFill="1" applyBorder="1" applyAlignment="1">
      <alignment/>
    </xf>
    <xf numFmtId="3" fontId="34" fillId="0" borderId="37" xfId="0" applyNumberFormat="1" applyFont="1" applyFill="1" applyBorder="1" applyAlignment="1">
      <alignment/>
    </xf>
    <xf numFmtId="3" fontId="24" fillId="0" borderId="41" xfId="0" applyNumberFormat="1" applyFont="1" applyFill="1" applyBorder="1" applyAlignment="1">
      <alignment/>
    </xf>
    <xf numFmtId="3" fontId="44" fillId="0" borderId="0" xfId="0" applyNumberFormat="1" applyFont="1" applyFill="1" applyBorder="1" applyAlignment="1">
      <alignment horizontal="left" vertical="center"/>
    </xf>
    <xf numFmtId="3" fontId="34" fillId="0" borderId="10" xfId="0" applyNumberFormat="1" applyFont="1" applyFill="1" applyBorder="1" applyAlignment="1">
      <alignment vertical="center"/>
    </xf>
    <xf numFmtId="3" fontId="29" fillId="0" borderId="42" xfId="0" applyNumberFormat="1" applyFont="1" applyFill="1" applyBorder="1" applyAlignment="1">
      <alignment horizontal="center"/>
    </xf>
    <xf numFmtId="3" fontId="29" fillId="0" borderId="43" xfId="0" applyNumberFormat="1" applyFont="1" applyFill="1" applyBorder="1" applyAlignment="1">
      <alignment horizontal="center" vertical="top"/>
    </xf>
    <xf numFmtId="3" fontId="29" fillId="0" borderId="19" xfId="0" applyNumberFormat="1" applyFont="1" applyFill="1" applyBorder="1" applyAlignment="1">
      <alignment vertical="top"/>
    </xf>
    <xf numFmtId="3" fontId="34" fillId="0" borderId="19" xfId="0" applyNumberFormat="1" applyFont="1" applyFill="1" applyBorder="1" applyAlignment="1">
      <alignment vertical="top"/>
    </xf>
    <xf numFmtId="3" fontId="24" fillId="0" borderId="24" xfId="0" applyNumberFormat="1" applyFont="1" applyFill="1" applyBorder="1" applyAlignment="1">
      <alignment vertical="top"/>
    </xf>
    <xf numFmtId="3" fontId="23" fillId="0" borderId="23" xfId="0" applyNumberFormat="1" applyFont="1" applyFill="1" applyBorder="1" applyAlignment="1">
      <alignment vertical="top"/>
    </xf>
    <xf numFmtId="3" fontId="22" fillId="0" borderId="0" xfId="0" applyNumberFormat="1" applyFont="1" applyFill="1" applyAlignment="1">
      <alignment horizontal="left" vertical="center"/>
    </xf>
    <xf numFmtId="3" fontId="23" fillId="0" borderId="22" xfId="0" applyNumberFormat="1" applyFont="1" applyFill="1" applyBorder="1" applyAlignment="1">
      <alignment horizontal="center" vertical="center"/>
    </xf>
    <xf numFmtId="3" fontId="22" fillId="0" borderId="37" xfId="0" applyNumberFormat="1" applyFont="1" applyFill="1" applyBorder="1" applyAlignment="1">
      <alignment/>
    </xf>
    <xf numFmtId="3" fontId="23" fillId="0" borderId="44" xfId="0" applyNumberFormat="1" applyFont="1" applyFill="1" applyBorder="1" applyAlignment="1">
      <alignment/>
    </xf>
    <xf numFmtId="3" fontId="23" fillId="0" borderId="41" xfId="0" applyNumberFormat="1" applyFont="1" applyFill="1" applyBorder="1" applyAlignment="1">
      <alignment/>
    </xf>
    <xf numFmtId="3" fontId="23" fillId="0" borderId="12" xfId="0" applyNumberFormat="1" applyFont="1" applyFill="1" applyBorder="1" applyAlignment="1">
      <alignment vertical="center"/>
    </xf>
    <xf numFmtId="3" fontId="45" fillId="0" borderId="0" xfId="0" applyNumberFormat="1" applyFont="1" applyFill="1" applyBorder="1" applyAlignment="1">
      <alignment vertical="center"/>
    </xf>
    <xf numFmtId="3" fontId="42" fillId="0" borderId="12" xfId="0" applyNumberFormat="1" applyFont="1" applyFill="1" applyBorder="1" applyAlignment="1">
      <alignment/>
    </xf>
    <xf numFmtId="3" fontId="23" fillId="0" borderId="12" xfId="0" applyNumberFormat="1" applyFont="1" applyFill="1" applyBorder="1" applyAlignment="1">
      <alignment/>
    </xf>
    <xf numFmtId="3" fontId="24" fillId="0" borderId="12" xfId="0" applyNumberFormat="1" applyFont="1" applyFill="1" applyBorder="1" applyAlignment="1">
      <alignment/>
    </xf>
    <xf numFmtId="3" fontId="42" fillId="0" borderId="12" xfId="0" applyNumberFormat="1" applyFont="1" applyFill="1" applyBorder="1" applyAlignment="1">
      <alignment vertical="center"/>
    </xf>
    <xf numFmtId="3" fontId="24" fillId="0" borderId="12" xfId="0" applyNumberFormat="1" applyFont="1" applyFill="1" applyBorder="1" applyAlignment="1">
      <alignment vertical="center"/>
    </xf>
    <xf numFmtId="3" fontId="42" fillId="0" borderId="12" xfId="0" applyNumberFormat="1" applyFont="1" applyFill="1" applyBorder="1" applyAlignment="1">
      <alignment vertical="top"/>
    </xf>
    <xf numFmtId="3" fontId="42" fillId="0" borderId="0" xfId="0" applyNumberFormat="1" applyFont="1" applyFill="1" applyBorder="1" applyAlignment="1">
      <alignment vertical="top"/>
    </xf>
    <xf numFmtId="3" fontId="42" fillId="0" borderId="23" xfId="0" applyNumberFormat="1" applyFont="1" applyFill="1" applyBorder="1" applyAlignment="1">
      <alignment vertical="top"/>
    </xf>
    <xf numFmtId="3" fontId="23" fillId="0" borderId="12" xfId="0" applyNumberFormat="1" applyFont="1" applyFill="1" applyBorder="1" applyAlignment="1">
      <alignment vertical="top"/>
    </xf>
    <xf numFmtId="3" fontId="24" fillId="0" borderId="12" xfId="0" applyNumberFormat="1" applyFont="1" applyFill="1" applyBorder="1" applyAlignment="1">
      <alignment vertical="top"/>
    </xf>
    <xf numFmtId="3" fontId="42" fillId="0" borderId="26" xfId="0" applyNumberFormat="1" applyFont="1" applyFill="1" applyBorder="1" applyAlignment="1">
      <alignment horizontal="center"/>
    </xf>
    <xf numFmtId="3" fontId="42" fillId="0" borderId="0" xfId="0" applyNumberFormat="1" applyFont="1" applyFill="1" applyBorder="1" applyAlignment="1">
      <alignment horizontal="center"/>
    </xf>
    <xf numFmtId="3" fontId="45" fillId="0" borderId="0" xfId="0" applyNumberFormat="1" applyFont="1" applyFill="1" applyBorder="1" applyAlignment="1">
      <alignment/>
    </xf>
    <xf numFmtId="3" fontId="28" fillId="0" borderId="0" xfId="0" applyNumberFormat="1" applyFont="1" applyFill="1" applyBorder="1" applyAlignment="1">
      <alignment vertical="top"/>
    </xf>
    <xf numFmtId="3" fontId="23" fillId="0" borderId="42" xfId="0" applyNumberFormat="1" applyFont="1" applyFill="1" applyBorder="1" applyAlignment="1">
      <alignment horizontal="center" vertical="center"/>
    </xf>
    <xf numFmtId="3" fontId="23" fillId="0" borderId="38" xfId="0" applyNumberFormat="1" applyFont="1" applyFill="1" applyBorder="1" applyAlignment="1">
      <alignment vertical="center"/>
    </xf>
    <xf numFmtId="3" fontId="23" fillId="0" borderId="38" xfId="0" applyNumberFormat="1" applyFont="1" applyFill="1" applyBorder="1" applyAlignment="1">
      <alignment horizontal="center" vertical="center"/>
    </xf>
    <xf numFmtId="3" fontId="23" fillId="0" borderId="45" xfId="0" applyNumberFormat="1" applyFont="1" applyFill="1" applyBorder="1" applyAlignment="1">
      <alignment vertical="center"/>
    </xf>
    <xf numFmtId="3" fontId="24" fillId="0" borderId="46" xfId="0" applyNumberFormat="1" applyFont="1" applyFill="1" applyBorder="1" applyAlignment="1">
      <alignment horizontal="center" vertical="center"/>
    </xf>
    <xf numFmtId="3" fontId="24" fillId="0" borderId="47" xfId="0" applyNumberFormat="1" applyFont="1" applyFill="1" applyBorder="1" applyAlignment="1">
      <alignment horizontal="center" vertical="center"/>
    </xf>
    <xf numFmtId="3" fontId="28" fillId="0" borderId="47" xfId="0" applyNumberFormat="1" applyFont="1" applyFill="1" applyBorder="1" applyAlignment="1">
      <alignment vertical="center"/>
    </xf>
    <xf numFmtId="3" fontId="24" fillId="0" borderId="47" xfId="0" applyNumberFormat="1" applyFont="1" applyFill="1" applyBorder="1" applyAlignment="1">
      <alignment vertical="center"/>
    </xf>
    <xf numFmtId="3" fontId="43" fillId="0" borderId="23" xfId="0" applyNumberFormat="1" applyFont="1" applyFill="1" applyBorder="1" applyAlignment="1">
      <alignment/>
    </xf>
    <xf numFmtId="3" fontId="22" fillId="0" borderId="38" xfId="0" applyNumberFormat="1" applyFont="1" applyFill="1" applyBorder="1" applyAlignment="1">
      <alignment vertical="center"/>
    </xf>
    <xf numFmtId="3" fontId="24" fillId="0" borderId="45" xfId="0" applyNumberFormat="1" applyFont="1" applyFill="1" applyBorder="1" applyAlignment="1">
      <alignment vertical="center"/>
    </xf>
    <xf numFmtId="3" fontId="24" fillId="0" borderId="38" xfId="0" applyNumberFormat="1" applyFont="1" applyFill="1" applyBorder="1" applyAlignment="1">
      <alignment vertical="center"/>
    </xf>
    <xf numFmtId="3" fontId="24" fillId="0" borderId="48" xfId="0" applyNumberFormat="1" applyFont="1" applyFill="1" applyBorder="1" applyAlignment="1">
      <alignment vertical="center"/>
    </xf>
    <xf numFmtId="3" fontId="34" fillId="0" borderId="12" xfId="0" applyNumberFormat="1" applyFont="1" applyFill="1" applyBorder="1" applyAlignment="1">
      <alignment/>
    </xf>
    <xf numFmtId="3" fontId="23" fillId="0" borderId="49" xfId="0" applyNumberFormat="1" applyFont="1" applyFill="1" applyBorder="1" applyAlignment="1">
      <alignment/>
    </xf>
    <xf numFmtId="3" fontId="43" fillId="0" borderId="23" xfId="0" applyNumberFormat="1" applyFont="1" applyFill="1" applyBorder="1" applyAlignment="1">
      <alignment vertical="center"/>
    </xf>
    <xf numFmtId="3" fontId="24" fillId="0" borderId="44" xfId="0" applyNumberFormat="1" applyFont="1" applyFill="1" applyBorder="1" applyAlignment="1">
      <alignment/>
    </xf>
    <xf numFmtId="3" fontId="24" fillId="0" borderId="25" xfId="0" applyNumberFormat="1" applyFont="1" applyFill="1" applyBorder="1" applyAlignment="1">
      <alignment horizontal="center" vertical="top"/>
    </xf>
    <xf numFmtId="3" fontId="24" fillId="0" borderId="10" xfId="0" applyNumberFormat="1" applyFont="1" applyFill="1" applyBorder="1" applyAlignment="1">
      <alignment horizontal="center" vertical="top"/>
    </xf>
    <xf numFmtId="3" fontId="28" fillId="0" borderId="10" xfId="0" applyNumberFormat="1" applyFont="1" applyFill="1" applyBorder="1" applyAlignment="1">
      <alignment vertical="top"/>
    </xf>
    <xf numFmtId="3" fontId="24" fillId="0" borderId="50" xfId="0" applyNumberFormat="1" applyFont="1" applyFill="1" applyBorder="1" applyAlignment="1">
      <alignment vertical="top"/>
    </xf>
    <xf numFmtId="3" fontId="24" fillId="0" borderId="0" xfId="0" applyNumberFormat="1" applyFont="1" applyFill="1" applyBorder="1" applyAlignment="1">
      <alignment horizontal="center"/>
    </xf>
    <xf numFmtId="3" fontId="24" fillId="0" borderId="38" xfId="0" applyNumberFormat="1" applyFont="1" applyFill="1" applyBorder="1" applyAlignment="1">
      <alignment horizontal="center" vertical="center" wrapText="1"/>
    </xf>
    <xf numFmtId="3"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left" vertical="center" wrapText="1"/>
    </xf>
    <xf numFmtId="3" fontId="23" fillId="0" borderId="0" xfId="0" applyNumberFormat="1" applyFont="1" applyFill="1" applyBorder="1" applyAlignment="1">
      <alignment horizontal="center" vertical="center" wrapText="1"/>
    </xf>
    <xf numFmtId="3" fontId="24" fillId="0" borderId="47" xfId="0" applyNumberFormat="1" applyFont="1" applyFill="1" applyBorder="1" applyAlignment="1">
      <alignment horizontal="left" vertical="center" wrapText="1"/>
    </xf>
    <xf numFmtId="3" fontId="24" fillId="0" borderId="47" xfId="0" applyNumberFormat="1" applyFont="1" applyFill="1" applyBorder="1" applyAlignment="1">
      <alignment horizontal="center" vertical="center" wrapText="1"/>
    </xf>
    <xf numFmtId="3" fontId="24" fillId="0" borderId="25" xfId="0" applyNumberFormat="1" applyFont="1" applyFill="1" applyBorder="1" applyAlignment="1">
      <alignment horizontal="center" vertical="center"/>
    </xf>
    <xf numFmtId="3" fontId="24" fillId="0" borderId="10" xfId="0" applyNumberFormat="1" applyFont="1" applyFill="1" applyBorder="1" applyAlignment="1">
      <alignment horizontal="center" vertical="center"/>
    </xf>
    <xf numFmtId="3" fontId="36" fillId="0" borderId="0" xfId="0" applyNumberFormat="1" applyFont="1" applyFill="1" applyAlignment="1">
      <alignment/>
    </xf>
    <xf numFmtId="3" fontId="48" fillId="0" borderId="28" xfId="0" applyNumberFormat="1" applyFont="1" applyFill="1" applyBorder="1" applyAlignment="1">
      <alignment horizontal="right" wrapText="1"/>
    </xf>
    <xf numFmtId="3" fontId="48" fillId="0" borderId="29" xfId="0" applyNumberFormat="1" applyFont="1" applyFill="1" applyBorder="1" applyAlignment="1">
      <alignment horizontal="right" wrapText="1"/>
    </xf>
    <xf numFmtId="3" fontId="31" fillId="0" borderId="28" xfId="0" applyNumberFormat="1" applyFont="1" applyFill="1" applyBorder="1" applyAlignment="1">
      <alignment horizontal="right" wrapText="1"/>
    </xf>
    <xf numFmtId="3" fontId="31" fillId="0" borderId="29" xfId="0" applyNumberFormat="1" applyFont="1" applyFill="1" applyBorder="1" applyAlignment="1">
      <alignment horizontal="right" wrapText="1"/>
    </xf>
    <xf numFmtId="3" fontId="49" fillId="0" borderId="28" xfId="0" applyNumberFormat="1" applyFont="1" applyFill="1" applyBorder="1" applyAlignment="1">
      <alignment horizontal="right" wrapText="1"/>
    </xf>
    <xf numFmtId="3" fontId="49" fillId="0" borderId="29" xfId="0" applyNumberFormat="1" applyFont="1" applyFill="1" applyBorder="1" applyAlignment="1">
      <alignment horizontal="right" wrapText="1"/>
    </xf>
    <xf numFmtId="3" fontId="25" fillId="0" borderId="51" xfId="0" applyNumberFormat="1" applyFont="1" applyFill="1" applyBorder="1" applyAlignment="1">
      <alignment horizontal="right" wrapText="1"/>
    </xf>
    <xf numFmtId="3" fontId="25" fillId="0" borderId="52" xfId="0" applyNumberFormat="1" applyFont="1" applyFill="1" applyBorder="1" applyAlignment="1">
      <alignment horizontal="right" wrapText="1"/>
    </xf>
    <xf numFmtId="3" fontId="27" fillId="0" borderId="51" xfId="0" applyNumberFormat="1" applyFont="1" applyFill="1" applyBorder="1" applyAlignment="1">
      <alignment horizontal="right" wrapText="1"/>
    </xf>
    <xf numFmtId="3" fontId="27" fillId="0" borderId="52" xfId="0" applyNumberFormat="1" applyFont="1" applyFill="1" applyBorder="1" applyAlignment="1">
      <alignment horizontal="right" wrapText="1"/>
    </xf>
    <xf numFmtId="3" fontId="36" fillId="0" borderId="0" xfId="0" applyNumberFormat="1" applyFont="1" applyFill="1" applyBorder="1" applyAlignment="1">
      <alignment/>
    </xf>
    <xf numFmtId="0" fontId="25" fillId="0" borderId="53"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54" xfId="0" applyFont="1" applyFill="1" applyBorder="1" applyAlignment="1">
      <alignment horizontal="center" vertical="center" wrapText="1"/>
    </xf>
    <xf numFmtId="0" fontId="22" fillId="0" borderId="0" xfId="0" applyFont="1" applyFill="1" applyBorder="1" applyAlignment="1">
      <alignment horizontal="center"/>
    </xf>
    <xf numFmtId="0" fontId="48" fillId="0" borderId="0" xfId="0" applyFont="1" applyFill="1" applyBorder="1" applyAlignment="1">
      <alignment/>
    </xf>
    <xf numFmtId="3" fontId="48" fillId="0" borderId="0" xfId="0" applyNumberFormat="1" applyFont="1" applyFill="1" applyBorder="1" applyAlignment="1">
      <alignment horizontal="right"/>
    </xf>
    <xf numFmtId="0" fontId="27" fillId="0" borderId="0" xfId="0" applyFont="1" applyFill="1" applyBorder="1" applyAlignment="1">
      <alignment/>
    </xf>
    <xf numFmtId="3" fontId="27" fillId="0" borderId="0" xfId="0" applyNumberFormat="1" applyFont="1" applyFill="1" applyBorder="1" applyAlignment="1">
      <alignment horizontal="right"/>
    </xf>
    <xf numFmtId="3" fontId="25" fillId="0" borderId="19" xfId="0" applyNumberFormat="1" applyFont="1" applyFill="1" applyBorder="1" applyAlignment="1">
      <alignment horizontal="right"/>
    </xf>
    <xf numFmtId="0" fontId="48" fillId="0" borderId="37" xfId="0" applyFont="1" applyFill="1" applyBorder="1" applyAlignment="1">
      <alignment/>
    </xf>
    <xf numFmtId="3" fontId="48" fillId="0" borderId="37" xfId="0" applyNumberFormat="1" applyFont="1" applyFill="1" applyBorder="1" applyAlignment="1">
      <alignment horizontal="right"/>
    </xf>
    <xf numFmtId="3" fontId="48" fillId="0" borderId="41" xfId="0" applyNumberFormat="1" applyFont="1" applyFill="1" applyBorder="1" applyAlignment="1">
      <alignment horizontal="right"/>
    </xf>
    <xf numFmtId="3" fontId="27" fillId="0" borderId="23" xfId="0" applyNumberFormat="1" applyFont="1" applyFill="1" applyBorder="1" applyAlignment="1">
      <alignment horizontal="right"/>
    </xf>
    <xf numFmtId="3" fontId="36" fillId="0" borderId="0" xfId="101" applyNumberFormat="1" applyFont="1" applyFill="1" applyBorder="1" applyAlignment="1">
      <alignment horizontal="center"/>
      <protection/>
    </xf>
    <xf numFmtId="3" fontId="27" fillId="0" borderId="0" xfId="101" applyNumberFormat="1" applyFont="1" applyFill="1" applyAlignment="1">
      <alignment horizontal="center"/>
      <protection/>
    </xf>
    <xf numFmtId="3" fontId="27" fillId="0" borderId="0" xfId="101" applyNumberFormat="1" applyFont="1" applyFill="1" applyAlignment="1">
      <alignment/>
      <protection/>
    </xf>
    <xf numFmtId="3" fontId="25" fillId="0" borderId="0" xfId="101" applyNumberFormat="1" applyFont="1" applyFill="1" applyAlignment="1">
      <alignment/>
      <protection/>
    </xf>
    <xf numFmtId="3" fontId="27" fillId="0" borderId="0" xfId="101" applyNumberFormat="1" applyFont="1" applyFill="1" applyAlignment="1">
      <alignment horizontal="right"/>
      <protection/>
    </xf>
    <xf numFmtId="3" fontId="27" fillId="0" borderId="0" xfId="101" applyNumberFormat="1" applyFont="1" applyFill="1">
      <alignment/>
      <protection/>
    </xf>
    <xf numFmtId="3" fontId="27" fillId="0" borderId="0" xfId="101" applyNumberFormat="1" applyFont="1" applyFill="1" applyAlignment="1">
      <alignment vertical="center"/>
      <protection/>
    </xf>
    <xf numFmtId="3" fontId="22" fillId="0" borderId="0" xfId="101" applyNumberFormat="1" applyFont="1" applyFill="1" applyAlignment="1">
      <alignment horizontal="center"/>
      <protection/>
    </xf>
    <xf numFmtId="0" fontId="25" fillId="0" borderId="0" xfId="101" applyFont="1" applyFill="1" applyBorder="1" applyAlignment="1">
      <alignment horizontal="center"/>
      <protection/>
    </xf>
    <xf numFmtId="3" fontId="22" fillId="0" borderId="0" xfId="101" applyNumberFormat="1" applyFont="1" applyFill="1" applyBorder="1" applyAlignment="1">
      <alignment horizontal="center"/>
      <protection/>
    </xf>
    <xf numFmtId="3" fontId="27" fillId="0" borderId="0" xfId="101" applyNumberFormat="1" applyFont="1" applyFill="1" applyBorder="1" applyAlignment="1">
      <alignment horizontal="center"/>
      <protection/>
    </xf>
    <xf numFmtId="3" fontId="27" fillId="0" borderId="0" xfId="101" applyNumberFormat="1" applyFont="1" applyFill="1" applyAlignment="1">
      <alignment horizontal="center" vertical="center"/>
      <protection/>
    </xf>
    <xf numFmtId="3" fontId="36" fillId="0" borderId="0" xfId="101" applyNumberFormat="1" applyFont="1" applyFill="1" applyBorder="1" applyAlignment="1">
      <alignment horizontal="center" vertical="center"/>
      <protection/>
    </xf>
    <xf numFmtId="3" fontId="24" fillId="0" borderId="0" xfId="101" applyNumberFormat="1" applyFont="1" applyFill="1" applyAlignment="1">
      <alignment horizontal="center" vertical="center"/>
      <protection/>
    </xf>
    <xf numFmtId="3" fontId="22" fillId="0" borderId="55" xfId="101" applyNumberFormat="1" applyFont="1" applyFill="1" applyBorder="1" applyAlignment="1">
      <alignment horizontal="center"/>
      <protection/>
    </xf>
    <xf numFmtId="3" fontId="22" fillId="0" borderId="56" xfId="101" applyNumberFormat="1" applyFont="1" applyFill="1" applyBorder="1" applyAlignment="1">
      <alignment horizontal="center"/>
      <protection/>
    </xf>
    <xf numFmtId="3" fontId="27" fillId="0" borderId="56" xfId="101" applyNumberFormat="1" applyFont="1" applyFill="1" applyBorder="1" applyAlignment="1">
      <alignment/>
      <protection/>
    </xf>
    <xf numFmtId="3" fontId="27" fillId="0" borderId="56" xfId="101" applyNumberFormat="1" applyFont="1" applyFill="1" applyBorder="1" applyAlignment="1">
      <alignment horizontal="center"/>
      <protection/>
    </xf>
    <xf numFmtId="3" fontId="48" fillId="0" borderId="56" xfId="101" applyNumberFormat="1" applyFont="1" applyFill="1" applyBorder="1" applyAlignment="1">
      <alignment/>
      <protection/>
    </xf>
    <xf numFmtId="3" fontId="48" fillId="0" borderId="56" xfId="101" applyNumberFormat="1" applyFont="1" applyFill="1" applyBorder="1" applyAlignment="1">
      <alignment horizontal="center"/>
      <protection/>
    </xf>
    <xf numFmtId="3" fontId="48" fillId="0" borderId="28" xfId="101" applyNumberFormat="1" applyFont="1" applyFill="1" applyBorder="1" applyAlignment="1">
      <alignment horizontal="right"/>
      <protection/>
    </xf>
    <xf numFmtId="3" fontId="48" fillId="0" borderId="57" xfId="101" applyNumberFormat="1" applyFont="1" applyFill="1" applyBorder="1" applyAlignment="1">
      <alignment horizontal="right"/>
      <protection/>
    </xf>
    <xf numFmtId="3" fontId="48" fillId="0" borderId="58" xfId="101" applyNumberFormat="1" applyFont="1" applyFill="1" applyBorder="1" applyAlignment="1">
      <alignment horizontal="right"/>
      <protection/>
    </xf>
    <xf numFmtId="3" fontId="27" fillId="0" borderId="28" xfId="101" applyNumberFormat="1" applyFont="1" applyFill="1" applyBorder="1" applyAlignment="1">
      <alignment horizontal="right"/>
      <protection/>
    </xf>
    <xf numFmtId="3" fontId="27" fillId="0" borderId="57" xfId="101" applyNumberFormat="1" applyFont="1" applyFill="1" applyBorder="1" applyAlignment="1">
      <alignment horizontal="right"/>
      <protection/>
    </xf>
    <xf numFmtId="3" fontId="27" fillId="0" borderId="58" xfId="101" applyNumberFormat="1" applyFont="1" applyFill="1" applyBorder="1" applyAlignment="1">
      <alignment horizontal="right"/>
      <protection/>
    </xf>
    <xf numFmtId="3" fontId="28" fillId="0" borderId="59" xfId="101" applyNumberFormat="1" applyFont="1" applyFill="1" applyBorder="1" applyAlignment="1">
      <alignment horizontal="center"/>
      <protection/>
    </xf>
    <xf numFmtId="3" fontId="28" fillId="0" borderId="28" xfId="101" applyNumberFormat="1" applyFont="1" applyFill="1" applyBorder="1" applyAlignment="1">
      <alignment horizontal="center"/>
      <protection/>
    </xf>
    <xf numFmtId="3" fontId="25" fillId="0" borderId="28" xfId="101" applyNumberFormat="1" applyFont="1" applyFill="1" applyBorder="1" applyAlignment="1">
      <alignment/>
      <protection/>
    </xf>
    <xf numFmtId="3" fontId="25" fillId="0" borderId="28" xfId="101" applyNumberFormat="1" applyFont="1" applyFill="1" applyBorder="1" applyAlignment="1">
      <alignment horizontal="center"/>
      <protection/>
    </xf>
    <xf numFmtId="3" fontId="25" fillId="0" borderId="28" xfId="101" applyNumberFormat="1" applyFont="1" applyFill="1" applyBorder="1" applyAlignment="1">
      <alignment horizontal="right"/>
      <protection/>
    </xf>
    <xf numFmtId="3" fontId="25" fillId="0" borderId="57" xfId="101" applyNumberFormat="1" applyFont="1" applyFill="1" applyBorder="1" applyAlignment="1">
      <alignment horizontal="right"/>
      <protection/>
    </xf>
    <xf numFmtId="3" fontId="25" fillId="0" borderId="58" xfId="101" applyNumberFormat="1" applyFont="1" applyFill="1" applyBorder="1" applyAlignment="1">
      <alignment horizontal="right"/>
      <protection/>
    </xf>
    <xf numFmtId="3" fontId="25" fillId="0" borderId="29" xfId="101" applyNumberFormat="1" applyFont="1" applyFill="1" applyBorder="1" applyAlignment="1">
      <alignment horizontal="right"/>
      <protection/>
    </xf>
    <xf numFmtId="3" fontId="22" fillId="0" borderId="59" xfId="101" applyNumberFormat="1" applyFont="1" applyFill="1" applyBorder="1" applyAlignment="1">
      <alignment horizontal="center"/>
      <protection/>
    </xf>
    <xf numFmtId="3" fontId="22" fillId="0" borderId="28" xfId="101" applyNumberFormat="1" applyFont="1" applyFill="1" applyBorder="1" applyAlignment="1">
      <alignment horizontal="center"/>
      <protection/>
    </xf>
    <xf numFmtId="3" fontId="27" fillId="0" borderId="28" xfId="101" applyNumberFormat="1" applyFont="1" applyFill="1" applyBorder="1" applyAlignment="1">
      <alignment/>
      <protection/>
    </xf>
    <xf numFmtId="3" fontId="27" fillId="0" borderId="28" xfId="101" applyNumberFormat="1" applyFont="1" applyFill="1" applyBorder="1" applyAlignment="1">
      <alignment horizontal="center"/>
      <protection/>
    </xf>
    <xf numFmtId="3" fontId="27" fillId="0" borderId="29" xfId="101" applyNumberFormat="1" applyFont="1" applyFill="1" applyBorder="1" applyAlignment="1">
      <alignment horizontal="center"/>
      <protection/>
    </xf>
    <xf numFmtId="3" fontId="48" fillId="0" borderId="28" xfId="101" applyNumberFormat="1" applyFont="1" applyFill="1" applyBorder="1" applyAlignment="1">
      <alignment/>
      <protection/>
    </xf>
    <xf numFmtId="3" fontId="48" fillId="0" borderId="28" xfId="101" applyNumberFormat="1" applyFont="1" applyFill="1" applyBorder="1" applyAlignment="1">
      <alignment horizontal="center"/>
      <protection/>
    </xf>
    <xf numFmtId="3" fontId="48" fillId="0" borderId="29" xfId="101" applyNumberFormat="1" applyFont="1" applyFill="1" applyBorder="1" applyAlignment="1">
      <alignment horizontal="right"/>
      <protection/>
    </xf>
    <xf numFmtId="3" fontId="27" fillId="0" borderId="29" xfId="101" applyNumberFormat="1" applyFont="1" applyFill="1" applyBorder="1" applyAlignment="1">
      <alignment horizontal="right"/>
      <protection/>
    </xf>
    <xf numFmtId="3" fontId="31" fillId="0" borderId="28" xfId="101" applyNumberFormat="1" applyFont="1" applyFill="1" applyBorder="1" applyAlignment="1">
      <alignment/>
      <protection/>
    </xf>
    <xf numFmtId="3" fontId="31" fillId="0" borderId="28" xfId="101" applyNumberFormat="1" applyFont="1" applyFill="1" applyBorder="1" applyAlignment="1">
      <alignment horizontal="center"/>
      <protection/>
    </xf>
    <xf numFmtId="3" fontId="31" fillId="0" borderId="28" xfId="101" applyNumberFormat="1" applyFont="1" applyFill="1" applyBorder="1" applyAlignment="1">
      <alignment horizontal="right"/>
      <protection/>
    </xf>
    <xf numFmtId="3" fontId="31" fillId="0" borderId="57" xfId="101" applyNumberFormat="1" applyFont="1" applyFill="1" applyBorder="1" applyAlignment="1">
      <alignment horizontal="right"/>
      <protection/>
    </xf>
    <xf numFmtId="3" fontId="31" fillId="0" borderId="58" xfId="101" applyNumberFormat="1" applyFont="1" applyFill="1" applyBorder="1" applyAlignment="1">
      <alignment horizontal="right"/>
      <protection/>
    </xf>
    <xf numFmtId="3" fontId="48" fillId="0" borderId="28" xfId="101" applyNumberFormat="1" applyFont="1" applyFill="1" applyBorder="1" applyAlignment="1">
      <alignment horizontal="left" indent="2"/>
      <protection/>
    </xf>
    <xf numFmtId="3" fontId="49" fillId="0" borderId="28" xfId="101" applyNumberFormat="1" applyFont="1" applyFill="1" applyBorder="1" applyAlignment="1">
      <alignment horizontal="center"/>
      <protection/>
    </xf>
    <xf numFmtId="3" fontId="49" fillId="0" borderId="28" xfId="101" applyNumberFormat="1" applyFont="1" applyFill="1" applyBorder="1" applyAlignment="1">
      <alignment horizontal="right"/>
      <protection/>
    </xf>
    <xf numFmtId="3" fontId="49" fillId="0" borderId="57" xfId="101" applyNumberFormat="1" applyFont="1" applyFill="1" applyBorder="1" applyAlignment="1">
      <alignment horizontal="right"/>
      <protection/>
    </xf>
    <xf numFmtId="3" fontId="49" fillId="0" borderId="58" xfId="101" applyNumberFormat="1" applyFont="1" applyFill="1" applyBorder="1" applyAlignment="1">
      <alignment horizontal="right"/>
      <protection/>
    </xf>
    <xf numFmtId="3" fontId="27" fillId="0" borderId="28" xfId="101" applyNumberFormat="1" applyFont="1" applyFill="1" applyBorder="1" applyAlignment="1">
      <alignment horizontal="left" indent="2"/>
      <protection/>
    </xf>
    <xf numFmtId="3" fontId="25" fillId="0" borderId="56" xfId="101" applyNumberFormat="1" applyFont="1" applyFill="1" applyBorder="1" applyAlignment="1">
      <alignment horizontal="left" indent="2"/>
      <protection/>
    </xf>
    <xf numFmtId="3" fontId="37" fillId="0" borderId="28" xfId="101" applyNumberFormat="1" applyFont="1" applyFill="1" applyBorder="1" applyAlignment="1">
      <alignment horizontal="center"/>
      <protection/>
    </xf>
    <xf numFmtId="3" fontId="37" fillId="0" borderId="28" xfId="101" applyNumberFormat="1" applyFont="1" applyFill="1" applyBorder="1" applyAlignment="1">
      <alignment horizontal="right"/>
      <protection/>
    </xf>
    <xf numFmtId="3" fontId="37" fillId="0" borderId="57" xfId="101" applyNumberFormat="1" applyFont="1" applyFill="1" applyBorder="1" applyAlignment="1">
      <alignment horizontal="right"/>
      <protection/>
    </xf>
    <xf numFmtId="3" fontId="37" fillId="0" borderId="58" xfId="101" applyNumberFormat="1" applyFont="1" applyFill="1" applyBorder="1" applyAlignment="1">
      <alignment horizontal="right"/>
      <protection/>
    </xf>
    <xf numFmtId="3" fontId="37" fillId="0" borderId="29" xfId="101" applyNumberFormat="1" applyFont="1" applyFill="1" applyBorder="1" applyAlignment="1">
      <alignment horizontal="right"/>
      <protection/>
    </xf>
    <xf numFmtId="3" fontId="31" fillId="0" borderId="28" xfId="101" applyNumberFormat="1" applyFont="1" applyFill="1" applyBorder="1" applyAlignment="1">
      <alignment horizontal="left" indent="2"/>
      <protection/>
    </xf>
    <xf numFmtId="3" fontId="25" fillId="0" borderId="28" xfId="101" applyNumberFormat="1" applyFont="1" applyFill="1" applyBorder="1" applyAlignment="1">
      <alignment horizontal="left" indent="2"/>
      <protection/>
    </xf>
    <xf numFmtId="3" fontId="27" fillId="0" borderId="0" xfId="101" applyNumberFormat="1" applyFont="1" applyFill="1" applyBorder="1" applyAlignment="1">
      <alignment vertical="center"/>
      <protection/>
    </xf>
    <xf numFmtId="3" fontId="27" fillId="0" borderId="0" xfId="101" applyNumberFormat="1" applyFont="1" applyFill="1" applyBorder="1">
      <alignment/>
      <protection/>
    </xf>
    <xf numFmtId="3" fontId="25" fillId="0" borderId="0" xfId="101" applyNumberFormat="1" applyFont="1" applyFill="1">
      <alignment/>
      <protection/>
    </xf>
    <xf numFmtId="3" fontId="22" fillId="0" borderId="59" xfId="101" applyNumberFormat="1" applyFont="1" applyFill="1" applyBorder="1" applyAlignment="1">
      <alignment horizontal="center" vertical="center"/>
      <protection/>
    </xf>
    <xf numFmtId="3" fontId="22" fillId="0" borderId="28" xfId="101" applyNumberFormat="1" applyFont="1" applyFill="1" applyBorder="1" applyAlignment="1">
      <alignment horizontal="center" vertical="center"/>
      <protection/>
    </xf>
    <xf numFmtId="3" fontId="27" fillId="0" borderId="28" xfId="101" applyNumberFormat="1" applyFont="1" applyFill="1" applyBorder="1" applyAlignment="1">
      <alignment wrapText="1"/>
      <protection/>
    </xf>
    <xf numFmtId="3" fontId="30" fillId="0" borderId="59" xfId="101" applyNumberFormat="1" applyFont="1" applyFill="1" applyBorder="1" applyAlignment="1">
      <alignment horizontal="center"/>
      <protection/>
    </xf>
    <xf numFmtId="3" fontId="31" fillId="0" borderId="28" xfId="101" applyNumberFormat="1" applyFont="1" applyFill="1" applyBorder="1" applyAlignment="1">
      <alignment horizontal="left" indent="1"/>
      <protection/>
    </xf>
    <xf numFmtId="3" fontId="48" fillId="0" borderId="28" xfId="101" applyNumberFormat="1" applyFont="1" applyFill="1" applyBorder="1" applyAlignment="1">
      <alignment horizontal="left" indent="1"/>
      <protection/>
    </xf>
    <xf numFmtId="3" fontId="27" fillId="0" borderId="28" xfId="101" applyNumberFormat="1" applyFont="1" applyFill="1" applyBorder="1" applyAlignment="1">
      <alignment horizontal="left" indent="1"/>
      <protection/>
    </xf>
    <xf numFmtId="3" fontId="25" fillId="0" borderId="28" xfId="101" applyNumberFormat="1" applyFont="1" applyFill="1" applyBorder="1" applyAlignment="1">
      <alignment horizontal="left" indent="1"/>
      <protection/>
    </xf>
    <xf numFmtId="3" fontId="28" fillId="0" borderId="60" xfId="101" applyNumberFormat="1" applyFont="1" applyFill="1" applyBorder="1" applyAlignment="1">
      <alignment horizontal="center"/>
      <protection/>
    </xf>
    <xf numFmtId="3" fontId="25" fillId="0" borderId="51" xfId="101" applyNumberFormat="1" applyFont="1" applyFill="1" applyBorder="1" applyAlignment="1">
      <alignment horizontal="center"/>
      <protection/>
    </xf>
    <xf numFmtId="3" fontId="25" fillId="0" borderId="51" xfId="101" applyNumberFormat="1" applyFont="1" applyFill="1" applyBorder="1" applyAlignment="1">
      <alignment horizontal="right"/>
      <protection/>
    </xf>
    <xf numFmtId="3" fontId="25" fillId="0" borderId="61" xfId="101" applyNumberFormat="1" applyFont="1" applyFill="1" applyBorder="1" applyAlignment="1">
      <alignment horizontal="right"/>
      <protection/>
    </xf>
    <xf numFmtId="3" fontId="25" fillId="0" borderId="28" xfId="101" applyNumberFormat="1" applyFont="1" applyFill="1" applyBorder="1" applyAlignment="1">
      <alignment wrapText="1"/>
      <protection/>
    </xf>
    <xf numFmtId="3" fontId="22" fillId="0" borderId="28" xfId="101" applyNumberFormat="1" applyFont="1" applyFill="1" applyBorder="1" applyAlignment="1">
      <alignment horizontal="center" vertical="top"/>
      <protection/>
    </xf>
    <xf numFmtId="3" fontId="36" fillId="0" borderId="0" xfId="101" applyNumberFormat="1" applyFont="1" applyFill="1" applyBorder="1" applyAlignment="1">
      <alignment horizontal="center" vertical="top"/>
      <protection/>
    </xf>
    <xf numFmtId="3" fontId="22" fillId="0" borderId="62" xfId="101" applyNumberFormat="1" applyFont="1" applyFill="1" applyBorder="1" applyAlignment="1">
      <alignment horizontal="center" vertical="center"/>
      <protection/>
    </xf>
    <xf numFmtId="3" fontId="22" fillId="0" borderId="63" xfId="101" applyNumberFormat="1" applyFont="1" applyFill="1" applyBorder="1" applyAlignment="1">
      <alignment horizontal="center" vertical="center"/>
      <protection/>
    </xf>
    <xf numFmtId="3" fontId="25" fillId="0" borderId="63" xfId="101" applyNumberFormat="1" applyFont="1" applyFill="1" applyBorder="1" applyAlignment="1">
      <alignment horizontal="left" vertical="center"/>
      <protection/>
    </xf>
    <xf numFmtId="3" fontId="25" fillId="0" borderId="63" xfId="101" applyNumberFormat="1" applyFont="1" applyFill="1" applyBorder="1" applyAlignment="1">
      <alignment horizontal="center" vertical="center"/>
      <protection/>
    </xf>
    <xf numFmtId="3" fontId="25" fillId="0" borderId="63" xfId="101" applyNumberFormat="1" applyFont="1" applyFill="1" applyBorder="1" applyAlignment="1">
      <alignment horizontal="right" vertical="center"/>
      <protection/>
    </xf>
    <xf numFmtId="3" fontId="27" fillId="0" borderId="64" xfId="101" applyNumberFormat="1" applyFont="1" applyFill="1" applyBorder="1" applyAlignment="1">
      <alignment vertical="center"/>
      <protection/>
    </xf>
    <xf numFmtId="3" fontId="27" fillId="0" borderId="63" xfId="101" applyNumberFormat="1" applyFont="1" applyFill="1" applyBorder="1" applyAlignment="1">
      <alignment vertical="center"/>
      <protection/>
    </xf>
    <xf numFmtId="3" fontId="27" fillId="0" borderId="65" xfId="101" applyNumberFormat="1" applyFont="1" applyFill="1" applyBorder="1" applyAlignment="1">
      <alignment vertical="center"/>
      <protection/>
    </xf>
    <xf numFmtId="3" fontId="48" fillId="0" borderId="28" xfId="101" applyNumberFormat="1" applyFont="1" applyFill="1" applyBorder="1" applyAlignment="1">
      <alignment horizontal="left" vertical="center"/>
      <protection/>
    </xf>
    <xf numFmtId="3" fontId="48" fillId="0" borderId="28" xfId="101" applyNumberFormat="1" applyFont="1" applyFill="1" applyBorder="1" applyAlignment="1">
      <alignment horizontal="center" vertical="center"/>
      <protection/>
    </xf>
    <xf numFmtId="3" fontId="48" fillId="0" borderId="28" xfId="101" applyNumberFormat="1" applyFont="1" applyFill="1" applyBorder="1" applyAlignment="1">
      <alignment horizontal="right" vertical="center"/>
      <protection/>
    </xf>
    <xf numFmtId="3" fontId="48" fillId="0" borderId="57" xfId="101" applyNumberFormat="1" applyFont="1" applyFill="1" applyBorder="1" applyAlignment="1">
      <alignment horizontal="right" vertical="center"/>
      <protection/>
    </xf>
    <xf numFmtId="3" fontId="48" fillId="0" borderId="58" xfId="101" applyNumberFormat="1" applyFont="1" applyFill="1" applyBorder="1" applyAlignment="1">
      <alignment horizontal="right" vertical="center"/>
      <protection/>
    </xf>
    <xf numFmtId="3" fontId="27" fillId="0" borderId="28" xfId="101" applyNumberFormat="1" applyFont="1" applyFill="1" applyBorder="1" applyAlignment="1">
      <alignment horizontal="left" vertical="center"/>
      <protection/>
    </xf>
    <xf numFmtId="3" fontId="25" fillId="0" borderId="28" xfId="101" applyNumberFormat="1" applyFont="1" applyFill="1" applyBorder="1" applyAlignment="1">
      <alignment horizontal="center" vertical="center"/>
      <protection/>
    </xf>
    <xf numFmtId="3" fontId="25" fillId="0" borderId="28" xfId="101" applyNumberFormat="1" applyFont="1" applyFill="1" applyBorder="1" applyAlignment="1">
      <alignment horizontal="right" vertical="center"/>
      <protection/>
    </xf>
    <xf numFmtId="3" fontId="25" fillId="0" borderId="57" xfId="101" applyNumberFormat="1" applyFont="1" applyFill="1" applyBorder="1" applyAlignment="1">
      <alignment horizontal="right" vertical="center"/>
      <protection/>
    </xf>
    <xf numFmtId="3" fontId="27" fillId="0" borderId="58" xfId="101" applyNumberFormat="1" applyFont="1" applyFill="1" applyBorder="1" applyAlignment="1">
      <alignment horizontal="right" vertical="center"/>
      <protection/>
    </xf>
    <xf numFmtId="3" fontId="27" fillId="0" borderId="28" xfId="101" applyNumberFormat="1" applyFont="1" applyFill="1" applyBorder="1" applyAlignment="1">
      <alignment horizontal="right" vertical="center"/>
      <protection/>
    </xf>
    <xf numFmtId="3" fontId="22" fillId="0" borderId="66" xfId="101" applyNumberFormat="1" applyFont="1" applyFill="1" applyBorder="1" applyAlignment="1">
      <alignment horizontal="center" vertical="center"/>
      <protection/>
    </xf>
    <xf numFmtId="3" fontId="22" fillId="0" borderId="67" xfId="101" applyNumberFormat="1" applyFont="1" applyFill="1" applyBorder="1" applyAlignment="1">
      <alignment horizontal="center" vertical="center"/>
      <protection/>
    </xf>
    <xf numFmtId="3" fontId="25" fillId="0" borderId="67" xfId="101" applyNumberFormat="1" applyFont="1" applyFill="1" applyBorder="1" applyAlignment="1">
      <alignment horizontal="left" vertical="center"/>
      <protection/>
    </xf>
    <xf numFmtId="3" fontId="25" fillId="0" borderId="67" xfId="101" applyNumberFormat="1" applyFont="1" applyFill="1" applyBorder="1" applyAlignment="1">
      <alignment horizontal="center" vertical="center"/>
      <protection/>
    </xf>
    <xf numFmtId="3" fontId="25" fillId="0" borderId="67" xfId="101" applyNumberFormat="1" applyFont="1" applyFill="1" applyBorder="1" applyAlignment="1">
      <alignment horizontal="right" vertical="center"/>
      <protection/>
    </xf>
    <xf numFmtId="3" fontId="25" fillId="0" borderId="68" xfId="101" applyNumberFormat="1" applyFont="1" applyFill="1" applyBorder="1" applyAlignment="1">
      <alignment horizontal="right" vertical="center"/>
      <protection/>
    </xf>
    <xf numFmtId="3" fontId="22" fillId="0" borderId="0" xfId="101" applyNumberFormat="1" applyFont="1" applyFill="1" applyBorder="1" applyAlignment="1">
      <alignment horizontal="center" vertical="center"/>
      <protection/>
    </xf>
    <xf numFmtId="3" fontId="22" fillId="0" borderId="0" xfId="101" applyNumberFormat="1" applyFont="1" applyFill="1" applyAlignment="1">
      <alignment horizontal="center" vertical="top"/>
      <protection/>
    </xf>
    <xf numFmtId="3" fontId="27" fillId="0" borderId="0" xfId="101" applyNumberFormat="1" applyFont="1" applyFill="1" applyAlignment="1">
      <alignment vertical="top"/>
      <protection/>
    </xf>
    <xf numFmtId="3" fontId="25" fillId="0" borderId="0" xfId="101" applyNumberFormat="1" applyFont="1" applyFill="1" applyBorder="1">
      <alignment/>
      <protection/>
    </xf>
    <xf numFmtId="0" fontId="24" fillId="0" borderId="0" xfId="117" applyFont="1" applyFill="1" applyBorder="1" applyAlignment="1">
      <alignment vertical="center"/>
      <protection/>
    </xf>
    <xf numFmtId="3" fontId="23" fillId="0" borderId="28" xfId="101" applyNumberFormat="1" applyFont="1" applyFill="1" applyBorder="1" applyAlignment="1">
      <alignment horizontal="right" vertical="center"/>
      <protection/>
    </xf>
    <xf numFmtId="0" fontId="23" fillId="0" borderId="30" xfId="102" applyFont="1" applyFill="1" applyBorder="1" applyAlignment="1">
      <alignment horizontal="center" vertical="center" wrapText="1"/>
      <protection/>
    </xf>
    <xf numFmtId="3" fontId="41" fillId="0" borderId="0" xfId="0" applyNumberFormat="1" applyFont="1" applyFill="1" applyBorder="1" applyAlignment="1">
      <alignment horizontal="center" vertical="center"/>
    </xf>
    <xf numFmtId="3" fontId="41" fillId="0" borderId="0" xfId="0" applyNumberFormat="1" applyFont="1" applyFill="1" applyBorder="1" applyAlignment="1">
      <alignment vertical="center"/>
    </xf>
    <xf numFmtId="3" fontId="36" fillId="0" borderId="12" xfId="0" applyNumberFormat="1" applyFont="1" applyFill="1" applyBorder="1" applyAlignment="1">
      <alignment vertical="center"/>
    </xf>
    <xf numFmtId="3" fontId="41" fillId="0" borderId="23" xfId="0" applyNumberFormat="1" applyFont="1" applyFill="1" applyBorder="1" applyAlignment="1">
      <alignment vertical="center"/>
    </xf>
    <xf numFmtId="3" fontId="36" fillId="0" borderId="0" xfId="0" applyNumberFormat="1" applyFont="1" applyFill="1" applyBorder="1" applyAlignment="1">
      <alignment vertical="center"/>
    </xf>
    <xf numFmtId="3" fontId="52" fillId="0" borderId="26"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3" fontId="52" fillId="0" borderId="12" xfId="0" applyNumberFormat="1" applyFont="1" applyFill="1" applyBorder="1" applyAlignment="1">
      <alignment/>
    </xf>
    <xf numFmtId="3" fontId="52" fillId="0" borderId="0" xfId="0" applyNumberFormat="1" applyFont="1" applyFill="1" applyBorder="1" applyAlignment="1">
      <alignment/>
    </xf>
    <xf numFmtId="3" fontId="52" fillId="0" borderId="23" xfId="0" applyNumberFormat="1" applyFont="1" applyFill="1" applyBorder="1" applyAlignment="1">
      <alignment/>
    </xf>
    <xf numFmtId="3" fontId="36" fillId="0" borderId="26" xfId="0" applyNumberFormat="1" applyFont="1" applyFill="1" applyBorder="1" applyAlignment="1">
      <alignment horizontal="center" vertical="center"/>
    </xf>
    <xf numFmtId="3" fontId="36" fillId="0" borderId="12" xfId="0" applyNumberFormat="1" applyFont="1" applyFill="1" applyBorder="1" applyAlignment="1">
      <alignment/>
    </xf>
    <xf numFmtId="3" fontId="36" fillId="0" borderId="23" xfId="0" applyNumberFormat="1" applyFont="1" applyFill="1" applyBorder="1" applyAlignment="1">
      <alignment/>
    </xf>
    <xf numFmtId="3" fontId="41" fillId="0" borderId="26" xfId="0" applyNumberFormat="1" applyFont="1" applyFill="1" applyBorder="1" applyAlignment="1">
      <alignment horizontal="center" vertical="center"/>
    </xf>
    <xf numFmtId="3" fontId="41" fillId="0" borderId="12" xfId="0" applyNumberFormat="1" applyFont="1" applyFill="1" applyBorder="1" applyAlignment="1">
      <alignment/>
    </xf>
    <xf numFmtId="3" fontId="36" fillId="0" borderId="0" xfId="0" applyNumberFormat="1" applyFont="1" applyFill="1" applyBorder="1" applyAlignment="1">
      <alignment horizontal="center" vertical="center" wrapText="1"/>
    </xf>
    <xf numFmtId="3" fontId="36" fillId="0" borderId="23" xfId="0" applyNumberFormat="1" applyFont="1" applyFill="1" applyBorder="1" applyAlignment="1">
      <alignment vertical="center"/>
    </xf>
    <xf numFmtId="3" fontId="53" fillId="0" borderId="0" xfId="0" applyNumberFormat="1" applyFont="1" applyFill="1" applyBorder="1" applyAlignment="1">
      <alignment/>
    </xf>
    <xf numFmtId="3" fontId="53" fillId="0" borderId="23" xfId="0" applyNumberFormat="1" applyFont="1" applyFill="1" applyBorder="1" applyAlignment="1">
      <alignment/>
    </xf>
    <xf numFmtId="3" fontId="41" fillId="0" borderId="25" xfId="0" applyNumberFormat="1" applyFont="1" applyFill="1" applyBorder="1" applyAlignment="1">
      <alignment horizontal="center" vertical="center"/>
    </xf>
    <xf numFmtId="3" fontId="41" fillId="0" borderId="10" xfId="0" applyNumberFormat="1" applyFont="1" applyFill="1" applyBorder="1" applyAlignment="1">
      <alignment horizontal="center" vertical="center"/>
    </xf>
    <xf numFmtId="3" fontId="41" fillId="0" borderId="50" xfId="0" applyNumberFormat="1" applyFont="1" applyFill="1" applyBorder="1" applyAlignment="1">
      <alignment/>
    </xf>
    <xf numFmtId="3" fontId="36" fillId="0" borderId="10" xfId="0" applyNumberFormat="1" applyFont="1" applyFill="1" applyBorder="1" applyAlignment="1">
      <alignment/>
    </xf>
    <xf numFmtId="3" fontId="48" fillId="0" borderId="23" xfId="0" applyNumberFormat="1" applyFont="1" applyFill="1" applyBorder="1" applyAlignment="1">
      <alignment horizontal="right"/>
    </xf>
    <xf numFmtId="3" fontId="25" fillId="0" borderId="24" xfId="0" applyNumberFormat="1" applyFont="1" applyFill="1" applyBorder="1" applyAlignment="1">
      <alignment horizontal="right"/>
    </xf>
    <xf numFmtId="3" fontId="24" fillId="0" borderId="69" xfId="0" applyNumberFormat="1" applyFont="1" applyBorder="1" applyAlignment="1">
      <alignment vertical="center"/>
    </xf>
    <xf numFmtId="3" fontId="24" fillId="0" borderId="70" xfId="0" applyNumberFormat="1" applyFont="1" applyBorder="1" applyAlignment="1">
      <alignment vertical="center"/>
    </xf>
    <xf numFmtId="3" fontId="23" fillId="0" borderId="71" xfId="0" applyNumberFormat="1" applyFont="1" applyBorder="1" applyAlignment="1">
      <alignment horizontal="right"/>
    </xf>
    <xf numFmtId="3" fontId="24" fillId="0" borderId="72" xfId="0" applyNumberFormat="1" applyFont="1" applyBorder="1" applyAlignment="1">
      <alignment horizontal="right" vertical="center"/>
    </xf>
    <xf numFmtId="3" fontId="24" fillId="0" borderId="73" xfId="0" applyNumberFormat="1" applyFont="1" applyBorder="1" applyAlignment="1">
      <alignment vertical="center"/>
    </xf>
    <xf numFmtId="3" fontId="24" fillId="0" borderId="74" xfId="0" applyNumberFormat="1" applyFont="1" applyBorder="1" applyAlignment="1">
      <alignment vertical="center"/>
    </xf>
    <xf numFmtId="3" fontId="36" fillId="0" borderId="10" xfId="0" applyNumberFormat="1" applyFont="1" applyFill="1" applyBorder="1" applyAlignment="1">
      <alignment horizontal="center"/>
    </xf>
    <xf numFmtId="0" fontId="36" fillId="0" borderId="0" xfId="0" applyFont="1" applyFill="1" applyAlignment="1">
      <alignment horizontal="center"/>
    </xf>
    <xf numFmtId="3" fontId="36" fillId="0" borderId="0" xfId="0" applyNumberFormat="1" applyFont="1" applyFill="1" applyAlignment="1">
      <alignment horizontal="center" vertical="center"/>
    </xf>
    <xf numFmtId="3" fontId="22" fillId="0" borderId="0" xfId="0" applyNumberFormat="1" applyFont="1" applyFill="1" applyBorder="1" applyAlignment="1">
      <alignment vertical="top"/>
    </xf>
    <xf numFmtId="3" fontId="24" fillId="0" borderId="49" xfId="0" applyNumberFormat="1" applyFont="1" applyFill="1" applyBorder="1" applyAlignment="1">
      <alignment horizontal="center" vertical="center"/>
    </xf>
    <xf numFmtId="3" fontId="28" fillId="0" borderId="49" xfId="0" applyNumberFormat="1" applyFont="1" applyFill="1" applyBorder="1" applyAlignment="1">
      <alignment vertical="center"/>
    </xf>
    <xf numFmtId="3" fontId="23" fillId="0" borderId="75" xfId="0" applyNumberFormat="1" applyFont="1" applyFill="1" applyBorder="1" applyAlignment="1">
      <alignment vertical="center"/>
    </xf>
    <xf numFmtId="3" fontId="24" fillId="0" borderId="49" xfId="0" applyNumberFormat="1" applyFont="1" applyFill="1" applyBorder="1" applyAlignment="1">
      <alignment vertical="center"/>
    </xf>
    <xf numFmtId="3" fontId="24" fillId="0" borderId="76" xfId="0" applyNumberFormat="1" applyFont="1" applyFill="1" applyBorder="1" applyAlignment="1">
      <alignment vertical="center"/>
    </xf>
    <xf numFmtId="3" fontId="24" fillId="0" borderId="50" xfId="0" applyNumberFormat="1" applyFont="1" applyFill="1" applyBorder="1" applyAlignment="1">
      <alignment vertical="center"/>
    </xf>
    <xf numFmtId="3" fontId="24" fillId="0" borderId="77" xfId="0" applyNumberFormat="1" applyFont="1" applyFill="1" applyBorder="1" applyAlignment="1">
      <alignment vertical="center"/>
    </xf>
    <xf numFmtId="3" fontId="36" fillId="0" borderId="21" xfId="0" applyNumberFormat="1" applyFont="1" applyFill="1" applyBorder="1" applyAlignment="1">
      <alignment/>
    </xf>
    <xf numFmtId="3" fontId="25" fillId="0" borderId="58" xfId="101" applyNumberFormat="1" applyFont="1" applyFill="1" applyBorder="1" applyAlignment="1">
      <alignment horizontal="right" vertical="center"/>
      <protection/>
    </xf>
    <xf numFmtId="3" fontId="27" fillId="0" borderId="30" xfId="101" applyNumberFormat="1" applyFont="1" applyFill="1" applyBorder="1" applyAlignment="1">
      <alignment vertical="center" wrapText="1"/>
      <protection/>
    </xf>
    <xf numFmtId="3" fontId="25" fillId="0" borderId="78" xfId="101" applyNumberFormat="1" applyFont="1" applyFill="1" applyBorder="1" applyAlignment="1">
      <alignment horizontal="right"/>
      <protection/>
    </xf>
    <xf numFmtId="3" fontId="27" fillId="0" borderId="28" xfId="101" applyNumberFormat="1" applyFont="1" applyFill="1" applyBorder="1" applyAlignment="1">
      <alignment vertical="center" wrapText="1"/>
      <protection/>
    </xf>
    <xf numFmtId="3" fontId="27" fillId="0" borderId="28" xfId="101" applyNumberFormat="1" applyFont="1" applyFill="1" applyBorder="1" applyAlignment="1">
      <alignment horizontal="center" vertical="center"/>
      <protection/>
    </xf>
    <xf numFmtId="3" fontId="27" fillId="0" borderId="78" xfId="101" applyNumberFormat="1" applyFont="1" applyFill="1" applyBorder="1" applyAlignment="1">
      <alignment horizontal="right" vertical="center"/>
      <protection/>
    </xf>
    <xf numFmtId="3" fontId="23" fillId="0" borderId="28" xfId="101" applyNumberFormat="1" applyFont="1" applyFill="1" applyBorder="1" applyAlignment="1">
      <alignment horizontal="center" vertical="center"/>
      <protection/>
    </xf>
    <xf numFmtId="3" fontId="23" fillId="0" borderId="78" xfId="101" applyNumberFormat="1" applyFont="1" applyFill="1" applyBorder="1" applyAlignment="1">
      <alignment horizontal="right" vertical="center"/>
      <protection/>
    </xf>
    <xf numFmtId="3" fontId="27" fillId="0" borderId="78" xfId="101" applyNumberFormat="1" applyFont="1" applyFill="1" applyBorder="1" applyAlignment="1">
      <alignment horizontal="right"/>
      <protection/>
    </xf>
    <xf numFmtId="0" fontId="27" fillId="0" borderId="0" xfId="117" applyFont="1" applyFill="1" applyBorder="1" applyAlignment="1">
      <alignment horizontal="center" vertical="center"/>
      <protection/>
    </xf>
    <xf numFmtId="3" fontId="27" fillId="0" borderId="0" xfId="117" applyNumberFormat="1" applyFont="1" applyFill="1" applyBorder="1" applyAlignment="1">
      <alignment vertical="center"/>
      <protection/>
    </xf>
    <xf numFmtId="3" fontId="25" fillId="0" borderId="0" xfId="117" applyNumberFormat="1" applyFont="1" applyFill="1" applyBorder="1" applyAlignment="1">
      <alignment vertical="center"/>
      <protection/>
    </xf>
    <xf numFmtId="0" fontId="27" fillId="0" borderId="0" xfId="117" applyFont="1" applyFill="1" applyBorder="1" applyAlignment="1">
      <alignment vertical="center" wrapText="1"/>
      <protection/>
    </xf>
    <xf numFmtId="0" fontId="27" fillId="0" borderId="0" xfId="117" applyFont="1" applyFill="1" applyBorder="1" applyAlignment="1">
      <alignment horizontal="center" vertical="center" wrapText="1"/>
      <protection/>
    </xf>
    <xf numFmtId="3" fontId="22" fillId="0" borderId="0" xfId="117" applyNumberFormat="1" applyFont="1" applyFill="1" applyBorder="1" applyAlignment="1">
      <alignment horizontal="center" vertical="center"/>
      <protection/>
    </xf>
    <xf numFmtId="0" fontId="25" fillId="0" borderId="79" xfId="117" applyFont="1" applyFill="1" applyBorder="1" applyAlignment="1">
      <alignment horizontal="center" vertical="center" wrapText="1"/>
      <protection/>
    </xf>
    <xf numFmtId="0" fontId="27" fillId="0" borderId="79" xfId="116" applyFont="1" applyFill="1" applyBorder="1" applyAlignment="1">
      <alignment horizontal="center" vertical="center" textRotation="90" wrapText="1"/>
      <protection/>
    </xf>
    <xf numFmtId="3" fontId="54" fillId="0" borderId="79" xfId="117" applyNumberFormat="1" applyFont="1" applyFill="1" applyBorder="1" applyAlignment="1">
      <alignment horizontal="center" vertical="center" wrapText="1"/>
      <protection/>
    </xf>
    <xf numFmtId="0" fontId="55" fillId="0" borderId="80" xfId="117" applyFont="1" applyFill="1" applyBorder="1" applyAlignment="1">
      <alignment horizontal="left" wrapText="1"/>
      <protection/>
    </xf>
    <xf numFmtId="0" fontId="27" fillId="0" borderId="80" xfId="116" applyFont="1" applyFill="1" applyBorder="1" applyAlignment="1">
      <alignment horizontal="center" textRotation="90" wrapText="1"/>
      <protection/>
    </xf>
    <xf numFmtId="3" fontId="25" fillId="0" borderId="80" xfId="117" applyNumberFormat="1" applyFont="1" applyFill="1" applyBorder="1" applyAlignment="1">
      <alignment horizontal="right" wrapText="1"/>
      <protection/>
    </xf>
    <xf numFmtId="3" fontId="25" fillId="0" borderId="81" xfId="117" applyNumberFormat="1" applyFont="1" applyFill="1" applyBorder="1" applyAlignment="1">
      <alignment horizontal="right" wrapText="1"/>
      <protection/>
    </xf>
    <xf numFmtId="0" fontId="27" fillId="0" borderId="30" xfId="116" applyFont="1" applyFill="1" applyBorder="1" applyAlignment="1">
      <alignment vertical="center" wrapText="1"/>
      <protection/>
    </xf>
    <xf numFmtId="0" fontId="27" fillId="0" borderId="30" xfId="116" applyFont="1" applyFill="1" applyBorder="1" applyAlignment="1">
      <alignment horizontal="center" vertical="center" wrapText="1"/>
      <protection/>
    </xf>
    <xf numFmtId="3" fontId="27" fillId="0" borderId="30" xfId="102" applyNumberFormat="1" applyFont="1" applyFill="1" applyBorder="1" applyAlignment="1">
      <alignment horizontal="right" vertical="center"/>
      <protection/>
    </xf>
    <xf numFmtId="3" fontId="27" fillId="0" borderId="82" xfId="102" applyNumberFormat="1" applyFont="1" applyFill="1" applyBorder="1" applyAlignment="1">
      <alignment horizontal="right" vertical="center"/>
      <protection/>
    </xf>
    <xf numFmtId="0" fontId="27" fillId="0" borderId="30" xfId="118" applyFont="1" applyFill="1" applyBorder="1" applyAlignment="1">
      <alignment wrapText="1"/>
      <protection/>
    </xf>
    <xf numFmtId="0" fontId="27" fillId="0" borderId="30" xfId="118" applyFont="1" applyFill="1" applyBorder="1" applyAlignment="1">
      <alignment horizontal="right" wrapText="1"/>
      <protection/>
    </xf>
    <xf numFmtId="3" fontId="27" fillId="0" borderId="30" xfId="102" applyNumberFormat="1" applyFont="1" applyFill="1" applyBorder="1" applyAlignment="1">
      <alignment vertical="center" wrapText="1"/>
      <protection/>
    </xf>
    <xf numFmtId="3" fontId="27" fillId="0" borderId="30" xfId="102" applyNumberFormat="1" applyFont="1" applyFill="1" applyBorder="1" applyAlignment="1">
      <alignment wrapText="1"/>
      <protection/>
    </xf>
    <xf numFmtId="0" fontId="27" fillId="0" borderId="30" xfId="99" applyFont="1" applyFill="1" applyBorder="1" applyAlignment="1">
      <alignment vertical="center" wrapText="1"/>
      <protection/>
    </xf>
    <xf numFmtId="0" fontId="27" fillId="0" borderId="30" xfId="118" applyFont="1" applyFill="1" applyBorder="1" applyAlignment="1">
      <alignment vertical="center" wrapText="1"/>
      <protection/>
    </xf>
    <xf numFmtId="0" fontId="25" fillId="0" borderId="83" xfId="117" applyFont="1" applyFill="1" applyBorder="1" applyAlignment="1">
      <alignment horizontal="center" vertical="center"/>
      <protection/>
    </xf>
    <xf numFmtId="0" fontId="25" fillId="0" borderId="83" xfId="117" applyFont="1" applyFill="1" applyBorder="1" applyAlignment="1">
      <alignment horizontal="right" vertical="center"/>
      <protection/>
    </xf>
    <xf numFmtId="3" fontId="25" fillId="0" borderId="83" xfId="117" applyNumberFormat="1" applyFont="1" applyFill="1" applyBorder="1" applyAlignment="1">
      <alignment horizontal="right" vertical="center"/>
      <protection/>
    </xf>
    <xf numFmtId="0" fontId="55" fillId="0" borderId="84" xfId="117" applyFont="1" applyFill="1" applyBorder="1" applyAlignment="1">
      <alignment horizontal="left" wrapText="1"/>
      <protection/>
    </xf>
    <xf numFmtId="0" fontId="27" fillId="0" borderId="84" xfId="117" applyFont="1" applyFill="1" applyBorder="1" applyAlignment="1">
      <alignment horizontal="center"/>
      <protection/>
    </xf>
    <xf numFmtId="3" fontId="25" fillId="0" borderId="84" xfId="117" applyNumberFormat="1" applyFont="1" applyFill="1" applyBorder="1" applyAlignment="1">
      <alignment horizontal="right"/>
      <protection/>
    </xf>
    <xf numFmtId="3" fontId="25" fillId="0" borderId="85" xfId="117" applyNumberFormat="1" applyFont="1" applyFill="1" applyBorder="1" applyAlignment="1">
      <alignment horizontal="right"/>
      <protection/>
    </xf>
    <xf numFmtId="0" fontId="27" fillId="0" borderId="30" xfId="102" applyFont="1" applyFill="1" applyBorder="1" applyAlignment="1">
      <alignment vertical="center" wrapText="1"/>
      <protection/>
    </xf>
    <xf numFmtId="0" fontId="27" fillId="0" borderId="86" xfId="116" applyFont="1" applyFill="1" applyBorder="1" applyAlignment="1">
      <alignment horizontal="center" vertical="center" wrapText="1"/>
      <protection/>
    </xf>
    <xf numFmtId="0" fontId="55" fillId="0" borderId="87" xfId="117" applyFont="1" applyFill="1" applyBorder="1" applyAlignment="1">
      <alignment horizontal="left"/>
      <protection/>
    </xf>
    <xf numFmtId="0" fontId="27" fillId="0" borderId="87" xfId="117" applyFont="1" applyFill="1" applyBorder="1" applyAlignment="1">
      <alignment horizontal="center"/>
      <protection/>
    </xf>
    <xf numFmtId="3" fontId="25" fillId="0" borderId="87" xfId="117" applyNumberFormat="1" applyFont="1" applyFill="1" applyBorder="1" applyAlignment="1">
      <alignment horizontal="right"/>
      <protection/>
    </xf>
    <xf numFmtId="3" fontId="25" fillId="0" borderId="88" xfId="117" applyNumberFormat="1" applyFont="1" applyFill="1" applyBorder="1" applyAlignment="1">
      <alignment horizontal="right"/>
      <protection/>
    </xf>
    <xf numFmtId="0" fontId="25" fillId="0" borderId="30" xfId="116" applyFont="1" applyFill="1" applyBorder="1" applyAlignment="1">
      <alignment wrapText="1"/>
      <protection/>
    </xf>
    <xf numFmtId="0" fontId="27" fillId="0" borderId="30" xfId="116" applyFont="1" applyFill="1" applyBorder="1" applyAlignment="1">
      <alignment horizontal="center" wrapText="1"/>
      <protection/>
    </xf>
    <xf numFmtId="3" fontId="27" fillId="0" borderId="30" xfId="116" applyNumberFormat="1" applyFont="1" applyFill="1" applyBorder="1" applyAlignment="1">
      <alignment vertical="center"/>
      <protection/>
    </xf>
    <xf numFmtId="0" fontId="25" fillId="0" borderId="30" xfId="116" applyFont="1" applyFill="1" applyBorder="1" applyAlignment="1">
      <alignment horizontal="left" wrapText="1"/>
      <protection/>
    </xf>
    <xf numFmtId="3" fontId="27" fillId="0" borderId="82" xfId="116" applyNumberFormat="1" applyFont="1" applyFill="1" applyBorder="1" applyAlignment="1">
      <alignment/>
      <protection/>
    </xf>
    <xf numFmtId="3" fontId="27" fillId="0" borderId="82" xfId="116" applyNumberFormat="1" applyFont="1" applyFill="1" applyBorder="1" applyAlignment="1">
      <alignment vertical="center"/>
      <protection/>
    </xf>
    <xf numFmtId="0" fontId="27" fillId="0" borderId="30" xfId="117" applyFont="1" applyFill="1" applyBorder="1" applyAlignment="1">
      <alignment vertical="center"/>
      <protection/>
    </xf>
    <xf numFmtId="0" fontId="27" fillId="0" borderId="82" xfId="117" applyFont="1" applyFill="1" applyBorder="1" applyAlignment="1">
      <alignment vertical="center"/>
      <protection/>
    </xf>
    <xf numFmtId="0" fontId="27" fillId="0" borderId="30" xfId="116" applyFont="1" applyFill="1" applyBorder="1" applyAlignment="1">
      <alignment horizontal="left" vertical="center" wrapText="1"/>
      <protection/>
    </xf>
    <xf numFmtId="0" fontId="27" fillId="0" borderId="30" xfId="117" applyFont="1" applyFill="1" applyBorder="1" applyAlignment="1">
      <alignment/>
      <protection/>
    </xf>
    <xf numFmtId="0" fontId="27" fillId="0" borderId="82" xfId="117" applyFont="1" applyFill="1" applyBorder="1" applyAlignment="1">
      <alignment/>
      <protection/>
    </xf>
    <xf numFmtId="3" fontId="48" fillId="0" borderId="89" xfId="116" applyNumberFormat="1" applyFont="1" applyFill="1" applyBorder="1" applyAlignment="1">
      <alignment horizontal="right"/>
      <protection/>
    </xf>
    <xf numFmtId="3" fontId="48" fillId="0" borderId="89" xfId="116" applyNumberFormat="1" applyFont="1" applyFill="1" applyBorder="1" applyAlignment="1">
      <alignment horizontal="right" vertical="center"/>
      <protection/>
    </xf>
    <xf numFmtId="0" fontId="27" fillId="0" borderId="90" xfId="116" applyFont="1" applyFill="1" applyBorder="1" applyAlignment="1">
      <alignment horizontal="left" vertical="center" wrapText="1"/>
      <protection/>
    </xf>
    <xf numFmtId="0" fontId="27" fillId="0" borderId="90" xfId="116" applyFont="1" applyFill="1" applyBorder="1" applyAlignment="1">
      <alignment horizontal="center" vertical="center" wrapText="1"/>
      <protection/>
    </xf>
    <xf numFmtId="3" fontId="27" fillId="0" borderId="90" xfId="116" applyNumberFormat="1" applyFont="1" applyFill="1" applyBorder="1" applyAlignment="1">
      <alignment vertical="center"/>
      <protection/>
    </xf>
    <xf numFmtId="3" fontId="27" fillId="0" borderId="91" xfId="116" applyNumberFormat="1" applyFont="1" applyFill="1" applyBorder="1" applyAlignment="1">
      <alignment vertical="center"/>
      <protection/>
    </xf>
    <xf numFmtId="0" fontId="27" fillId="0" borderId="86" xfId="116" applyFont="1" applyFill="1" applyBorder="1" applyAlignment="1">
      <alignment horizontal="left" vertical="center" wrapText="1"/>
      <protection/>
    </xf>
    <xf numFmtId="3" fontId="27" fillId="0" borderId="86" xfId="116" applyNumberFormat="1" applyFont="1" applyFill="1" applyBorder="1" applyAlignment="1">
      <alignment vertical="center"/>
      <protection/>
    </xf>
    <xf numFmtId="3" fontId="27" fillId="0" borderId="92" xfId="116" applyNumberFormat="1" applyFont="1" applyFill="1" applyBorder="1" applyAlignment="1">
      <alignment vertical="center"/>
      <protection/>
    </xf>
    <xf numFmtId="0" fontId="25" fillId="0" borderId="83" xfId="116" applyFont="1" applyFill="1" applyBorder="1" applyAlignment="1">
      <alignment horizontal="left" vertical="center" wrapText="1"/>
      <protection/>
    </xf>
    <xf numFmtId="0" fontId="25" fillId="0" borderId="83" xfId="116" applyFont="1" applyFill="1" applyBorder="1" applyAlignment="1">
      <alignment horizontal="center" vertical="center" wrapText="1"/>
      <protection/>
    </xf>
    <xf numFmtId="3" fontId="25" fillId="0" borderId="83" xfId="116" applyNumberFormat="1" applyFont="1" applyFill="1" applyBorder="1" applyAlignment="1">
      <alignment vertical="center"/>
      <protection/>
    </xf>
    <xf numFmtId="3" fontId="25" fillId="0" borderId="93" xfId="116" applyNumberFormat="1" applyFont="1" applyFill="1" applyBorder="1" applyAlignment="1">
      <alignment vertical="center"/>
      <protection/>
    </xf>
    <xf numFmtId="3" fontId="50" fillId="0" borderId="94" xfId="116" applyNumberFormat="1" applyFont="1" applyFill="1" applyBorder="1" applyAlignment="1">
      <alignment vertical="center"/>
      <protection/>
    </xf>
    <xf numFmtId="0" fontId="25" fillId="0" borderId="95" xfId="117" applyFont="1" applyFill="1" applyBorder="1" applyAlignment="1">
      <alignment horizontal="center" vertical="center"/>
      <protection/>
    </xf>
    <xf numFmtId="0" fontId="25" fillId="0" borderId="95" xfId="117" applyFont="1" applyFill="1" applyBorder="1" applyAlignment="1">
      <alignment horizontal="right" vertical="center"/>
      <protection/>
    </xf>
    <xf numFmtId="3" fontId="25" fillId="0" borderId="95" xfId="117" applyNumberFormat="1" applyFont="1" applyFill="1" applyBorder="1" applyAlignment="1">
      <alignment horizontal="right" vertical="center"/>
      <protection/>
    </xf>
    <xf numFmtId="3" fontId="25" fillId="0" borderId="96" xfId="117" applyNumberFormat="1" applyFont="1" applyFill="1" applyBorder="1" applyAlignment="1">
      <alignment horizontal="right" vertical="center"/>
      <protection/>
    </xf>
    <xf numFmtId="3" fontId="36" fillId="0" borderId="0" xfId="99" applyNumberFormat="1" applyFont="1" applyFill="1" applyBorder="1" applyAlignment="1">
      <alignment vertical="center"/>
      <protection/>
    </xf>
    <xf numFmtId="0" fontId="36" fillId="0" borderId="0" xfId="117" applyFont="1" applyFill="1" applyBorder="1" applyAlignment="1">
      <alignment horizontal="center" vertical="center" wrapText="1"/>
      <protection/>
    </xf>
    <xf numFmtId="3" fontId="36" fillId="0" borderId="0" xfId="117" applyNumberFormat="1" applyFont="1" applyFill="1" applyBorder="1" applyAlignment="1">
      <alignment vertical="center"/>
      <protection/>
    </xf>
    <xf numFmtId="0" fontId="27" fillId="0" borderId="0" xfId="117" applyFont="1" applyFill="1" applyBorder="1" applyAlignment="1">
      <alignment vertical="center"/>
      <protection/>
    </xf>
    <xf numFmtId="0" fontId="22" fillId="0" borderId="0" xfId="117" applyFont="1" applyFill="1" applyBorder="1" applyAlignment="1">
      <alignment horizontal="center" vertical="center"/>
      <protection/>
    </xf>
    <xf numFmtId="0" fontId="27" fillId="0" borderId="0" xfId="117" applyFont="1" applyFill="1" applyBorder="1" applyAlignment="1">
      <alignment/>
      <protection/>
    </xf>
    <xf numFmtId="3" fontId="27" fillId="0" borderId="0" xfId="117" applyNumberFormat="1" applyFont="1" applyFill="1" applyBorder="1" applyAlignment="1">
      <alignment/>
      <protection/>
    </xf>
    <xf numFmtId="0" fontId="25" fillId="0" borderId="0" xfId="117" applyFont="1" applyFill="1" applyBorder="1" applyAlignment="1">
      <alignment vertical="center"/>
      <protection/>
    </xf>
    <xf numFmtId="0" fontId="25" fillId="0" borderId="0" xfId="117" applyFont="1" applyFill="1" applyBorder="1" applyAlignment="1">
      <alignment/>
      <protection/>
    </xf>
    <xf numFmtId="0" fontId="36" fillId="0" borderId="0" xfId="117" applyFont="1" applyFill="1" applyBorder="1" applyAlignment="1">
      <alignment vertical="center"/>
      <protection/>
    </xf>
    <xf numFmtId="3" fontId="48" fillId="0" borderId="0" xfId="117" applyNumberFormat="1" applyFont="1" applyFill="1" applyBorder="1" applyAlignment="1">
      <alignment vertical="center"/>
      <protection/>
    </xf>
    <xf numFmtId="3" fontId="45" fillId="0" borderId="0" xfId="117" applyNumberFormat="1" applyFont="1" applyFill="1" applyBorder="1" applyAlignment="1">
      <alignment horizontal="center" vertical="center"/>
      <protection/>
    </xf>
    <xf numFmtId="3" fontId="48" fillId="0" borderId="97" xfId="117" applyNumberFormat="1" applyFont="1" applyFill="1" applyBorder="1" applyAlignment="1">
      <alignment horizontal="center" vertical="center" wrapText="1"/>
      <protection/>
    </xf>
    <xf numFmtId="3" fontId="50" fillId="0" borderId="98" xfId="117" applyNumberFormat="1" applyFont="1" applyFill="1" applyBorder="1" applyAlignment="1">
      <alignment horizontal="right" wrapText="1"/>
      <protection/>
    </xf>
    <xf numFmtId="3" fontId="48" fillId="0" borderId="89" xfId="101" applyNumberFormat="1" applyFont="1" applyFill="1" applyBorder="1" applyAlignment="1">
      <alignment horizontal="right" vertical="center"/>
      <protection/>
    </xf>
    <xf numFmtId="3" fontId="50" fillId="0" borderId="94" xfId="117" applyNumberFormat="1" applyFont="1" applyFill="1" applyBorder="1" applyAlignment="1">
      <alignment horizontal="right" vertical="center"/>
      <protection/>
    </xf>
    <xf numFmtId="3" fontId="50" fillId="0" borderId="99" xfId="117" applyNumberFormat="1" applyFont="1" applyFill="1" applyBorder="1" applyAlignment="1">
      <alignment horizontal="right"/>
      <protection/>
    </xf>
    <xf numFmtId="3" fontId="50" fillId="0" borderId="89" xfId="116" applyNumberFormat="1" applyFont="1" applyFill="1" applyBorder="1" applyAlignment="1">
      <alignment horizontal="right"/>
      <protection/>
    </xf>
    <xf numFmtId="3" fontId="48" fillId="0" borderId="89" xfId="116" applyNumberFormat="1" applyFont="1" applyFill="1" applyBorder="1" applyAlignment="1">
      <alignment vertical="center"/>
      <protection/>
    </xf>
    <xf numFmtId="0" fontId="48" fillId="0" borderId="89" xfId="117" applyFont="1" applyFill="1" applyBorder="1" applyAlignment="1">
      <alignment vertical="center"/>
      <protection/>
    </xf>
    <xf numFmtId="3" fontId="48" fillId="0" borderId="89" xfId="116" applyNumberFormat="1" applyFont="1" applyFill="1" applyBorder="1" applyAlignment="1">
      <alignment horizontal="right"/>
      <protection/>
    </xf>
    <xf numFmtId="3" fontId="48" fillId="0" borderId="89" xfId="116" applyNumberFormat="1" applyFont="1" applyFill="1" applyBorder="1" applyAlignment="1">
      <alignment horizontal="right" vertical="center"/>
      <protection/>
    </xf>
    <xf numFmtId="3" fontId="48" fillId="0" borderId="100" xfId="116" applyNumberFormat="1" applyFont="1" applyFill="1" applyBorder="1" applyAlignment="1">
      <alignment vertical="center"/>
      <protection/>
    </xf>
    <xf numFmtId="3" fontId="50" fillId="0" borderId="94" xfId="116" applyNumberFormat="1" applyFont="1" applyFill="1" applyBorder="1" applyAlignment="1">
      <alignment vertical="center"/>
      <protection/>
    </xf>
    <xf numFmtId="3" fontId="50" fillId="0" borderId="101" xfId="117" applyNumberFormat="1" applyFont="1" applyFill="1" applyBorder="1" applyAlignment="1">
      <alignment horizontal="right" vertical="center"/>
      <protection/>
    </xf>
    <xf numFmtId="3" fontId="52" fillId="0" borderId="0" xfId="117" applyNumberFormat="1" applyFont="1" applyFill="1" applyBorder="1" applyAlignment="1">
      <alignment vertical="center"/>
      <protection/>
    </xf>
    <xf numFmtId="3" fontId="25" fillId="0" borderId="102" xfId="117" applyNumberFormat="1" applyFont="1" applyFill="1" applyBorder="1" applyAlignment="1">
      <alignment horizontal="right" vertical="center"/>
      <protection/>
    </xf>
    <xf numFmtId="0" fontId="22" fillId="0" borderId="0" xfId="116" applyFont="1" applyFill="1" applyBorder="1" applyAlignment="1">
      <alignment horizontal="center" vertical="top"/>
      <protection/>
    </xf>
    <xf numFmtId="0" fontId="27" fillId="0" borderId="0" xfId="116" applyFont="1" applyFill="1" applyBorder="1" applyAlignment="1">
      <alignment horizontal="center" vertical="top" wrapText="1"/>
      <protection/>
    </xf>
    <xf numFmtId="3" fontId="48" fillId="0" borderId="0" xfId="116" applyNumberFormat="1" applyFont="1" applyFill="1" applyBorder="1" applyAlignment="1">
      <alignment vertical="top"/>
      <protection/>
    </xf>
    <xf numFmtId="0" fontId="27" fillId="0" borderId="0" xfId="116" applyFont="1" applyFill="1" applyBorder="1" applyAlignment="1">
      <alignment horizontal="center" vertical="top"/>
      <protection/>
    </xf>
    <xf numFmtId="0" fontId="27" fillId="0" borderId="0" xfId="116" applyFont="1" applyFill="1" applyBorder="1" applyAlignment="1">
      <alignment wrapText="1"/>
      <protection/>
    </xf>
    <xf numFmtId="0" fontId="27" fillId="0" borderId="0" xfId="116" applyFont="1" applyFill="1" applyBorder="1" applyAlignment="1">
      <alignment horizontal="center" wrapText="1"/>
      <protection/>
    </xf>
    <xf numFmtId="3" fontId="48" fillId="0" borderId="0" xfId="116" applyNumberFormat="1" applyFont="1" applyFill="1" applyBorder="1">
      <alignment/>
      <protection/>
    </xf>
    <xf numFmtId="0" fontId="22" fillId="0" borderId="0" xfId="116" applyFont="1" applyFill="1" applyBorder="1" applyAlignment="1">
      <alignment horizontal="center" wrapText="1"/>
      <protection/>
    </xf>
    <xf numFmtId="3" fontId="45" fillId="0" borderId="0" xfId="116" applyNumberFormat="1" applyFont="1" applyFill="1" applyBorder="1" applyAlignment="1">
      <alignment horizontal="center"/>
      <protection/>
    </xf>
    <xf numFmtId="0" fontId="27" fillId="0" borderId="103" xfId="116" applyFont="1" applyFill="1" applyBorder="1" applyAlignment="1">
      <alignment horizontal="center" vertical="center" textRotation="90"/>
      <protection/>
    </xf>
    <xf numFmtId="0" fontId="27" fillId="0" borderId="79" xfId="116" applyFont="1" applyFill="1" applyBorder="1" applyAlignment="1">
      <alignment horizontal="center" vertical="center" textRotation="90"/>
      <protection/>
    </xf>
    <xf numFmtId="0" fontId="25" fillId="0" borderId="79" xfId="116" applyFont="1" applyFill="1" applyBorder="1" applyAlignment="1">
      <alignment horizontal="center" vertical="center" wrapText="1"/>
      <protection/>
    </xf>
    <xf numFmtId="3" fontId="42" fillId="0" borderId="97" xfId="116" applyNumberFormat="1" applyFont="1" applyFill="1" applyBorder="1" applyAlignment="1">
      <alignment horizontal="center" vertical="center" wrapText="1"/>
      <protection/>
    </xf>
    <xf numFmtId="0" fontId="22" fillId="0" borderId="0" xfId="116" applyFont="1" applyFill="1" applyBorder="1" applyAlignment="1">
      <alignment horizontal="center"/>
      <protection/>
    </xf>
    <xf numFmtId="0" fontId="27" fillId="0" borderId="104" xfId="116" applyFont="1" applyFill="1" applyBorder="1" applyAlignment="1">
      <alignment horizontal="center"/>
      <protection/>
    </xf>
    <xf numFmtId="0" fontId="27" fillId="0" borderId="80" xfId="116" applyFont="1" applyFill="1" applyBorder="1" applyAlignment="1">
      <alignment horizontal="center" vertical="top"/>
      <protection/>
    </xf>
    <xf numFmtId="0" fontId="55" fillId="0" borderId="80" xfId="116" applyFont="1" applyFill="1" applyBorder="1" applyAlignment="1">
      <alignment wrapText="1"/>
      <protection/>
    </xf>
    <xf numFmtId="0" fontId="27" fillId="0" borderId="80" xfId="116" applyFont="1" applyFill="1" applyBorder="1" applyAlignment="1">
      <alignment horizontal="center" wrapText="1"/>
      <protection/>
    </xf>
    <xf numFmtId="3" fontId="48" fillId="0" borderId="98" xfId="116" applyNumberFormat="1" applyFont="1" applyFill="1" applyBorder="1">
      <alignment/>
      <protection/>
    </xf>
    <xf numFmtId="0" fontId="27" fillId="0" borderId="105" xfId="116" applyFont="1" applyFill="1" applyBorder="1" applyAlignment="1">
      <alignment horizontal="center"/>
      <protection/>
    </xf>
    <xf numFmtId="0" fontId="27" fillId="0" borderId="30" xfId="116" applyFont="1" applyFill="1" applyBorder="1" applyAlignment="1">
      <alignment horizontal="center" vertical="top"/>
      <protection/>
    </xf>
    <xf numFmtId="0" fontId="27" fillId="0" borderId="30" xfId="102" applyFont="1" applyFill="1" applyBorder="1" applyAlignment="1">
      <alignment wrapText="1"/>
      <protection/>
    </xf>
    <xf numFmtId="0" fontId="27" fillId="0" borderId="30" xfId="102" applyFont="1" applyFill="1" applyBorder="1" applyAlignment="1">
      <alignment horizontal="center" wrapText="1"/>
      <protection/>
    </xf>
    <xf numFmtId="3" fontId="48" fillId="0" borderId="89" xfId="116" applyNumberFormat="1" applyFont="1" applyFill="1" applyBorder="1" applyAlignment="1">
      <alignment/>
      <protection/>
    </xf>
    <xf numFmtId="0" fontId="27" fillId="0" borderId="30" xfId="116" applyFont="1" applyFill="1" applyBorder="1" applyAlignment="1">
      <alignment wrapText="1"/>
      <protection/>
    </xf>
    <xf numFmtId="3" fontId="48" fillId="0" borderId="89" xfId="116" applyNumberFormat="1" applyFont="1" applyFill="1" applyBorder="1">
      <alignment/>
      <protection/>
    </xf>
    <xf numFmtId="0" fontId="27" fillId="0" borderId="30" xfId="116" applyNumberFormat="1" applyFont="1" applyFill="1" applyBorder="1" applyAlignment="1">
      <alignment wrapText="1"/>
      <protection/>
    </xf>
    <xf numFmtId="3" fontId="48" fillId="0" borderId="89" xfId="102" applyNumberFormat="1" applyFont="1" applyFill="1" applyBorder="1" applyAlignment="1">
      <alignment vertical="center"/>
      <protection/>
    </xf>
    <xf numFmtId="0" fontId="27" fillId="0" borderId="30" xfId="116" applyFont="1" applyFill="1" applyBorder="1" applyAlignment="1">
      <alignment/>
      <protection/>
    </xf>
    <xf numFmtId="0" fontId="27" fillId="0" borderId="105" xfId="116" applyFont="1" applyFill="1" applyBorder="1" applyAlignment="1">
      <alignment horizontal="center" vertical="center"/>
      <protection/>
    </xf>
    <xf numFmtId="0" fontId="27" fillId="0" borderId="30" xfId="116" applyFont="1" applyFill="1" applyBorder="1" applyAlignment="1">
      <alignment horizontal="center" vertical="center"/>
      <protection/>
    </xf>
    <xf numFmtId="0" fontId="27" fillId="0" borderId="30" xfId="102" applyFont="1" applyFill="1" applyBorder="1" applyAlignment="1">
      <alignment horizontal="center" vertical="center" wrapText="1"/>
      <protection/>
    </xf>
    <xf numFmtId="0" fontId="55" fillId="0" borderId="30" xfId="116" applyFont="1" applyFill="1" applyBorder="1" applyAlignment="1">
      <alignment wrapText="1"/>
      <protection/>
    </xf>
    <xf numFmtId="0" fontId="27" fillId="0" borderId="30" xfId="116" applyFont="1" applyFill="1" applyBorder="1" applyAlignment="1">
      <alignment horizontal="left" wrapText="1" indent="1"/>
      <protection/>
    </xf>
    <xf numFmtId="0" fontId="27" fillId="0" borderId="30" xfId="102" applyFont="1" applyFill="1" applyBorder="1" applyAlignment="1">
      <alignment horizontal="left" wrapText="1" indent="1"/>
      <protection/>
    </xf>
    <xf numFmtId="3" fontId="48" fillId="0" borderId="89" xfId="116" applyNumberFormat="1" applyFont="1" applyFill="1" applyBorder="1" applyAlignment="1">
      <alignment vertical="top"/>
      <protection/>
    </xf>
    <xf numFmtId="0" fontId="25" fillId="0" borderId="105" xfId="116" applyFont="1" applyFill="1" applyBorder="1" applyAlignment="1">
      <alignment horizontal="center" vertical="center"/>
      <protection/>
    </xf>
    <xf numFmtId="0" fontId="27" fillId="0" borderId="30" xfId="102" applyFont="1" applyFill="1" applyBorder="1" applyAlignment="1">
      <alignment horizontal="left" vertical="center" wrapText="1" indent="1"/>
      <protection/>
    </xf>
    <xf numFmtId="0" fontId="25" fillId="0" borderId="106" xfId="116" applyFont="1" applyFill="1" applyBorder="1" applyAlignment="1">
      <alignment horizontal="center" vertical="center"/>
      <protection/>
    </xf>
    <xf numFmtId="0" fontId="25" fillId="0" borderId="107" xfId="116" applyFont="1" applyFill="1" applyBorder="1" applyAlignment="1">
      <alignment horizontal="center" vertical="top"/>
      <protection/>
    </xf>
    <xf numFmtId="0" fontId="25" fillId="0" borderId="107" xfId="117" applyFont="1" applyFill="1" applyBorder="1" applyAlignment="1">
      <alignment horizontal="right" vertical="center"/>
      <protection/>
    </xf>
    <xf numFmtId="0" fontId="25" fillId="0" borderId="107" xfId="116" applyFont="1" applyFill="1" applyBorder="1" applyAlignment="1">
      <alignment horizontal="center" vertical="center" wrapText="1"/>
      <protection/>
    </xf>
    <xf numFmtId="3" fontId="50" fillId="0" borderId="108" xfId="116" applyNumberFormat="1" applyFont="1" applyFill="1" applyBorder="1" applyAlignment="1">
      <alignment vertical="center"/>
      <protection/>
    </xf>
    <xf numFmtId="0" fontId="25" fillId="0" borderId="104" xfId="116" applyFont="1" applyFill="1" applyBorder="1" applyAlignment="1">
      <alignment horizontal="center" vertical="center"/>
      <protection/>
    </xf>
    <xf numFmtId="0" fontId="25" fillId="0" borderId="80" xfId="116" applyFont="1" applyFill="1" applyBorder="1" applyAlignment="1">
      <alignment horizontal="center" vertical="top"/>
      <protection/>
    </xf>
    <xf numFmtId="0" fontId="25" fillId="0" borderId="80" xfId="117" applyFont="1" applyFill="1" applyBorder="1" applyAlignment="1">
      <alignment horizontal="left" vertical="center"/>
      <protection/>
    </xf>
    <xf numFmtId="0" fontId="25" fillId="0" borderId="80" xfId="116" applyFont="1" applyFill="1" applyBorder="1" applyAlignment="1">
      <alignment horizontal="center" vertical="center" wrapText="1"/>
      <protection/>
    </xf>
    <xf numFmtId="3" fontId="48" fillId="0" borderId="98" xfId="116" applyNumberFormat="1" applyFont="1" applyFill="1" applyBorder="1" applyAlignment="1">
      <alignment vertical="center"/>
      <protection/>
    </xf>
    <xf numFmtId="0" fontId="25" fillId="0" borderId="95" xfId="116" applyFont="1" applyFill="1" applyBorder="1" applyAlignment="1">
      <alignment horizontal="center" vertical="center" wrapText="1"/>
      <protection/>
    </xf>
    <xf numFmtId="3" fontId="50" fillId="0" borderId="101" xfId="116" applyNumberFormat="1" applyFont="1" applyFill="1" applyBorder="1" applyAlignment="1">
      <alignment vertical="center"/>
      <protection/>
    </xf>
    <xf numFmtId="3" fontId="22" fillId="0" borderId="0" xfId="0" applyNumberFormat="1" applyFont="1" applyFill="1" applyBorder="1" applyAlignment="1">
      <alignment horizontal="center"/>
    </xf>
    <xf numFmtId="3" fontId="22" fillId="0" borderId="0" xfId="0" applyNumberFormat="1" applyFont="1" applyFill="1" applyBorder="1" applyAlignment="1">
      <alignment/>
    </xf>
    <xf numFmtId="0" fontId="27" fillId="0" borderId="0" xfId="116" applyFont="1" applyFill="1" applyBorder="1" applyAlignment="1">
      <alignment vertical="top"/>
      <protection/>
    </xf>
    <xf numFmtId="0" fontId="27" fillId="0" borderId="0" xfId="116" applyFont="1" applyFill="1" applyBorder="1">
      <alignment/>
      <protection/>
    </xf>
    <xf numFmtId="0" fontId="27" fillId="0" borderId="0" xfId="116" applyFont="1" applyFill="1" applyBorder="1" applyAlignment="1">
      <alignment/>
      <protection/>
    </xf>
    <xf numFmtId="0" fontId="27" fillId="0" borderId="0" xfId="116" applyFont="1" applyFill="1" applyBorder="1" applyAlignment="1">
      <alignment vertical="center"/>
      <protection/>
    </xf>
    <xf numFmtId="0" fontId="25" fillId="0" borderId="0" xfId="116" applyFont="1" applyFill="1" applyBorder="1" applyAlignment="1">
      <alignment vertical="center"/>
      <protection/>
    </xf>
    <xf numFmtId="0" fontId="23" fillId="0" borderId="0" xfId="0" applyFont="1" applyBorder="1" applyAlignment="1">
      <alignment horizontal="center" vertical="center"/>
    </xf>
    <xf numFmtId="3" fontId="24" fillId="0" borderId="109" xfId="0" applyNumberFormat="1" applyFont="1" applyBorder="1" applyAlignment="1">
      <alignment horizontal="center" vertical="center" wrapText="1"/>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3" fontId="24" fillId="0" borderId="112" xfId="0" applyNumberFormat="1" applyFont="1" applyBorder="1" applyAlignment="1">
      <alignment horizontal="center" vertical="center" wrapText="1"/>
    </xf>
    <xf numFmtId="3" fontId="23" fillId="0" borderId="71" xfId="0" applyNumberFormat="1" applyFont="1" applyBorder="1" applyAlignment="1">
      <alignment/>
    </xf>
    <xf numFmtId="3" fontId="23" fillId="0" borderId="113" xfId="0" applyNumberFormat="1" applyFont="1" applyBorder="1" applyAlignment="1">
      <alignment/>
    </xf>
    <xf numFmtId="3" fontId="23" fillId="0" borderId="71" xfId="0" applyNumberFormat="1" applyFont="1" applyBorder="1" applyAlignment="1">
      <alignment vertical="top"/>
    </xf>
    <xf numFmtId="3" fontId="24" fillId="0" borderId="114" xfId="0" applyNumberFormat="1" applyFont="1" applyBorder="1" applyAlignment="1">
      <alignment vertical="center"/>
    </xf>
    <xf numFmtId="3" fontId="24" fillId="0" borderId="114" xfId="0" applyNumberFormat="1" applyFont="1" applyBorder="1" applyAlignment="1">
      <alignment horizontal="right" vertical="center"/>
    </xf>
    <xf numFmtId="3" fontId="24" fillId="0" borderId="71" xfId="0" applyNumberFormat="1" applyFont="1" applyBorder="1" applyAlignment="1">
      <alignment horizontal="center"/>
    </xf>
    <xf numFmtId="3" fontId="23" fillId="0" borderId="34" xfId="0" applyNumberFormat="1" applyFont="1" applyBorder="1" applyAlignment="1">
      <alignment horizontal="center" vertical="center" textRotation="180"/>
    </xf>
    <xf numFmtId="3" fontId="24" fillId="0" borderId="72" xfId="0" applyNumberFormat="1" applyFont="1" applyBorder="1" applyAlignment="1">
      <alignment vertical="center"/>
    </xf>
    <xf numFmtId="0" fontId="24" fillId="0" borderId="115" xfId="0" applyFont="1" applyBorder="1" applyAlignment="1">
      <alignment horizontal="center" vertical="center"/>
    </xf>
    <xf numFmtId="3" fontId="24" fillId="0" borderId="116" xfId="0" applyNumberFormat="1" applyFont="1" applyBorder="1" applyAlignment="1">
      <alignment vertical="center"/>
    </xf>
    <xf numFmtId="3" fontId="24" fillId="0" borderId="117" xfId="0" applyNumberFormat="1" applyFont="1" applyBorder="1" applyAlignment="1">
      <alignment vertical="center"/>
    </xf>
    <xf numFmtId="3" fontId="23" fillId="0" borderId="71" xfId="0" applyNumberFormat="1" applyFont="1" applyBorder="1" applyAlignment="1">
      <alignment vertical="center"/>
    </xf>
    <xf numFmtId="3" fontId="23" fillId="0" borderId="72" xfId="0" applyNumberFormat="1" applyFont="1" applyBorder="1" applyAlignment="1">
      <alignment vertical="center"/>
    </xf>
    <xf numFmtId="3" fontId="23" fillId="0" borderId="36" xfId="0" applyNumberFormat="1" applyFont="1" applyBorder="1" applyAlignment="1">
      <alignment vertical="center"/>
    </xf>
    <xf numFmtId="3" fontId="24" fillId="0" borderId="71" xfId="0" applyNumberFormat="1" applyFont="1" applyBorder="1" applyAlignment="1">
      <alignment horizontal="right" vertical="center"/>
    </xf>
    <xf numFmtId="3" fontId="24" fillId="0" borderId="71" xfId="0" applyNumberFormat="1" applyFont="1" applyBorder="1" applyAlignment="1">
      <alignment vertical="center"/>
    </xf>
    <xf numFmtId="3" fontId="24" fillId="0" borderId="74" xfId="0" applyNumberFormat="1" applyFont="1" applyBorder="1" applyAlignment="1">
      <alignment horizontal="right" vertical="center"/>
    </xf>
    <xf numFmtId="3" fontId="23" fillId="0" borderId="118" xfId="0" applyNumberFormat="1" applyFont="1" applyBorder="1" applyAlignment="1">
      <alignment vertical="center"/>
    </xf>
    <xf numFmtId="3" fontId="23" fillId="0" borderId="109" xfId="0" applyNumberFormat="1" applyFont="1" applyBorder="1" applyAlignment="1">
      <alignment horizontal="center" vertical="center" wrapText="1"/>
    </xf>
    <xf numFmtId="3" fontId="24" fillId="0" borderId="119" xfId="0" applyNumberFormat="1" applyFont="1" applyBorder="1" applyAlignment="1">
      <alignment vertical="center"/>
    </xf>
    <xf numFmtId="3" fontId="24" fillId="0" borderId="113" xfId="0" applyNumberFormat="1" applyFont="1" applyBorder="1" applyAlignment="1">
      <alignment vertical="center"/>
    </xf>
    <xf numFmtId="3" fontId="24" fillId="0" borderId="120" xfId="0" applyNumberFormat="1" applyFont="1" applyBorder="1" applyAlignment="1">
      <alignment vertical="center"/>
    </xf>
    <xf numFmtId="3" fontId="24" fillId="0" borderId="121" xfId="0" applyNumberFormat="1" applyFont="1" applyBorder="1" applyAlignment="1">
      <alignment horizontal="center" vertical="center" wrapText="1"/>
    </xf>
    <xf numFmtId="3" fontId="23" fillId="0" borderId="16" xfId="0" applyNumberFormat="1" applyFont="1" applyBorder="1" applyAlignment="1">
      <alignment vertical="center"/>
    </xf>
    <xf numFmtId="0" fontId="22" fillId="0" borderId="79" xfId="116" applyFont="1" applyFill="1" applyBorder="1" applyAlignment="1">
      <alignment horizontal="center" vertical="center" textRotation="90" wrapText="1"/>
      <protection/>
    </xf>
    <xf numFmtId="3" fontId="23" fillId="0" borderId="51" xfId="0" applyNumberFormat="1" applyFont="1" applyFill="1" applyBorder="1" applyAlignment="1">
      <alignment horizontal="center" vertical="center" wrapText="1"/>
    </xf>
    <xf numFmtId="3" fontId="23" fillId="0" borderId="52" xfId="0" applyNumberFormat="1" applyFont="1" applyFill="1" applyBorder="1" applyAlignment="1">
      <alignment horizontal="center" vertical="center" wrapText="1"/>
    </xf>
    <xf numFmtId="3" fontId="22" fillId="0" borderId="62" xfId="101" applyNumberFormat="1" applyFont="1" applyFill="1" applyBorder="1" applyAlignment="1">
      <alignment horizontal="center"/>
      <protection/>
    </xf>
    <xf numFmtId="3" fontId="22" fillId="0" borderId="63" xfId="101" applyNumberFormat="1" applyFont="1" applyFill="1" applyBorder="1" applyAlignment="1">
      <alignment horizontal="center"/>
      <protection/>
    </xf>
    <xf numFmtId="3" fontId="27" fillId="0" borderId="63" xfId="101" applyNumberFormat="1" applyFont="1" applyFill="1" applyBorder="1" applyAlignment="1">
      <alignment/>
      <protection/>
    </xf>
    <xf numFmtId="3" fontId="27" fillId="0" borderId="63" xfId="101" applyNumberFormat="1" applyFont="1" applyFill="1" applyBorder="1" applyAlignment="1">
      <alignment horizontal="center"/>
      <protection/>
    </xf>
    <xf numFmtId="3" fontId="27" fillId="0" borderId="63" xfId="101" applyNumberFormat="1" applyFont="1" applyFill="1" applyBorder="1" applyAlignment="1">
      <alignment horizontal="right"/>
      <protection/>
    </xf>
    <xf numFmtId="3" fontId="27" fillId="0" borderId="122" xfId="101" applyNumberFormat="1" applyFont="1" applyFill="1" applyBorder="1" applyAlignment="1">
      <alignment horizontal="right"/>
      <protection/>
    </xf>
    <xf numFmtId="3" fontId="27" fillId="0" borderId="64" xfId="101" applyNumberFormat="1" applyFont="1" applyFill="1" applyBorder="1" applyAlignment="1">
      <alignment horizontal="center"/>
      <protection/>
    </xf>
    <xf numFmtId="3" fontId="27" fillId="0" borderId="65" xfId="101" applyNumberFormat="1" applyFont="1" applyFill="1" applyBorder="1" applyAlignment="1">
      <alignment horizontal="center"/>
      <protection/>
    </xf>
    <xf numFmtId="3" fontId="48" fillId="0" borderId="29" xfId="101" applyNumberFormat="1" applyFont="1" applyFill="1" applyBorder="1" applyAlignment="1">
      <alignment horizontal="right" vertical="center"/>
      <protection/>
    </xf>
    <xf numFmtId="3" fontId="28" fillId="0" borderId="0" xfId="117" applyNumberFormat="1" applyFont="1" applyFill="1" applyBorder="1" applyAlignment="1">
      <alignment horizontal="center" vertical="center"/>
      <protection/>
    </xf>
    <xf numFmtId="3" fontId="41" fillId="0" borderId="0" xfId="117" applyNumberFormat="1" applyFont="1" applyFill="1" applyBorder="1" applyAlignment="1">
      <alignment vertical="center"/>
      <protection/>
    </xf>
    <xf numFmtId="3" fontId="25" fillId="0" borderId="0" xfId="116" applyNumberFormat="1" applyFont="1" applyFill="1" applyBorder="1" applyAlignment="1">
      <alignment vertical="top"/>
      <protection/>
    </xf>
    <xf numFmtId="3" fontId="28" fillId="0" borderId="0" xfId="116" applyNumberFormat="1" applyFont="1" applyFill="1" applyBorder="1" applyAlignment="1">
      <alignment horizontal="center"/>
      <protection/>
    </xf>
    <xf numFmtId="3" fontId="25" fillId="0" borderId="0" xfId="116" applyNumberFormat="1" applyFont="1" applyFill="1" applyBorder="1">
      <alignment/>
      <protection/>
    </xf>
    <xf numFmtId="3" fontId="25" fillId="0" borderId="0" xfId="101" applyNumberFormat="1" applyFont="1" applyFill="1" applyAlignment="1">
      <alignment horizontal="center"/>
      <protection/>
    </xf>
    <xf numFmtId="3" fontId="27" fillId="0" borderId="0" xfId="116" applyNumberFormat="1" applyFont="1" applyFill="1" applyBorder="1" applyAlignment="1">
      <alignment horizontal="right"/>
      <protection/>
    </xf>
    <xf numFmtId="3" fontId="25" fillId="0" borderId="79" xfId="117" applyNumberFormat="1" applyFont="1" applyFill="1" applyBorder="1" applyAlignment="1">
      <alignment horizontal="center" vertical="center" wrapText="1"/>
      <protection/>
    </xf>
    <xf numFmtId="0" fontId="36" fillId="0" borderId="0" xfId="117" applyFont="1" applyFill="1" applyBorder="1" applyAlignment="1">
      <alignment/>
      <protection/>
    </xf>
    <xf numFmtId="0" fontId="36" fillId="0" borderId="0" xfId="117" applyFont="1" applyFill="1" applyBorder="1" applyAlignment="1">
      <alignment horizontal="center"/>
      <protection/>
    </xf>
    <xf numFmtId="0" fontId="36" fillId="0" borderId="0" xfId="117" applyFont="1" applyFill="1" applyBorder="1" applyAlignment="1">
      <alignment horizontal="center" vertical="center"/>
      <protection/>
    </xf>
    <xf numFmtId="3" fontId="22" fillId="0" borderId="60" xfId="101" applyNumberFormat="1" applyFont="1" applyFill="1" applyBorder="1" applyAlignment="1">
      <alignment horizontal="center"/>
      <protection/>
    </xf>
    <xf numFmtId="3" fontId="27" fillId="0" borderId="51" xfId="101" applyNumberFormat="1" applyFont="1" applyFill="1" applyBorder="1" applyAlignment="1">
      <alignment vertical="center" wrapText="1"/>
      <protection/>
    </xf>
    <xf numFmtId="3" fontId="27" fillId="0" borderId="51" xfId="101" applyNumberFormat="1" applyFont="1" applyFill="1" applyBorder="1" applyAlignment="1">
      <alignment horizontal="center" vertical="center"/>
      <protection/>
    </xf>
    <xf numFmtId="3" fontId="27" fillId="0" borderId="51" xfId="101" applyNumberFormat="1" applyFont="1" applyFill="1" applyBorder="1" applyAlignment="1">
      <alignment horizontal="right" vertical="center"/>
      <protection/>
    </xf>
    <xf numFmtId="3" fontId="27" fillId="0" borderId="123" xfId="101" applyNumberFormat="1" applyFont="1" applyFill="1" applyBorder="1" applyAlignment="1">
      <alignment horizontal="right" vertical="center"/>
      <protection/>
    </xf>
    <xf numFmtId="3" fontId="31" fillId="0" borderId="0" xfId="101" applyNumberFormat="1" applyFont="1" applyFill="1">
      <alignment/>
      <protection/>
    </xf>
    <xf numFmtId="3" fontId="36" fillId="0" borderId="0" xfId="101" applyNumberFormat="1" applyFont="1" applyFill="1" applyAlignment="1">
      <alignment horizontal="center"/>
      <protection/>
    </xf>
    <xf numFmtId="3" fontId="25" fillId="0" borderId="124" xfId="101" applyNumberFormat="1" applyFont="1" applyFill="1" applyBorder="1" applyAlignment="1">
      <alignment horizontal="center" vertical="center" wrapText="1"/>
      <protection/>
    </xf>
    <xf numFmtId="3" fontId="25" fillId="0" borderId="125" xfId="101" applyNumberFormat="1" applyFont="1" applyFill="1" applyBorder="1" applyAlignment="1">
      <alignment horizontal="center" vertical="center" wrapText="1"/>
      <protection/>
    </xf>
    <xf numFmtId="3" fontId="36" fillId="0" borderId="0" xfId="101" applyNumberFormat="1" applyFont="1" applyFill="1" applyAlignment="1">
      <alignment horizontal="center" vertical="top"/>
      <protection/>
    </xf>
    <xf numFmtId="3" fontId="36" fillId="0" borderId="0" xfId="101" applyNumberFormat="1" applyFont="1" applyFill="1" applyAlignment="1">
      <alignment horizontal="center" vertical="center"/>
      <protection/>
    </xf>
    <xf numFmtId="49" fontId="22" fillId="0" borderId="0" xfId="101" applyNumberFormat="1" applyFont="1" applyFill="1" applyAlignment="1">
      <alignment horizontal="center"/>
      <protection/>
    </xf>
    <xf numFmtId="3" fontId="28" fillId="0" borderId="0" xfId="101" applyNumberFormat="1" applyFont="1" applyFill="1" applyAlignment="1">
      <alignment horizontal="center"/>
      <protection/>
    </xf>
    <xf numFmtId="3" fontId="40" fillId="0" borderId="0" xfId="101" applyNumberFormat="1" applyFont="1" applyFill="1" applyAlignment="1">
      <alignment horizontal="center"/>
      <protection/>
    </xf>
    <xf numFmtId="3" fontId="22" fillId="0" borderId="0" xfId="101" applyNumberFormat="1" applyFont="1" applyFill="1" applyBorder="1" applyAlignment="1">
      <alignment horizontal="right"/>
      <protection/>
    </xf>
    <xf numFmtId="3" fontId="22" fillId="0" borderId="0" xfId="101" applyNumberFormat="1" applyFont="1" applyFill="1">
      <alignment/>
      <protection/>
    </xf>
    <xf numFmtId="49" fontId="36" fillId="0" borderId="0" xfId="101" applyNumberFormat="1" applyFont="1" applyFill="1" applyAlignment="1">
      <alignment horizontal="center"/>
      <protection/>
    </xf>
    <xf numFmtId="3" fontId="36" fillId="0" borderId="10" xfId="101" applyNumberFormat="1" applyFont="1" applyFill="1" applyBorder="1" applyAlignment="1">
      <alignment horizontal="center"/>
      <protection/>
    </xf>
    <xf numFmtId="49" fontId="22" fillId="0" borderId="126" xfId="101" applyNumberFormat="1" applyFont="1" applyFill="1" applyBorder="1" applyAlignment="1">
      <alignment horizontal="center" vertical="center" textRotation="90"/>
      <protection/>
    </xf>
    <xf numFmtId="3" fontId="22" fillId="0" borderId="124" xfId="101" applyNumberFormat="1" applyFont="1" applyFill="1" applyBorder="1" applyAlignment="1">
      <alignment horizontal="center" vertical="center" textRotation="90"/>
      <protection/>
    </xf>
    <xf numFmtId="3" fontId="22" fillId="0" borderId="124" xfId="101" applyNumberFormat="1" applyFont="1" applyFill="1" applyBorder="1" applyAlignment="1">
      <alignment horizontal="center" vertical="center" wrapText="1"/>
      <protection/>
    </xf>
    <xf numFmtId="3" fontId="24" fillId="0" borderId="124" xfId="101" applyNumberFormat="1" applyFont="1" applyFill="1" applyBorder="1" applyAlignment="1">
      <alignment horizontal="center" vertical="center"/>
      <protection/>
    </xf>
    <xf numFmtId="49" fontId="27" fillId="0" borderId="40" xfId="101" applyNumberFormat="1" applyFont="1" applyFill="1" applyBorder="1" applyAlignment="1">
      <alignment horizontal="center"/>
      <protection/>
    </xf>
    <xf numFmtId="3" fontId="25" fillId="0" borderId="37" xfId="101" applyNumberFormat="1" applyFont="1" applyFill="1" applyBorder="1" applyAlignment="1">
      <alignment horizontal="center"/>
      <protection/>
    </xf>
    <xf numFmtId="3" fontId="27" fillId="0" borderId="37" xfId="101" applyNumberFormat="1" applyFont="1" applyFill="1" applyBorder="1" applyAlignment="1">
      <alignment horizontal="center"/>
      <protection/>
    </xf>
    <xf numFmtId="3" fontId="25" fillId="0" borderId="37" xfId="101" applyNumberFormat="1" applyFont="1" applyFill="1" applyBorder="1" applyAlignment="1">
      <alignment wrapText="1"/>
      <protection/>
    </xf>
    <xf numFmtId="3" fontId="25" fillId="0" borderId="37" xfId="101" applyNumberFormat="1" applyFont="1" applyFill="1" applyBorder="1">
      <alignment/>
      <protection/>
    </xf>
    <xf numFmtId="3" fontId="25" fillId="0" borderId="41" xfId="101" applyNumberFormat="1" applyFont="1" applyFill="1" applyBorder="1">
      <alignment/>
      <protection/>
    </xf>
    <xf numFmtId="49" fontId="27" fillId="0" borderId="26" xfId="101" applyNumberFormat="1" applyFont="1" applyFill="1" applyBorder="1" applyAlignment="1">
      <alignment horizontal="center"/>
      <protection/>
    </xf>
    <xf numFmtId="3" fontId="27" fillId="0" borderId="23" xfId="101" applyNumberFormat="1" applyFont="1" applyFill="1" applyBorder="1">
      <alignment/>
      <protection/>
    </xf>
    <xf numFmtId="3" fontId="25" fillId="0" borderId="0" xfId="101" applyNumberFormat="1" applyFont="1" applyFill="1" applyBorder="1" applyAlignment="1">
      <alignment horizontal="center"/>
      <protection/>
    </xf>
    <xf numFmtId="3" fontId="25" fillId="0" borderId="23" xfId="101" applyNumberFormat="1" applyFont="1" applyFill="1" applyBorder="1">
      <alignment/>
      <protection/>
    </xf>
    <xf numFmtId="49" fontId="31" fillId="0" borderId="26" xfId="101" applyNumberFormat="1" applyFont="1" applyFill="1" applyBorder="1" applyAlignment="1">
      <alignment horizontal="center"/>
      <protection/>
    </xf>
    <xf numFmtId="3" fontId="31" fillId="0" borderId="0" xfId="101" applyNumberFormat="1" applyFont="1" applyFill="1" applyBorder="1" applyAlignment="1">
      <alignment horizontal="center"/>
      <protection/>
    </xf>
    <xf numFmtId="3" fontId="31" fillId="0" borderId="0" xfId="101" applyNumberFormat="1" applyFont="1" applyFill="1" applyBorder="1" applyAlignment="1">
      <alignment horizontal="left" indent="2"/>
      <protection/>
    </xf>
    <xf numFmtId="3" fontId="31" fillId="0" borderId="0" xfId="101" applyNumberFormat="1" applyFont="1" applyFill="1" applyBorder="1">
      <alignment/>
      <protection/>
    </xf>
    <xf numFmtId="3" fontId="31" fillId="0" borderId="23" xfId="101" applyNumberFormat="1" applyFont="1" applyFill="1" applyBorder="1">
      <alignment/>
      <protection/>
    </xf>
    <xf numFmtId="3" fontId="27" fillId="0" borderId="0" xfId="101" applyNumberFormat="1" applyFont="1" applyFill="1" applyBorder="1" applyAlignment="1">
      <alignment horizontal="left" indent="3"/>
      <protection/>
    </xf>
    <xf numFmtId="49" fontId="27" fillId="0" borderId="26" xfId="101" applyNumberFormat="1" applyFont="1" applyFill="1" applyBorder="1" applyAlignment="1">
      <alignment horizontal="center" vertical="center"/>
      <protection/>
    </xf>
    <xf numFmtId="3" fontId="25" fillId="0" borderId="0" xfId="101" applyNumberFormat="1" applyFont="1" applyFill="1" applyBorder="1" applyAlignment="1">
      <alignment horizontal="center" vertical="center"/>
      <protection/>
    </xf>
    <xf numFmtId="3" fontId="25" fillId="0" borderId="0" xfId="101" applyNumberFormat="1" applyFont="1" applyFill="1" applyBorder="1" applyAlignment="1">
      <alignment vertical="center"/>
      <protection/>
    </xf>
    <xf numFmtId="3" fontId="25" fillId="0" borderId="23" xfId="101" applyNumberFormat="1" applyFont="1" applyFill="1" applyBorder="1" applyAlignment="1">
      <alignment vertical="center"/>
      <protection/>
    </xf>
    <xf numFmtId="3" fontId="27" fillId="0" borderId="0" xfId="101" applyNumberFormat="1" applyFont="1" applyFill="1" applyBorder="1" applyAlignment="1">
      <alignment horizontal="left"/>
      <protection/>
    </xf>
    <xf numFmtId="49" fontId="27" fillId="0" borderId="26" xfId="101" applyNumberFormat="1" applyFont="1" applyFill="1" applyBorder="1" applyAlignment="1">
      <alignment horizontal="center" vertical="top"/>
      <protection/>
    </xf>
    <xf numFmtId="3" fontId="27" fillId="0" borderId="0" xfId="101" applyNumberFormat="1" applyFont="1" applyFill="1" applyBorder="1" applyAlignment="1">
      <alignment horizontal="center" vertical="top"/>
      <protection/>
    </xf>
    <xf numFmtId="3" fontId="27" fillId="0" borderId="0" xfId="101" applyNumberFormat="1" applyFont="1" applyFill="1" applyBorder="1" applyAlignment="1">
      <alignment vertical="top" wrapText="1"/>
      <protection/>
    </xf>
    <xf numFmtId="3" fontId="27" fillId="0" borderId="0" xfId="101" applyNumberFormat="1" applyFont="1" applyFill="1" applyBorder="1" applyAlignment="1">
      <alignment vertical="top"/>
      <protection/>
    </xf>
    <xf numFmtId="3" fontId="27" fillId="0" borderId="23" xfId="101" applyNumberFormat="1" applyFont="1" applyFill="1" applyBorder="1" applyAlignment="1">
      <alignment vertical="top"/>
      <protection/>
    </xf>
    <xf numFmtId="49" fontId="27" fillId="0" borderId="127" xfId="101" applyNumberFormat="1" applyFont="1" applyFill="1" applyBorder="1" applyAlignment="1">
      <alignment horizontal="center" vertical="center"/>
      <protection/>
    </xf>
    <xf numFmtId="3" fontId="25" fillId="0" borderId="128" xfId="101" applyNumberFormat="1" applyFont="1" applyFill="1" applyBorder="1" applyAlignment="1">
      <alignment horizontal="center" vertical="center"/>
      <protection/>
    </xf>
    <xf numFmtId="3" fontId="27" fillId="0" borderId="128" xfId="101" applyNumberFormat="1" applyFont="1" applyFill="1" applyBorder="1" applyAlignment="1">
      <alignment horizontal="center" vertical="center"/>
      <protection/>
    </xf>
    <xf numFmtId="3" fontId="25" fillId="0" borderId="128" xfId="101" applyNumberFormat="1" applyFont="1" applyFill="1" applyBorder="1" applyAlignment="1">
      <alignment vertical="center"/>
      <protection/>
    </xf>
    <xf numFmtId="3" fontId="25" fillId="0" borderId="129" xfId="101" applyNumberFormat="1" applyFont="1" applyFill="1" applyBorder="1" applyAlignment="1">
      <alignment vertical="center"/>
      <protection/>
    </xf>
    <xf numFmtId="49" fontId="25" fillId="0" borderId="26" xfId="101" applyNumberFormat="1" applyFont="1" applyFill="1" applyBorder="1" applyAlignment="1">
      <alignment horizontal="center"/>
      <protection/>
    </xf>
    <xf numFmtId="3" fontId="25" fillId="0" borderId="0" xfId="101" applyNumberFormat="1" applyFont="1" applyFill="1" applyBorder="1" applyAlignment="1">
      <alignment/>
      <protection/>
    </xf>
    <xf numFmtId="3" fontId="25" fillId="0" borderId="23" xfId="101" applyNumberFormat="1" applyFont="1" applyFill="1" applyBorder="1" applyAlignment="1">
      <alignment/>
      <protection/>
    </xf>
    <xf numFmtId="3" fontId="27" fillId="0" borderId="0" xfId="101" applyNumberFormat="1" applyFont="1" applyFill="1" applyBorder="1" applyAlignment="1">
      <alignment/>
      <protection/>
    </xf>
    <xf numFmtId="3" fontId="27" fillId="0" borderId="23" xfId="101" applyNumberFormat="1" applyFont="1" applyFill="1" applyBorder="1" applyAlignment="1">
      <alignment/>
      <protection/>
    </xf>
    <xf numFmtId="3" fontId="27" fillId="0" borderId="0" xfId="101" applyNumberFormat="1" applyFont="1" applyFill="1" applyBorder="1" applyAlignment="1">
      <alignment horizontal="left" indent="1"/>
      <protection/>
    </xf>
    <xf numFmtId="3" fontId="27" fillId="0" borderId="0" xfId="101" applyNumberFormat="1" applyFont="1" applyFill="1" applyBorder="1" applyAlignment="1">
      <alignment horizontal="left" vertical="top" indent="1"/>
      <protection/>
    </xf>
    <xf numFmtId="49" fontId="27" fillId="0" borderId="0" xfId="101" applyNumberFormat="1" applyFont="1" applyFill="1" applyBorder="1" applyAlignment="1">
      <alignment horizontal="center"/>
      <protection/>
    </xf>
    <xf numFmtId="3" fontId="41" fillId="0" borderId="0" xfId="101" applyNumberFormat="1" applyFont="1" applyFill="1" applyAlignment="1">
      <alignment horizontal="center"/>
      <protection/>
    </xf>
    <xf numFmtId="49" fontId="27" fillId="0" borderId="0" xfId="101" applyNumberFormat="1" applyFont="1" applyFill="1" applyAlignment="1">
      <alignment horizontal="center"/>
      <protection/>
    </xf>
    <xf numFmtId="3" fontId="42" fillId="0" borderId="0" xfId="111" applyNumberFormat="1" applyFont="1" applyFill="1" applyBorder="1" applyAlignment="1">
      <alignment vertical="center"/>
      <protection/>
    </xf>
    <xf numFmtId="3" fontId="23" fillId="0" borderId="0" xfId="111" applyNumberFormat="1" applyFont="1" applyFill="1" applyBorder="1" applyAlignment="1">
      <alignment vertical="center"/>
      <protection/>
    </xf>
    <xf numFmtId="3" fontId="24" fillId="0" borderId="0" xfId="111" applyNumberFormat="1" applyFont="1" applyFill="1" applyBorder="1" applyAlignment="1">
      <alignment vertical="center"/>
      <protection/>
    </xf>
    <xf numFmtId="3" fontId="23" fillId="0" borderId="0" xfId="111" applyNumberFormat="1" applyFont="1" applyFill="1" applyBorder="1" applyAlignment="1">
      <alignment horizontal="left"/>
      <protection/>
    </xf>
    <xf numFmtId="3" fontId="24" fillId="0" borderId="0" xfId="111" applyNumberFormat="1" applyFont="1" applyFill="1" applyBorder="1" applyAlignment="1">
      <alignment vertical="top"/>
      <protection/>
    </xf>
    <xf numFmtId="3" fontId="24" fillId="0" borderId="19" xfId="111" applyNumberFormat="1" applyFont="1" applyFill="1" applyBorder="1" applyAlignment="1">
      <alignment vertical="center"/>
      <protection/>
    </xf>
    <xf numFmtId="3" fontId="23" fillId="0" borderId="38" xfId="111" applyNumberFormat="1" applyFont="1" applyFill="1" applyBorder="1" applyAlignment="1">
      <alignment/>
      <protection/>
    </xf>
    <xf numFmtId="3" fontId="23" fillId="0" borderId="0" xfId="111" applyNumberFormat="1" applyFont="1" applyFill="1" applyBorder="1" applyAlignment="1">
      <alignment/>
      <protection/>
    </xf>
    <xf numFmtId="3" fontId="23" fillId="0" borderId="0" xfId="111" applyNumberFormat="1" applyFont="1" applyFill="1" applyBorder="1" applyAlignment="1">
      <alignment wrapText="1"/>
      <protection/>
    </xf>
    <xf numFmtId="3" fontId="23" fillId="0" borderId="0" xfId="111" applyNumberFormat="1" applyFont="1" applyFill="1" applyBorder="1" applyAlignment="1">
      <alignment horizontal="left" wrapText="1"/>
      <protection/>
    </xf>
    <xf numFmtId="3" fontId="24" fillId="0" borderId="0" xfId="111" applyNumberFormat="1" applyFont="1" applyFill="1" applyBorder="1" applyAlignment="1">
      <alignment/>
      <protection/>
    </xf>
    <xf numFmtId="3" fontId="24" fillId="0" borderId="10" xfId="111" applyNumberFormat="1" applyFont="1" applyFill="1" applyBorder="1" applyAlignment="1">
      <alignment vertical="center"/>
      <protection/>
    </xf>
    <xf numFmtId="3" fontId="24" fillId="0" borderId="19" xfId="111" applyNumberFormat="1" applyFont="1" applyFill="1" applyBorder="1" applyAlignment="1">
      <alignment vertical="top"/>
      <protection/>
    </xf>
    <xf numFmtId="3" fontId="42" fillId="0" borderId="0" xfId="0" applyNumberFormat="1" applyFont="1" applyFill="1" applyAlignment="1">
      <alignment vertical="center"/>
    </xf>
    <xf numFmtId="3" fontId="23" fillId="0" borderId="22" xfId="101" applyNumberFormat="1" applyFont="1" applyFill="1" applyBorder="1" applyAlignment="1">
      <alignment horizontal="center" vertical="center" wrapText="1"/>
      <protection/>
    </xf>
    <xf numFmtId="3" fontId="23" fillId="0" borderId="37" xfId="111" applyNumberFormat="1" applyFont="1" applyFill="1" applyBorder="1" applyAlignment="1">
      <alignment/>
      <protection/>
    </xf>
    <xf numFmtId="3" fontId="23" fillId="0" borderId="37" xfId="111" applyNumberFormat="1" applyFont="1" applyFill="1" applyBorder="1" applyAlignment="1">
      <alignment horizontal="center"/>
      <protection/>
    </xf>
    <xf numFmtId="3" fontId="22" fillId="0" borderId="0" xfId="111" applyNumberFormat="1" applyFont="1" applyFill="1" applyBorder="1" applyAlignment="1">
      <alignment vertical="center"/>
      <protection/>
    </xf>
    <xf numFmtId="3" fontId="23" fillId="0" borderId="0" xfId="111" applyNumberFormat="1" applyFont="1" applyFill="1" applyBorder="1" applyAlignment="1">
      <alignment horizontal="center" vertical="center"/>
      <protection/>
    </xf>
    <xf numFmtId="3" fontId="42" fillId="0" borderId="0" xfId="111" applyNumberFormat="1" applyFont="1" applyFill="1" applyBorder="1" applyAlignment="1">
      <alignment/>
      <protection/>
    </xf>
    <xf numFmtId="3" fontId="42" fillId="0" borderId="0" xfId="111" applyNumberFormat="1" applyFont="1" applyFill="1" applyBorder="1" applyAlignment="1">
      <alignment horizontal="center" vertical="center"/>
      <protection/>
    </xf>
    <xf numFmtId="3" fontId="24" fillId="0" borderId="0" xfId="111" applyNumberFormat="1" applyFont="1" applyFill="1" applyBorder="1" applyAlignment="1">
      <alignment horizontal="center" vertical="center"/>
      <protection/>
    </xf>
    <xf numFmtId="3" fontId="23" fillId="0" borderId="0" xfId="111" applyNumberFormat="1" applyFont="1" applyFill="1" applyBorder="1" applyAlignment="1">
      <alignment horizontal="left" wrapText="1" indent="1"/>
      <protection/>
    </xf>
    <xf numFmtId="3" fontId="22" fillId="0" borderId="0" xfId="111" applyNumberFormat="1" applyFont="1" applyFill="1" applyBorder="1" applyAlignment="1">
      <alignment wrapText="1"/>
      <protection/>
    </xf>
    <xf numFmtId="3" fontId="42" fillId="0" borderId="0" xfId="111" applyNumberFormat="1" applyFont="1" applyFill="1" applyBorder="1" applyAlignment="1">
      <alignment horizontal="left" indent="1"/>
      <protection/>
    </xf>
    <xf numFmtId="3" fontId="23" fillId="0" borderId="0" xfId="111" applyNumberFormat="1" applyFont="1" applyFill="1" applyBorder="1" applyAlignment="1">
      <alignment horizontal="left" indent="1"/>
      <protection/>
    </xf>
    <xf numFmtId="3" fontId="24" fillId="0" borderId="0" xfId="111" applyNumberFormat="1" applyFont="1" applyFill="1" applyBorder="1" applyAlignment="1">
      <alignment horizontal="left" vertical="center" indent="1"/>
      <protection/>
    </xf>
    <xf numFmtId="3" fontId="23" fillId="0" borderId="0" xfId="111" applyNumberFormat="1" applyFont="1" applyFill="1" applyBorder="1" applyAlignment="1">
      <alignment horizontal="center" wrapText="1"/>
      <protection/>
    </xf>
    <xf numFmtId="3" fontId="23" fillId="0" borderId="0" xfId="111" applyNumberFormat="1" applyFont="1" applyFill="1" applyBorder="1" applyAlignment="1">
      <alignment horizontal="center"/>
      <protection/>
    </xf>
    <xf numFmtId="3" fontId="42" fillId="0" borderId="0" xfId="111" applyNumberFormat="1" applyFont="1" applyFill="1" applyBorder="1" applyAlignment="1">
      <alignment horizontal="left" wrapText="1" indent="1"/>
      <protection/>
    </xf>
    <xf numFmtId="3" fontId="45" fillId="0" borderId="0" xfId="111" applyNumberFormat="1" applyFont="1" applyFill="1" applyBorder="1" applyAlignment="1">
      <alignment horizontal="left" wrapText="1" indent="1"/>
      <protection/>
    </xf>
    <xf numFmtId="3" fontId="24" fillId="0" borderId="0" xfId="111" applyNumberFormat="1" applyFont="1" applyFill="1" applyBorder="1" applyAlignment="1">
      <alignment horizontal="left" vertical="top" indent="1"/>
      <protection/>
    </xf>
    <xf numFmtId="3" fontId="24" fillId="0" borderId="0" xfId="111" applyNumberFormat="1" applyFont="1" applyFill="1" applyBorder="1" applyAlignment="1">
      <alignment horizontal="center" vertical="top"/>
      <protection/>
    </xf>
    <xf numFmtId="3" fontId="24" fillId="0" borderId="47" xfId="111" applyNumberFormat="1" applyFont="1" applyFill="1" applyBorder="1" applyAlignment="1">
      <alignment vertical="center"/>
      <protection/>
    </xf>
    <xf numFmtId="3" fontId="24" fillId="0" borderId="47" xfId="111" applyNumberFormat="1" applyFont="1" applyFill="1" applyBorder="1" applyAlignment="1">
      <alignment horizontal="center" vertical="center"/>
      <protection/>
    </xf>
    <xf numFmtId="3" fontId="42" fillId="0" borderId="0" xfId="111" applyNumberFormat="1" applyFont="1" applyFill="1" applyBorder="1" applyAlignment="1">
      <alignment horizontal="left"/>
      <protection/>
    </xf>
    <xf numFmtId="3" fontId="24" fillId="0" borderId="0" xfId="111" applyNumberFormat="1" applyFont="1" applyFill="1" applyBorder="1" applyAlignment="1">
      <alignment horizontal="left" vertical="center"/>
      <protection/>
    </xf>
    <xf numFmtId="3" fontId="24" fillId="0" borderId="0" xfId="111" applyNumberFormat="1" applyFont="1" applyFill="1" applyBorder="1" applyAlignment="1">
      <alignment horizontal="left" vertical="top"/>
      <protection/>
    </xf>
    <xf numFmtId="3" fontId="23" fillId="0" borderId="38" xfId="111" applyNumberFormat="1" applyFont="1" applyFill="1" applyBorder="1" applyAlignment="1">
      <alignment vertical="center" wrapText="1"/>
      <protection/>
    </xf>
    <xf numFmtId="3" fontId="23" fillId="0" borderId="38" xfId="111" applyNumberFormat="1" applyFont="1" applyFill="1" applyBorder="1" applyAlignment="1">
      <alignment horizontal="center" vertical="center" wrapText="1"/>
      <protection/>
    </xf>
    <xf numFmtId="3" fontId="42" fillId="0" borderId="0" xfId="111" applyNumberFormat="1" applyFont="1" applyFill="1" applyBorder="1" applyAlignment="1">
      <alignment horizontal="left" vertical="center"/>
      <protection/>
    </xf>
    <xf numFmtId="3" fontId="23" fillId="0" borderId="0" xfId="111" applyNumberFormat="1" applyFont="1" applyFill="1" applyBorder="1" applyAlignment="1">
      <alignment horizontal="left" vertical="center"/>
      <protection/>
    </xf>
    <xf numFmtId="3" fontId="24" fillId="0" borderId="47" xfId="111" applyNumberFormat="1" applyFont="1" applyFill="1" applyBorder="1" applyAlignment="1">
      <alignment horizontal="left" vertical="center"/>
      <protection/>
    </xf>
    <xf numFmtId="3" fontId="24" fillId="0" borderId="37" xfId="111" applyNumberFormat="1" applyFont="1" applyFill="1" applyBorder="1" applyAlignment="1">
      <alignment wrapText="1"/>
      <protection/>
    </xf>
    <xf numFmtId="3" fontId="23" fillId="0" borderId="37" xfId="111" applyNumberFormat="1" applyFont="1" applyFill="1" applyBorder="1" applyAlignment="1">
      <alignment horizontal="center" wrapText="1"/>
      <protection/>
    </xf>
    <xf numFmtId="3" fontId="24" fillId="0" borderId="10" xfId="111" applyNumberFormat="1" applyFont="1" applyFill="1" applyBorder="1" applyAlignment="1">
      <alignment horizontal="left" vertical="top"/>
      <protection/>
    </xf>
    <xf numFmtId="3" fontId="24" fillId="0" borderId="10" xfId="111" applyNumberFormat="1" applyFont="1" applyFill="1" applyBorder="1" applyAlignment="1">
      <alignment horizontal="center" vertical="top"/>
      <protection/>
    </xf>
    <xf numFmtId="3" fontId="22" fillId="0" borderId="0" xfId="111" applyNumberFormat="1" applyFont="1" applyFill="1" applyBorder="1" applyAlignment="1">
      <alignment horizontal="left" wrapText="1"/>
      <protection/>
    </xf>
    <xf numFmtId="3" fontId="24" fillId="0" borderId="10" xfId="111" applyNumberFormat="1" applyFont="1" applyFill="1" applyBorder="1" applyAlignment="1">
      <alignment horizontal="left" vertical="center"/>
      <protection/>
    </xf>
    <xf numFmtId="3" fontId="52" fillId="0" borderId="0" xfId="111" applyNumberFormat="1" applyFont="1" applyFill="1" applyBorder="1" applyAlignment="1">
      <alignment horizontal="left"/>
      <protection/>
    </xf>
    <xf numFmtId="3" fontId="52" fillId="0" borderId="0" xfId="111" applyNumberFormat="1" applyFont="1" applyFill="1" applyBorder="1" applyAlignment="1">
      <alignment horizontal="center" vertical="center"/>
      <protection/>
    </xf>
    <xf numFmtId="3" fontId="36" fillId="0" borderId="0" xfId="111" applyNumberFormat="1" applyFont="1" applyFill="1" applyBorder="1" applyAlignment="1">
      <alignment horizontal="left"/>
      <protection/>
    </xf>
    <xf numFmtId="3" fontId="36" fillId="0" borderId="0" xfId="111" applyNumberFormat="1" applyFont="1" applyFill="1" applyBorder="1" applyAlignment="1">
      <alignment horizontal="center" vertical="center"/>
      <protection/>
    </xf>
    <xf numFmtId="3" fontId="41" fillId="0" borderId="0" xfId="111" applyNumberFormat="1" applyFont="1" applyFill="1" applyBorder="1" applyAlignment="1">
      <alignment horizontal="left" vertical="center"/>
      <protection/>
    </xf>
    <xf numFmtId="3" fontId="41" fillId="0" borderId="0" xfId="111" applyNumberFormat="1" applyFont="1" applyFill="1" applyBorder="1" applyAlignment="1">
      <alignment horizontal="center" vertical="center"/>
      <protection/>
    </xf>
    <xf numFmtId="3" fontId="41" fillId="0" borderId="10" xfId="111" applyNumberFormat="1" applyFont="1" applyFill="1" applyBorder="1" applyAlignment="1">
      <alignment horizontal="left" vertical="center"/>
      <protection/>
    </xf>
    <xf numFmtId="3" fontId="41" fillId="0" borderId="10" xfId="111" applyNumberFormat="1" applyFont="1" applyFill="1" applyBorder="1" applyAlignment="1">
      <alignment horizontal="center" vertical="center"/>
      <protection/>
    </xf>
    <xf numFmtId="0" fontId="27" fillId="0" borderId="0" xfId="0" applyFont="1" applyFill="1" applyAlignment="1">
      <alignment/>
    </xf>
    <xf numFmtId="0" fontId="27" fillId="0" borderId="0" xfId="0" applyFont="1" applyFill="1" applyAlignment="1">
      <alignmen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xf>
    <xf numFmtId="0" fontId="36" fillId="0" borderId="10" xfId="0" applyFont="1" applyFill="1" applyBorder="1" applyAlignment="1">
      <alignment horizontal="center"/>
    </xf>
    <xf numFmtId="0" fontId="36" fillId="0" borderId="0" xfId="0" applyFont="1" applyFill="1" applyAlignment="1">
      <alignment/>
    </xf>
    <xf numFmtId="3" fontId="22" fillId="0" borderId="126" xfId="101" applyNumberFormat="1" applyFont="1" applyFill="1" applyBorder="1" applyAlignment="1">
      <alignment horizontal="center" vertical="center" textRotation="90" wrapText="1"/>
      <protection/>
    </xf>
    <xf numFmtId="3" fontId="22" fillId="0" borderId="124" xfId="101" applyNumberFormat="1" applyFont="1" applyFill="1" applyBorder="1" applyAlignment="1">
      <alignment horizontal="center" vertical="center" textRotation="90" wrapText="1"/>
      <protection/>
    </xf>
    <xf numFmtId="3" fontId="24" fillId="0" borderId="124" xfId="101" applyNumberFormat="1" applyFont="1" applyFill="1" applyBorder="1" applyAlignment="1">
      <alignment horizontal="center" vertical="center" wrapText="1"/>
      <protection/>
    </xf>
    <xf numFmtId="3" fontId="25" fillId="0" borderId="130" xfId="101" applyNumberFormat="1" applyFont="1" applyFill="1" applyBorder="1" applyAlignment="1">
      <alignment horizontal="center" textRotation="90" wrapText="1"/>
      <protection/>
    </xf>
    <xf numFmtId="3" fontId="25" fillId="0" borderId="111" xfId="101" applyNumberFormat="1" applyFont="1" applyFill="1" applyBorder="1" applyAlignment="1">
      <alignment horizontal="left" textRotation="90" wrapText="1"/>
      <protection/>
    </xf>
    <xf numFmtId="3" fontId="27" fillId="0" borderId="111" xfId="101" applyNumberFormat="1" applyFont="1" applyFill="1" applyBorder="1" applyAlignment="1">
      <alignment horizontal="center" wrapText="1"/>
      <protection/>
    </xf>
    <xf numFmtId="3" fontId="25" fillId="0" borderId="111" xfId="101" applyNumberFormat="1" applyFont="1" applyFill="1" applyBorder="1" applyAlignment="1">
      <alignment horizontal="left" wrapText="1"/>
      <protection/>
    </xf>
    <xf numFmtId="3" fontId="26" fillId="0" borderId="111" xfId="101" applyNumberFormat="1" applyFont="1" applyFill="1" applyBorder="1" applyAlignment="1">
      <alignment horizontal="right" wrapText="1"/>
      <protection/>
    </xf>
    <xf numFmtId="3" fontId="26" fillId="0" borderId="131" xfId="101" applyNumberFormat="1" applyFont="1" applyFill="1" applyBorder="1" applyAlignment="1">
      <alignment horizontal="right" wrapText="1"/>
      <protection/>
    </xf>
    <xf numFmtId="3" fontId="25" fillId="0" borderId="0" xfId="101" applyNumberFormat="1" applyFont="1" applyFill="1" applyBorder="1" applyAlignment="1">
      <alignment horizontal="left"/>
      <protection/>
    </xf>
    <xf numFmtId="3" fontId="25" fillId="0" borderId="0" xfId="101" applyNumberFormat="1" applyFont="1" applyFill="1" applyAlignment="1">
      <alignment horizontal="left"/>
      <protection/>
    </xf>
    <xf numFmtId="0" fontId="27" fillId="0" borderId="26"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xf>
    <xf numFmtId="0" fontId="25" fillId="0" borderId="0" xfId="0" applyFont="1" applyFill="1" applyAlignment="1">
      <alignment/>
    </xf>
    <xf numFmtId="0" fontId="25" fillId="0" borderId="26"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Alignment="1">
      <alignment/>
    </xf>
    <xf numFmtId="0" fontId="27" fillId="0" borderId="26" xfId="0" applyFont="1" applyFill="1" applyBorder="1" applyAlignment="1">
      <alignment horizontal="center" vertical="top"/>
    </xf>
    <xf numFmtId="0" fontId="27" fillId="0" borderId="0" xfId="0" applyFont="1" applyFill="1" applyBorder="1" applyAlignment="1">
      <alignment horizontal="center" vertical="top"/>
    </xf>
    <xf numFmtId="0" fontId="27" fillId="0" borderId="0" xfId="0" applyFont="1" applyFill="1" applyBorder="1" applyAlignment="1">
      <alignment horizontal="left" wrapText="1" indent="1"/>
    </xf>
    <xf numFmtId="0" fontId="25" fillId="0" borderId="0" xfId="0" applyFont="1" applyFill="1" applyBorder="1" applyAlignment="1">
      <alignment horizontal="center" vertical="top"/>
    </xf>
    <xf numFmtId="49" fontId="27" fillId="0" borderId="26" xfId="0" applyNumberFormat="1" applyFont="1" applyFill="1" applyBorder="1" applyAlignment="1">
      <alignment horizontal="center" vertical="center"/>
    </xf>
    <xf numFmtId="3" fontId="27" fillId="0" borderId="0" xfId="101" applyNumberFormat="1" applyFont="1" applyFill="1" applyBorder="1" applyAlignment="1">
      <alignment horizontal="center" vertical="center" wrapText="1"/>
      <protection/>
    </xf>
    <xf numFmtId="3" fontId="25" fillId="0" borderId="0" xfId="101" applyNumberFormat="1" applyFont="1" applyFill="1" applyBorder="1" applyAlignment="1">
      <alignment horizontal="left" wrapText="1"/>
      <protection/>
    </xf>
    <xf numFmtId="0" fontId="25" fillId="0" borderId="19" xfId="0" applyFont="1" applyFill="1" applyBorder="1" applyAlignment="1">
      <alignment horizontal="center" vertical="center"/>
    </xf>
    <xf numFmtId="0" fontId="27" fillId="0" borderId="19" xfId="0" applyFont="1" applyFill="1" applyBorder="1" applyAlignment="1">
      <alignment horizontal="center" vertical="center"/>
    </xf>
    <xf numFmtId="0" fontId="25" fillId="0" borderId="19" xfId="0" applyFont="1" applyFill="1" applyBorder="1" applyAlignment="1">
      <alignment wrapText="1"/>
    </xf>
    <xf numFmtId="3" fontId="25" fillId="0" borderId="43" xfId="101" applyNumberFormat="1" applyFont="1" applyFill="1" applyBorder="1" applyAlignment="1">
      <alignment horizontal="center" textRotation="90" wrapText="1"/>
      <protection/>
    </xf>
    <xf numFmtId="3" fontId="25" fillId="0" borderId="19" xfId="101" applyNumberFormat="1" applyFont="1" applyFill="1" applyBorder="1" applyAlignment="1">
      <alignment horizontal="left" textRotation="90" wrapText="1"/>
      <protection/>
    </xf>
    <xf numFmtId="3" fontId="27" fillId="0" borderId="19" xfId="101" applyNumberFormat="1" applyFont="1" applyFill="1" applyBorder="1" applyAlignment="1">
      <alignment horizontal="center" wrapText="1"/>
      <protection/>
    </xf>
    <xf numFmtId="3" fontId="25" fillId="0" borderId="19" xfId="101" applyNumberFormat="1" applyFont="1" applyFill="1" applyBorder="1" applyAlignment="1">
      <alignment horizontal="left" wrapText="1"/>
      <protection/>
    </xf>
    <xf numFmtId="3" fontId="26" fillId="0" borderId="19" xfId="101" applyNumberFormat="1" applyFont="1" applyFill="1" applyBorder="1" applyAlignment="1">
      <alignment horizontal="right" wrapText="1"/>
      <protection/>
    </xf>
    <xf numFmtId="3" fontId="26" fillId="0" borderId="24" xfId="101" applyNumberFormat="1" applyFont="1" applyFill="1" applyBorder="1" applyAlignment="1">
      <alignment horizontal="right" wrapText="1"/>
      <protection/>
    </xf>
    <xf numFmtId="49" fontId="27" fillId="0" borderId="26" xfId="0" applyNumberFormat="1" applyFont="1" applyFill="1" applyBorder="1" applyAlignment="1">
      <alignment horizontal="center" vertical="top"/>
    </xf>
    <xf numFmtId="3" fontId="25" fillId="0" borderId="0" xfId="0" applyNumberFormat="1" applyFont="1" applyFill="1" applyBorder="1" applyAlignment="1">
      <alignment/>
    </xf>
    <xf numFmtId="3" fontId="25" fillId="0" borderId="23" xfId="0" applyNumberFormat="1" applyFont="1" applyFill="1" applyBorder="1" applyAlignment="1">
      <alignment/>
    </xf>
    <xf numFmtId="0" fontId="27" fillId="0" borderId="26" xfId="0" applyFont="1" applyFill="1" applyBorder="1" applyAlignment="1">
      <alignment horizontal="center" vertical="center"/>
    </xf>
    <xf numFmtId="0" fontId="25"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0" xfId="0" applyFont="1" applyFill="1" applyAlignment="1">
      <alignment vertical="center"/>
    </xf>
    <xf numFmtId="0" fontId="27" fillId="0" borderId="0" xfId="0" applyFont="1" applyFill="1" applyBorder="1" applyAlignment="1">
      <alignment horizontal="left" wrapText="1"/>
    </xf>
    <xf numFmtId="0" fontId="25" fillId="0" borderId="132" xfId="0" applyFont="1" applyFill="1" applyBorder="1" applyAlignment="1">
      <alignment horizontal="center" vertical="center"/>
    </xf>
    <xf numFmtId="0" fontId="25" fillId="0" borderId="15" xfId="0" applyFont="1" applyFill="1" applyBorder="1" applyAlignment="1">
      <alignment horizontal="center" vertical="center"/>
    </xf>
    <xf numFmtId="0" fontId="27" fillId="0" borderId="15" xfId="0" applyFont="1" applyFill="1" applyBorder="1" applyAlignment="1">
      <alignment horizontal="center" vertical="center"/>
    </xf>
    <xf numFmtId="0" fontId="25" fillId="0" borderId="15" xfId="0" applyFont="1" applyFill="1" applyBorder="1" applyAlignment="1">
      <alignment vertical="center"/>
    </xf>
    <xf numFmtId="3" fontId="26" fillId="0" borderId="15" xfId="0" applyNumberFormat="1" applyFont="1" applyFill="1" applyBorder="1" applyAlignment="1">
      <alignment vertical="center"/>
    </xf>
    <xf numFmtId="3" fontId="26" fillId="0" borderId="133" xfId="0" applyNumberFormat="1" applyFont="1" applyFill="1" applyBorder="1" applyAlignment="1">
      <alignment vertical="center"/>
    </xf>
    <xf numFmtId="0" fontId="25" fillId="0" borderId="134" xfId="0" applyFont="1" applyFill="1" applyBorder="1" applyAlignment="1">
      <alignment horizontal="center" vertical="center"/>
    </xf>
    <xf numFmtId="0" fontId="25" fillId="0" borderId="31" xfId="0" applyFont="1" applyFill="1" applyBorder="1" applyAlignment="1">
      <alignment horizontal="center" vertical="center"/>
    </xf>
    <xf numFmtId="0" fontId="27" fillId="0" borderId="31" xfId="0" applyFont="1" applyFill="1" applyBorder="1" applyAlignment="1">
      <alignment horizontal="center" vertical="center"/>
    </xf>
    <xf numFmtId="0" fontId="25" fillId="0" borderId="31" xfId="0" applyFont="1" applyFill="1" applyBorder="1" applyAlignment="1">
      <alignment vertical="center"/>
    </xf>
    <xf numFmtId="0" fontId="25" fillId="0" borderId="26"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135" xfId="0" applyFont="1" applyFill="1" applyBorder="1" applyAlignment="1">
      <alignment horizontal="center" vertical="center"/>
    </xf>
    <xf numFmtId="49" fontId="27" fillId="0" borderId="0" xfId="0" applyNumberFormat="1" applyFont="1" applyFill="1" applyBorder="1" applyAlignment="1">
      <alignment horizontal="center"/>
    </xf>
    <xf numFmtId="49" fontId="27" fillId="0" borderId="26" xfId="0" applyNumberFormat="1" applyFont="1" applyFill="1" applyBorder="1" applyAlignment="1">
      <alignment horizontal="center"/>
    </xf>
    <xf numFmtId="0" fontId="27" fillId="0" borderId="0" xfId="0" applyFont="1" applyFill="1" applyBorder="1" applyAlignment="1">
      <alignment horizontal="left" indent="1"/>
    </xf>
    <xf numFmtId="0" fontId="27" fillId="0" borderId="19" xfId="0" applyFont="1" applyFill="1" applyBorder="1" applyAlignment="1">
      <alignment horizontal="left" indent="1"/>
    </xf>
    <xf numFmtId="0" fontId="25" fillId="0" borderId="136" xfId="0" applyFont="1" applyFill="1" applyBorder="1" applyAlignment="1">
      <alignment horizontal="center" vertical="center"/>
    </xf>
    <xf numFmtId="0" fontId="25" fillId="0" borderId="32" xfId="0" applyFont="1" applyFill="1" applyBorder="1" applyAlignment="1">
      <alignment horizontal="center" vertical="center"/>
    </xf>
    <xf numFmtId="0" fontId="27" fillId="0" borderId="32" xfId="0" applyFont="1" applyFill="1" applyBorder="1" applyAlignment="1">
      <alignment horizontal="center" vertical="center"/>
    </xf>
    <xf numFmtId="0" fontId="25" fillId="0" borderId="32" xfId="0" applyFont="1" applyFill="1" applyBorder="1" applyAlignment="1">
      <alignment vertical="center"/>
    </xf>
    <xf numFmtId="0" fontId="27" fillId="0" borderId="0" xfId="0" applyFont="1" applyFill="1" applyAlignment="1">
      <alignment horizontal="center"/>
    </xf>
    <xf numFmtId="3" fontId="24" fillId="0" borderId="0" xfId="0" applyNumberFormat="1" applyFont="1" applyFill="1" applyAlignment="1">
      <alignment/>
    </xf>
    <xf numFmtId="3" fontId="23" fillId="0" borderId="0" xfId="0" applyNumberFormat="1" applyFont="1" applyFill="1" applyBorder="1" applyAlignment="1">
      <alignment/>
    </xf>
    <xf numFmtId="3" fontId="65" fillId="0" borderId="0" xfId="0" applyNumberFormat="1" applyFont="1" applyFill="1" applyAlignment="1">
      <alignment/>
    </xf>
    <xf numFmtId="0" fontId="22" fillId="0" borderId="0" xfId="0" applyFont="1" applyFill="1" applyBorder="1" applyAlignment="1">
      <alignment horizontal="center" vertical="top"/>
    </xf>
    <xf numFmtId="0" fontId="0" fillId="0" borderId="0" xfId="0" applyFill="1" applyAlignment="1">
      <alignment/>
    </xf>
    <xf numFmtId="0" fontId="22" fillId="0" borderId="0" xfId="0" applyFont="1" applyFill="1" applyBorder="1" applyAlignment="1">
      <alignment horizontal="center" vertical="center"/>
    </xf>
    <xf numFmtId="0" fontId="50" fillId="0" borderId="26" xfId="0" applyFont="1" applyFill="1" applyBorder="1" applyAlignment="1">
      <alignment/>
    </xf>
    <xf numFmtId="0" fontId="25" fillId="0" borderId="26" xfId="0" applyFont="1" applyFill="1" applyBorder="1" applyAlignment="1">
      <alignment/>
    </xf>
    <xf numFmtId="0" fontId="25" fillId="0" borderId="19" xfId="0" applyFont="1" applyFill="1" applyBorder="1" applyAlignment="1">
      <alignment/>
    </xf>
    <xf numFmtId="0" fontId="25" fillId="0" borderId="26" xfId="0" applyFont="1" applyFill="1" applyBorder="1" applyAlignment="1">
      <alignment vertical="top"/>
    </xf>
    <xf numFmtId="0" fontId="25" fillId="0" borderId="19" xfId="0" applyFont="1" applyFill="1" applyBorder="1" applyAlignment="1">
      <alignment vertical="top"/>
    </xf>
    <xf numFmtId="0" fontId="50" fillId="0" borderId="40" xfId="0" applyFont="1" applyFill="1" applyBorder="1" applyAlignment="1">
      <alignment/>
    </xf>
    <xf numFmtId="0" fontId="25" fillId="0" borderId="25" xfId="0" applyFont="1" applyFill="1" applyBorder="1" applyAlignment="1">
      <alignment/>
    </xf>
    <xf numFmtId="0" fontId="25" fillId="0" borderId="10" xfId="0" applyFont="1" applyFill="1" applyBorder="1" applyAlignment="1">
      <alignment/>
    </xf>
    <xf numFmtId="3" fontId="25" fillId="0" borderId="10" xfId="0" applyNumberFormat="1" applyFont="1" applyFill="1" applyBorder="1" applyAlignment="1">
      <alignment horizontal="right"/>
    </xf>
    <xf numFmtId="3" fontId="25" fillId="0" borderId="21" xfId="0" applyNumberFormat="1" applyFont="1" applyFill="1" applyBorder="1" applyAlignment="1">
      <alignment horizontal="right"/>
    </xf>
    <xf numFmtId="3" fontId="25" fillId="0" borderId="137" xfId="0" applyNumberFormat="1" applyFont="1" applyFill="1" applyBorder="1" applyAlignment="1">
      <alignment vertical="center"/>
    </xf>
    <xf numFmtId="3" fontId="25" fillId="0" borderId="138" xfId="116" applyNumberFormat="1" applyFont="1" applyFill="1" applyBorder="1" applyAlignment="1">
      <alignment horizontal="right" vertical="center"/>
      <protection/>
    </xf>
    <xf numFmtId="3" fontId="25" fillId="0" borderId="139" xfId="116" applyNumberFormat="1" applyFont="1" applyFill="1" applyBorder="1" applyAlignment="1">
      <alignment vertical="center"/>
      <protection/>
    </xf>
    <xf numFmtId="0" fontId="22" fillId="0" borderId="0" xfId="0" applyFont="1" applyBorder="1" applyAlignment="1">
      <alignment horizontal="center" vertical="center"/>
    </xf>
    <xf numFmtId="3" fontId="22" fillId="0" borderId="0" xfId="0" applyNumberFormat="1" applyFont="1" applyBorder="1" applyAlignment="1">
      <alignment horizontal="center" vertical="center"/>
    </xf>
    <xf numFmtId="0" fontId="0" fillId="0" borderId="0" xfId="0" applyBorder="1" applyAlignment="1">
      <alignment/>
    </xf>
    <xf numFmtId="0" fontId="35" fillId="0" borderId="0" xfId="0" applyFont="1" applyBorder="1" applyAlignment="1">
      <alignment horizontal="center" vertical="center"/>
    </xf>
    <xf numFmtId="0" fontId="24" fillId="0" borderId="140" xfId="0" applyFont="1" applyBorder="1" applyAlignment="1">
      <alignment horizontal="left" vertical="center"/>
    </xf>
    <xf numFmtId="0" fontId="24" fillId="0" borderId="109" xfId="0" applyFont="1" applyBorder="1" applyAlignment="1">
      <alignment horizontal="center" vertical="center"/>
    </xf>
    <xf numFmtId="0" fontId="23" fillId="0" borderId="141" xfId="0" applyFont="1" applyBorder="1" applyAlignment="1">
      <alignment horizontal="center" vertical="top"/>
    </xf>
    <xf numFmtId="0" fontId="23" fillId="0" borderId="71" xfId="0" applyFont="1" applyBorder="1" applyAlignment="1">
      <alignment/>
    </xf>
    <xf numFmtId="0" fontId="23" fillId="0" borderId="71" xfId="0" applyFont="1" applyBorder="1" applyAlignment="1">
      <alignment wrapText="1"/>
    </xf>
    <xf numFmtId="0" fontId="23" fillId="0" borderId="71" xfId="0" applyFont="1" applyFill="1" applyBorder="1" applyAlignment="1">
      <alignment/>
    </xf>
    <xf numFmtId="0" fontId="24" fillId="0" borderId="142" xfId="0" applyFont="1" applyBorder="1" applyAlignment="1">
      <alignment horizontal="right" vertical="center"/>
    </xf>
    <xf numFmtId="0" fontId="24" fillId="0" borderId="114" xfId="0" applyFont="1" applyFill="1" applyBorder="1" applyAlignment="1">
      <alignment horizontal="left" vertical="center"/>
    </xf>
    <xf numFmtId="0" fontId="24" fillId="0" borderId="141" xfId="0" applyFont="1" applyBorder="1" applyAlignment="1">
      <alignment horizontal="left"/>
    </xf>
    <xf numFmtId="0" fontId="24" fillId="0" borderId="71" xfId="0" applyFont="1" applyBorder="1" applyAlignment="1">
      <alignment horizontal="center"/>
    </xf>
    <xf numFmtId="0" fontId="23" fillId="0" borderId="141" xfId="0" applyFont="1" applyBorder="1" applyAlignment="1">
      <alignment horizontal="center"/>
    </xf>
    <xf numFmtId="0" fontId="23" fillId="0" borderId="71" xfId="0" applyFont="1" applyBorder="1" applyAlignment="1">
      <alignment horizontal="left"/>
    </xf>
    <xf numFmtId="0" fontId="24" fillId="0" borderId="143" xfId="0" applyFont="1" applyBorder="1" applyAlignment="1">
      <alignment horizontal="right" vertical="center"/>
    </xf>
    <xf numFmtId="0" fontId="24" fillId="0" borderId="72" xfId="0" applyFont="1" applyFill="1" applyBorder="1" applyAlignment="1">
      <alignment horizontal="left" vertical="center"/>
    </xf>
    <xf numFmtId="0" fontId="24" fillId="0" borderId="144" xfId="0" applyFont="1" applyBorder="1" applyAlignment="1">
      <alignment vertical="center"/>
    </xf>
    <xf numFmtId="0" fontId="24" fillId="0" borderId="145" xfId="0" applyFont="1" applyBorder="1" applyAlignment="1">
      <alignment horizontal="center" vertical="center"/>
    </xf>
    <xf numFmtId="0" fontId="23" fillId="0" borderId="141" xfId="0" applyFont="1" applyBorder="1" applyAlignment="1">
      <alignment horizontal="right" vertical="center"/>
    </xf>
    <xf numFmtId="0" fontId="23" fillId="0" borderId="141" xfId="0" applyFont="1" applyBorder="1" applyAlignment="1">
      <alignment horizontal="center" vertical="center"/>
    </xf>
    <xf numFmtId="0" fontId="23" fillId="0" borderId="71" xfId="0" applyFont="1" applyBorder="1" applyAlignment="1">
      <alignment vertical="center"/>
    </xf>
    <xf numFmtId="0" fontId="23" fillId="0" borderId="71" xfId="0" applyFont="1" applyFill="1" applyBorder="1" applyAlignment="1">
      <alignment vertical="center"/>
    </xf>
    <xf numFmtId="0" fontId="23" fillId="0" borderId="143" xfId="0" applyFont="1" applyBorder="1" applyAlignment="1">
      <alignment horizontal="center" vertical="center"/>
    </xf>
    <xf numFmtId="0" fontId="24" fillId="0" borderId="72" xfId="0" applyFont="1" applyBorder="1" applyAlignment="1">
      <alignment horizontal="center" vertical="center"/>
    </xf>
    <xf numFmtId="0" fontId="23" fillId="0" borderId="143" xfId="0" applyFont="1" applyBorder="1" applyAlignment="1">
      <alignment horizontal="right" vertical="center"/>
    </xf>
    <xf numFmtId="0" fontId="24" fillId="0" borderId="146" xfId="0" applyFont="1" applyBorder="1" applyAlignment="1">
      <alignment horizontal="right" vertical="center"/>
    </xf>
    <xf numFmtId="0" fontId="24" fillId="0" borderId="73" xfId="0" applyFont="1" applyFill="1" applyBorder="1" applyAlignment="1">
      <alignment horizontal="left" vertical="center"/>
    </xf>
    <xf numFmtId="0" fontId="24" fillId="0" borderId="141" xfId="0" applyFont="1" applyBorder="1" applyAlignment="1">
      <alignment horizontal="right" vertical="center"/>
    </xf>
    <xf numFmtId="0" fontId="23" fillId="0" borderId="71" xfId="0" applyFont="1" applyBorder="1" applyAlignment="1">
      <alignment horizontal="left" indent="2"/>
    </xf>
    <xf numFmtId="0" fontId="24" fillId="0" borderId="71" xfId="0" applyFont="1" applyFill="1" applyBorder="1" applyAlignment="1">
      <alignment horizontal="left" vertical="center"/>
    </xf>
    <xf numFmtId="0" fontId="24" fillId="0" borderId="71" xfId="0" applyFont="1" applyFill="1" applyBorder="1" applyAlignment="1">
      <alignment horizontal="left" vertical="center" wrapText="1"/>
    </xf>
    <xf numFmtId="0" fontId="24" fillId="0" borderId="147" xfId="0" applyFont="1" applyBorder="1" applyAlignment="1">
      <alignment horizontal="right" vertical="center"/>
    </xf>
    <xf numFmtId="0" fontId="24" fillId="0" borderId="74" xfId="0" applyFont="1" applyFill="1" applyBorder="1" applyAlignment="1">
      <alignment horizontal="left" vertical="center" wrapText="1"/>
    </xf>
    <xf numFmtId="3" fontId="25" fillId="0" borderId="102" xfId="116" applyNumberFormat="1" applyFont="1" applyFill="1" applyBorder="1" applyAlignment="1">
      <alignment vertical="center"/>
      <protection/>
    </xf>
    <xf numFmtId="3" fontId="25" fillId="0" borderId="148" xfId="116" applyNumberFormat="1" applyFont="1" applyFill="1" applyBorder="1" applyAlignment="1">
      <alignment horizontal="center" vertical="center" wrapText="1"/>
      <protection/>
    </xf>
    <xf numFmtId="3" fontId="25" fillId="0" borderId="149" xfId="116" applyNumberFormat="1" applyFont="1" applyFill="1" applyBorder="1">
      <alignment/>
      <protection/>
    </xf>
    <xf numFmtId="3" fontId="25" fillId="0" borderId="150" xfId="116" applyNumberFormat="1" applyFont="1" applyFill="1" applyBorder="1" applyAlignment="1">
      <alignment/>
      <protection/>
    </xf>
    <xf numFmtId="3" fontId="25" fillId="0" borderId="150" xfId="116" applyNumberFormat="1" applyFont="1" applyFill="1" applyBorder="1">
      <alignment/>
      <protection/>
    </xf>
    <xf numFmtId="3" fontId="25" fillId="0" borderId="150" xfId="116" applyNumberFormat="1" applyFont="1" applyFill="1" applyBorder="1" applyAlignment="1">
      <alignment horizontal="right"/>
      <protection/>
    </xf>
    <xf numFmtId="3" fontId="25" fillId="0" borderId="150" xfId="116" applyNumberFormat="1" applyFont="1" applyFill="1" applyBorder="1" applyAlignment="1">
      <alignment horizontal="right" vertical="center"/>
      <protection/>
    </xf>
    <xf numFmtId="3" fontId="25" fillId="0" borderId="150" xfId="102" applyNumberFormat="1" applyFont="1" applyFill="1" applyBorder="1">
      <alignment/>
      <protection/>
    </xf>
    <xf numFmtId="3" fontId="25" fillId="0" borderId="150" xfId="116" applyNumberFormat="1" applyFont="1" applyFill="1" applyBorder="1" applyAlignment="1">
      <alignment vertical="center"/>
      <protection/>
    </xf>
    <xf numFmtId="3" fontId="25" fillId="0" borderId="149" xfId="116" applyNumberFormat="1" applyFont="1" applyFill="1" applyBorder="1" applyAlignment="1">
      <alignment vertical="center"/>
      <protection/>
    </xf>
    <xf numFmtId="49" fontId="58" fillId="0" borderId="0" xfId="0" applyNumberFormat="1" applyFont="1" applyAlignment="1">
      <alignment horizontal="center" vertical="center"/>
    </xf>
    <xf numFmtId="3" fontId="22" fillId="0" borderId="0" xfId="101" applyNumberFormat="1" applyFont="1" applyFill="1" applyAlignment="1">
      <alignment vertical="center"/>
      <protection/>
    </xf>
    <xf numFmtId="0" fontId="22" fillId="0" borderId="0" xfId="0" applyFont="1" applyAlignment="1">
      <alignment/>
    </xf>
    <xf numFmtId="0" fontId="22" fillId="0" borderId="0" xfId="0" applyFont="1" applyAlignment="1">
      <alignment vertical="center"/>
    </xf>
    <xf numFmtId="0" fontId="28" fillId="0" borderId="0" xfId="0" applyFont="1" applyFill="1" applyAlignment="1">
      <alignment horizontal="center"/>
    </xf>
    <xf numFmtId="0" fontId="28" fillId="0" borderId="0" xfId="0" applyFont="1" applyAlignment="1">
      <alignment horizontal="center"/>
    </xf>
    <xf numFmtId="0" fontId="22" fillId="0" borderId="0" xfId="0" applyFont="1" applyAlignment="1">
      <alignment horizontal="right"/>
    </xf>
    <xf numFmtId="0" fontId="22" fillId="0" borderId="0" xfId="0" applyFont="1" applyFill="1" applyAlignment="1">
      <alignment horizontal="center"/>
    </xf>
    <xf numFmtId="0" fontId="22" fillId="0" borderId="0" xfId="0" applyFont="1" applyAlignment="1">
      <alignment horizontal="center"/>
    </xf>
    <xf numFmtId="49" fontId="58" fillId="0" borderId="104" xfId="0" applyNumberFormat="1" applyFont="1" applyBorder="1" applyAlignment="1">
      <alignment vertical="center"/>
    </xf>
    <xf numFmtId="0" fontId="22" fillId="0" borderId="80" xfId="0" applyFont="1" applyFill="1" applyBorder="1" applyAlignment="1">
      <alignment horizontal="center" vertical="center" wrapText="1"/>
    </xf>
    <xf numFmtId="0" fontId="22" fillId="0" borderId="80" xfId="0" applyFont="1" applyBorder="1" applyAlignment="1">
      <alignment horizontal="center" vertical="center" wrapText="1"/>
    </xf>
    <xf numFmtId="0" fontId="22" fillId="0" borderId="149" xfId="0" applyFont="1" applyBorder="1" applyAlignment="1">
      <alignment horizontal="center" vertical="center" wrapText="1"/>
    </xf>
    <xf numFmtId="0" fontId="22" fillId="0" borderId="0" xfId="0" applyFont="1" applyBorder="1" applyAlignment="1">
      <alignment/>
    </xf>
    <xf numFmtId="49" fontId="58" fillId="0" borderId="151" xfId="0" applyNumberFormat="1" applyFont="1" applyBorder="1" applyAlignment="1">
      <alignment horizontal="center" vertical="center"/>
    </xf>
    <xf numFmtId="0" fontId="22" fillId="0" borderId="86" xfId="0" applyFont="1" applyFill="1" applyBorder="1" applyAlignment="1">
      <alignment horizontal="center" vertical="center"/>
    </xf>
    <xf numFmtId="0" fontId="22" fillId="0" borderId="86" xfId="0" applyFont="1" applyBorder="1" applyAlignment="1">
      <alignment horizontal="center" vertical="center"/>
    </xf>
    <xf numFmtId="0" fontId="22" fillId="0" borderId="152" xfId="0" applyFont="1" applyBorder="1" applyAlignment="1">
      <alignment horizontal="center" vertical="center"/>
    </xf>
    <xf numFmtId="0" fontId="22" fillId="0" borderId="0" xfId="0" applyFont="1" applyBorder="1" applyAlignment="1">
      <alignment vertical="center"/>
    </xf>
    <xf numFmtId="49" fontId="58" fillId="0" borderId="153" xfId="0" applyNumberFormat="1" applyFont="1" applyBorder="1" applyAlignment="1">
      <alignment horizontal="center" vertical="center"/>
    </xf>
    <xf numFmtId="0" fontId="22" fillId="0" borderId="84" xfId="0" applyFont="1" applyFill="1" applyBorder="1" applyAlignment="1">
      <alignment horizontal="left" vertical="center" wrapText="1"/>
    </xf>
    <xf numFmtId="3" fontId="22" fillId="0" borderId="84" xfId="0" applyNumberFormat="1" applyFont="1" applyBorder="1" applyAlignment="1">
      <alignment horizontal="right" vertical="center"/>
    </xf>
    <xf numFmtId="3" fontId="22" fillId="0" borderId="154" xfId="0" applyNumberFormat="1" applyFont="1" applyBorder="1" applyAlignment="1">
      <alignment horizontal="right" vertical="center"/>
    </xf>
    <xf numFmtId="49" fontId="58" fillId="0" borderId="105" xfId="0" applyNumberFormat="1" applyFont="1" applyBorder="1" applyAlignment="1">
      <alignment horizontal="center" vertical="center"/>
    </xf>
    <xf numFmtId="0" fontId="22" fillId="0" borderId="30" xfId="0" applyFont="1" applyFill="1" applyBorder="1" applyAlignment="1">
      <alignment horizontal="left" vertical="center" wrapText="1"/>
    </xf>
    <xf numFmtId="3" fontId="22" fillId="0" borderId="30" xfId="0" applyNumberFormat="1" applyFont="1" applyBorder="1" applyAlignment="1">
      <alignment horizontal="right" vertical="center"/>
    </xf>
    <xf numFmtId="3" fontId="22" fillId="0" borderId="150" xfId="0" applyNumberFormat="1" applyFont="1" applyBorder="1" applyAlignment="1">
      <alignment horizontal="right" vertical="center"/>
    </xf>
    <xf numFmtId="0" fontId="22" fillId="0" borderId="86" xfId="0" applyFont="1" applyFill="1" applyBorder="1" applyAlignment="1">
      <alignment horizontal="left" vertical="center" wrapText="1"/>
    </xf>
    <xf numFmtId="3" fontId="22" fillId="0" borderId="86" xfId="0" applyNumberFormat="1" applyFont="1" applyBorder="1" applyAlignment="1">
      <alignment horizontal="right" vertical="center"/>
    </xf>
    <xf numFmtId="3" fontId="22" fillId="0" borderId="152" xfId="0" applyNumberFormat="1" applyFont="1" applyBorder="1" applyAlignment="1">
      <alignment horizontal="right" vertical="center"/>
    </xf>
    <xf numFmtId="49" fontId="58" fillId="0" borderId="155" xfId="0" applyNumberFormat="1" applyFont="1" applyBorder="1" applyAlignment="1">
      <alignment horizontal="center" vertical="center"/>
    </xf>
    <xf numFmtId="0" fontId="28" fillId="0" borderId="95" xfId="0" applyFont="1" applyFill="1" applyBorder="1" applyAlignment="1">
      <alignment vertical="center" wrapText="1"/>
    </xf>
    <xf numFmtId="3" fontId="28" fillId="0" borderId="95" xfId="0" applyNumberFormat="1" applyFont="1" applyBorder="1" applyAlignment="1">
      <alignment horizontal="right" vertical="center"/>
    </xf>
    <xf numFmtId="3" fontId="28" fillId="0" borderId="102" xfId="0" applyNumberFormat="1" applyFont="1" applyBorder="1" applyAlignment="1">
      <alignment horizontal="right" vertical="center"/>
    </xf>
    <xf numFmtId="3" fontId="28" fillId="0" borderId="0" xfId="0" applyNumberFormat="1" applyFont="1" applyBorder="1" applyAlignment="1">
      <alignment vertical="center"/>
    </xf>
    <xf numFmtId="0" fontId="28" fillId="0" borderId="0" xfId="0" applyFont="1" applyBorder="1" applyAlignment="1">
      <alignment vertical="center"/>
    </xf>
    <xf numFmtId="0" fontId="22" fillId="0" borderId="0" xfId="0" applyFont="1" applyFill="1" applyAlignment="1">
      <alignment wrapText="1"/>
    </xf>
    <xf numFmtId="3" fontId="22" fillId="0" borderId="0" xfId="0" applyNumberFormat="1" applyFont="1" applyAlignment="1">
      <alignment/>
    </xf>
    <xf numFmtId="0" fontId="22" fillId="0" borderId="0" xfId="0" applyFont="1" applyFill="1" applyAlignment="1">
      <alignment/>
    </xf>
    <xf numFmtId="3" fontId="30" fillId="0" borderId="28" xfId="101" applyNumberFormat="1" applyFont="1" applyFill="1" applyBorder="1" applyAlignment="1">
      <alignment horizontal="center"/>
      <protection/>
    </xf>
    <xf numFmtId="3" fontId="31" fillId="0" borderId="29" xfId="101" applyNumberFormat="1" applyFont="1" applyFill="1" applyBorder="1" applyAlignment="1">
      <alignment horizontal="right"/>
      <protection/>
    </xf>
    <xf numFmtId="3" fontId="59" fillId="0" borderId="30" xfId="101" applyNumberFormat="1" applyFont="1" applyFill="1" applyBorder="1" applyAlignment="1">
      <alignment wrapText="1"/>
      <protection/>
    </xf>
    <xf numFmtId="3" fontId="36" fillId="0" borderId="0" xfId="0" applyNumberFormat="1" applyFont="1" applyFill="1" applyBorder="1" applyAlignment="1">
      <alignment horizontal="left" vertical="top"/>
    </xf>
    <xf numFmtId="3" fontId="36" fillId="0" borderId="0" xfId="0" applyNumberFormat="1" applyFont="1" applyFill="1" applyBorder="1" applyAlignment="1">
      <alignment horizontal="left"/>
    </xf>
    <xf numFmtId="3" fontId="28" fillId="0" borderId="28" xfId="101" applyNumberFormat="1" applyFont="1" applyFill="1" applyBorder="1" applyAlignment="1">
      <alignment horizontal="center" vertical="center"/>
      <protection/>
    </xf>
    <xf numFmtId="3" fontId="23" fillId="0" borderId="28" xfId="101" applyNumberFormat="1" applyFont="1" applyFill="1" applyBorder="1" applyAlignment="1">
      <alignment wrapText="1"/>
      <protection/>
    </xf>
    <xf numFmtId="0" fontId="23" fillId="0" borderId="0" xfId="117" applyFont="1" applyFill="1" applyBorder="1" applyAlignment="1">
      <alignment horizontal="center" vertical="center"/>
      <protection/>
    </xf>
    <xf numFmtId="3" fontId="23" fillId="0" borderId="0" xfId="117" applyNumberFormat="1" applyFont="1" applyFill="1" applyBorder="1" applyAlignment="1">
      <alignment horizontal="center" vertical="center"/>
      <protection/>
    </xf>
    <xf numFmtId="3" fontId="23" fillId="0" borderId="79" xfId="101" applyNumberFormat="1" applyFont="1" applyFill="1" applyBorder="1" applyAlignment="1">
      <alignment horizontal="center" vertical="center" textRotation="90"/>
      <protection/>
    </xf>
    <xf numFmtId="3" fontId="23" fillId="0" borderId="80" xfId="101" applyNumberFormat="1" applyFont="1" applyFill="1" applyBorder="1" applyAlignment="1">
      <alignment horizontal="center" vertical="center" textRotation="90"/>
      <protection/>
    </xf>
    <xf numFmtId="0" fontId="23" fillId="0" borderId="30" xfId="117" applyFont="1" applyFill="1" applyBorder="1" applyAlignment="1">
      <alignment horizontal="center" vertical="center"/>
      <protection/>
    </xf>
    <xf numFmtId="0" fontId="24" fillId="0" borderId="83" xfId="117" applyFont="1" applyFill="1" applyBorder="1" applyAlignment="1">
      <alignment horizontal="center" vertical="center"/>
      <protection/>
    </xf>
    <xf numFmtId="0" fontId="23" fillId="0" borderId="86" xfId="117" applyFont="1" applyFill="1" applyBorder="1" applyAlignment="1">
      <alignment horizontal="center" vertical="center"/>
      <protection/>
    </xf>
    <xf numFmtId="0" fontId="23" fillId="0" borderId="90" xfId="117" applyFont="1" applyFill="1" applyBorder="1" applyAlignment="1">
      <alignment horizontal="center" vertical="center"/>
      <protection/>
    </xf>
    <xf numFmtId="0" fontId="24" fillId="0" borderId="95" xfId="117" applyFont="1" applyFill="1" applyBorder="1" applyAlignment="1">
      <alignment horizontal="center" vertical="center"/>
      <protection/>
    </xf>
    <xf numFmtId="3" fontId="23" fillId="0" borderId="0" xfId="99" applyNumberFormat="1" applyFont="1" applyFill="1" applyBorder="1" applyAlignment="1">
      <alignment horizontal="center" vertical="center"/>
      <protection/>
    </xf>
    <xf numFmtId="0" fontId="23" fillId="0" borderId="0" xfId="117" applyFont="1" applyFill="1" applyBorder="1" applyAlignment="1">
      <alignment horizontal="center"/>
      <protection/>
    </xf>
    <xf numFmtId="0" fontId="23" fillId="0" borderId="0" xfId="117" applyFont="1" applyFill="1" applyBorder="1" applyAlignment="1">
      <alignment horizontal="center" wrapText="1"/>
      <protection/>
    </xf>
    <xf numFmtId="3" fontId="23" fillId="0" borderId="103" xfId="101" applyNumberFormat="1" applyFont="1" applyFill="1" applyBorder="1" applyAlignment="1">
      <alignment horizontal="center" vertical="center" textRotation="90"/>
      <protection/>
    </xf>
    <xf numFmtId="3" fontId="23" fillId="0" borderId="104" xfId="101" applyNumberFormat="1" applyFont="1" applyFill="1" applyBorder="1" applyAlignment="1">
      <alignment horizontal="center"/>
      <protection/>
    </xf>
    <xf numFmtId="0" fontId="23" fillId="0" borderId="105" xfId="117" applyFont="1" applyFill="1" applyBorder="1" applyAlignment="1">
      <alignment horizontal="center"/>
      <protection/>
    </xf>
    <xf numFmtId="0" fontId="23" fillId="0" borderId="105" xfId="117" applyFont="1" applyFill="1" applyBorder="1" applyAlignment="1">
      <alignment horizontal="center" vertical="center"/>
      <protection/>
    </xf>
    <xf numFmtId="0" fontId="24" fillId="0" borderId="156" xfId="117" applyFont="1" applyFill="1" applyBorder="1" applyAlignment="1">
      <alignment horizontal="center"/>
      <protection/>
    </xf>
    <xf numFmtId="0" fontId="23" fillId="0" borderId="153" xfId="117" applyFont="1" applyFill="1" applyBorder="1" applyAlignment="1">
      <alignment horizontal="center"/>
      <protection/>
    </xf>
    <xf numFmtId="0" fontId="23" fillId="0" borderId="157" xfId="117" applyFont="1" applyFill="1" applyBorder="1" applyAlignment="1">
      <alignment horizontal="center"/>
      <protection/>
    </xf>
    <xf numFmtId="0" fontId="23" fillId="0" borderId="158" xfId="117" applyFont="1" applyFill="1" applyBorder="1" applyAlignment="1">
      <alignment horizontal="center"/>
      <protection/>
    </xf>
    <xf numFmtId="0" fontId="23" fillId="0" borderId="151" xfId="117" applyFont="1" applyFill="1" applyBorder="1" applyAlignment="1">
      <alignment horizontal="center"/>
      <protection/>
    </xf>
    <xf numFmtId="0" fontId="24" fillId="0" borderId="155" xfId="117" applyFont="1" applyFill="1" applyBorder="1" applyAlignment="1">
      <alignment horizontal="center"/>
      <protection/>
    </xf>
    <xf numFmtId="3" fontId="23" fillId="0" borderId="0" xfId="99" applyNumberFormat="1" applyFont="1" applyFill="1" applyBorder="1" applyAlignment="1">
      <alignment horizontal="left"/>
      <protection/>
    </xf>
    <xf numFmtId="0" fontId="23" fillId="0" borderId="30" xfId="118" applyFont="1" applyFill="1" applyBorder="1" applyAlignment="1">
      <alignment wrapText="1"/>
      <protection/>
    </xf>
    <xf numFmtId="3" fontId="23" fillId="0" borderId="30" xfId="102" applyNumberFormat="1" applyFont="1" applyFill="1" applyBorder="1" applyAlignment="1">
      <alignment vertical="center" wrapText="1"/>
      <protection/>
    </xf>
    <xf numFmtId="0" fontId="23" fillId="0" borderId="84" xfId="117" applyFont="1" applyFill="1" applyBorder="1" applyAlignment="1">
      <alignment horizontal="center"/>
      <protection/>
    </xf>
    <xf numFmtId="0" fontId="0" fillId="0" borderId="0" xfId="0" applyAlignment="1">
      <alignment/>
    </xf>
    <xf numFmtId="0" fontId="23" fillId="0" borderId="30" xfId="116" applyFont="1" applyFill="1" applyBorder="1" applyAlignment="1">
      <alignment vertical="center" wrapText="1"/>
      <protection/>
    </xf>
    <xf numFmtId="3" fontId="27" fillId="0" borderId="0" xfId="104" applyNumberFormat="1" applyFont="1" applyFill="1" applyBorder="1" applyAlignment="1">
      <alignment vertical="center"/>
      <protection/>
    </xf>
    <xf numFmtId="3" fontId="23" fillId="0" borderId="0" xfId="111" applyNumberFormat="1" applyFont="1" applyFill="1" applyBorder="1" applyAlignment="1">
      <alignment horizontal="left" vertical="center" wrapText="1" indent="2"/>
      <protection/>
    </xf>
    <xf numFmtId="3" fontId="27" fillId="0" borderId="159" xfId="104" applyNumberFormat="1" applyFont="1" applyFill="1" applyBorder="1" applyAlignment="1">
      <alignment vertical="center"/>
      <protection/>
    </xf>
    <xf numFmtId="3" fontId="27" fillId="0" borderId="23" xfId="104" applyNumberFormat="1" applyFont="1" applyFill="1" applyBorder="1" applyAlignment="1">
      <alignment vertical="center"/>
      <protection/>
    </xf>
    <xf numFmtId="0" fontId="23" fillId="0" borderId="0" xfId="105" applyFont="1" applyFill="1" applyAlignment="1">
      <alignment horizontal="left" vertical="center"/>
      <protection/>
    </xf>
    <xf numFmtId="3" fontId="27" fillId="0" borderId="0" xfId="104" applyNumberFormat="1" applyFont="1" applyFill="1">
      <alignment/>
      <protection/>
    </xf>
    <xf numFmtId="0" fontId="27" fillId="0" borderId="0" xfId="104" applyFont="1" applyFill="1">
      <alignment/>
      <protection/>
    </xf>
    <xf numFmtId="0" fontId="27" fillId="0" borderId="0" xfId="104" applyFont="1" applyFill="1" applyAlignment="1">
      <alignment vertical="center"/>
      <protection/>
    </xf>
    <xf numFmtId="0" fontId="25" fillId="0" borderId="0" xfId="104" applyFont="1" applyFill="1" applyAlignment="1">
      <alignment vertical="center"/>
      <protection/>
    </xf>
    <xf numFmtId="3" fontId="23" fillId="0" borderId="0" xfId="104" applyNumberFormat="1" applyFont="1" applyFill="1" applyAlignment="1">
      <alignment horizontal="center"/>
      <protection/>
    </xf>
    <xf numFmtId="0" fontId="23" fillId="0" borderId="0" xfId="104" applyFont="1" applyFill="1" applyBorder="1" applyAlignment="1">
      <alignment horizontal="center"/>
      <protection/>
    </xf>
    <xf numFmtId="0" fontId="23" fillId="0" borderId="0" xfId="104" applyFont="1" applyFill="1" applyAlignment="1">
      <alignment horizontal="center"/>
      <protection/>
    </xf>
    <xf numFmtId="0" fontId="27" fillId="0" borderId="0" xfId="104" applyFont="1" applyFill="1" applyAlignment="1">
      <alignment horizontal="center" vertical="center" wrapText="1"/>
      <protection/>
    </xf>
    <xf numFmtId="3" fontId="27" fillId="0" borderId="12" xfId="104" applyNumberFormat="1" applyFont="1" applyFill="1" applyBorder="1" applyAlignment="1">
      <alignment vertical="center"/>
      <protection/>
    </xf>
    <xf numFmtId="3" fontId="25" fillId="0" borderId="160" xfId="104" applyNumberFormat="1" applyFont="1" applyFill="1" applyBorder="1" applyAlignment="1">
      <alignment vertical="center"/>
      <protection/>
    </xf>
    <xf numFmtId="3" fontId="25" fillId="0" borderId="31" xfId="104" applyNumberFormat="1" applyFont="1" applyFill="1" applyBorder="1" applyAlignment="1">
      <alignment vertical="center"/>
      <protection/>
    </xf>
    <xf numFmtId="3" fontId="25" fillId="0" borderId="161" xfId="104" applyNumberFormat="1" applyFont="1" applyFill="1" applyBorder="1" applyAlignment="1">
      <alignment vertical="center"/>
      <protection/>
    </xf>
    <xf numFmtId="3" fontId="25" fillId="0" borderId="137" xfId="104" applyNumberFormat="1" applyFont="1" applyFill="1" applyBorder="1" applyAlignment="1">
      <alignment vertical="center"/>
      <protection/>
    </xf>
    <xf numFmtId="0" fontId="27" fillId="0" borderId="0" xfId="104" applyFont="1" applyFill="1" applyAlignment="1">
      <alignment vertical="center" wrapText="1"/>
      <protection/>
    </xf>
    <xf numFmtId="0" fontId="24" fillId="0" borderId="0" xfId="104" applyFont="1" applyFill="1" applyAlignment="1">
      <alignment horizontal="center" vertical="center"/>
      <protection/>
    </xf>
    <xf numFmtId="3" fontId="23" fillId="0" borderId="0" xfId="104" applyNumberFormat="1" applyFont="1" applyFill="1">
      <alignment/>
      <protection/>
    </xf>
    <xf numFmtId="0" fontId="23" fillId="0" borderId="0" xfId="104" applyFont="1" applyFill="1" applyAlignment="1">
      <alignment vertical="center"/>
      <protection/>
    </xf>
    <xf numFmtId="0" fontId="0" fillId="0" borderId="0" xfId="0" applyFont="1" applyFill="1" applyAlignment="1">
      <alignment/>
    </xf>
    <xf numFmtId="0" fontId="23" fillId="0" borderId="0" xfId="104" applyFont="1" applyFill="1">
      <alignment/>
      <protection/>
    </xf>
    <xf numFmtId="0" fontId="23" fillId="0" borderId="0" xfId="0" applyFont="1" applyFill="1" applyAlignment="1">
      <alignment/>
    </xf>
    <xf numFmtId="0" fontId="41" fillId="0" borderId="0" xfId="0" applyFont="1" applyFill="1" applyAlignment="1">
      <alignment vertical="center" wrapText="1"/>
    </xf>
    <xf numFmtId="0" fontId="36" fillId="0" borderId="0" xfId="0" applyFont="1" applyFill="1" applyBorder="1" applyAlignment="1">
      <alignment/>
    </xf>
    <xf numFmtId="0" fontId="36" fillId="0" borderId="0" xfId="0" applyFont="1" applyFill="1" applyBorder="1" applyAlignment="1">
      <alignment horizontal="center"/>
    </xf>
    <xf numFmtId="0" fontId="36" fillId="0" borderId="0" xfId="0" applyFont="1" applyFill="1" applyBorder="1" applyAlignment="1">
      <alignment horizontal="center" vertical="center" wrapText="1"/>
    </xf>
    <xf numFmtId="0" fontId="24" fillId="0" borderId="127" xfId="0" applyFont="1" applyFill="1" applyBorder="1" applyAlignment="1">
      <alignment horizontal="center" vertical="center" wrapText="1"/>
    </xf>
    <xf numFmtId="0" fontId="24" fillId="0" borderId="128" xfId="0" applyFont="1" applyFill="1" applyBorder="1" applyAlignment="1">
      <alignment horizontal="center" vertical="center" wrapText="1"/>
    </xf>
    <xf numFmtId="0" fontId="24" fillId="0" borderId="129" xfId="0" applyFont="1" applyFill="1" applyBorder="1" applyAlignment="1">
      <alignment horizontal="center" vertical="center" wrapText="1"/>
    </xf>
    <xf numFmtId="0" fontId="23" fillId="0" borderId="26" xfId="0" applyFont="1" applyFill="1" applyBorder="1" applyAlignment="1">
      <alignment horizontal="left" vertical="top" wrapText="1"/>
    </xf>
    <xf numFmtId="3" fontId="23" fillId="0" borderId="0" xfId="0" applyNumberFormat="1" applyFont="1" applyFill="1" applyBorder="1" applyAlignment="1">
      <alignment horizontal="right" vertical="top" wrapText="1"/>
    </xf>
    <xf numFmtId="3" fontId="23" fillId="0" borderId="23" xfId="0" applyNumberFormat="1" applyFont="1" applyFill="1" applyBorder="1" applyAlignment="1">
      <alignment horizontal="right" vertical="top" wrapText="1"/>
    </xf>
    <xf numFmtId="0" fontId="24" fillId="0" borderId="135" xfId="0" applyFont="1" applyFill="1" applyBorder="1" applyAlignment="1">
      <alignment horizontal="left" vertical="top" wrapText="1"/>
    </xf>
    <xf numFmtId="3" fontId="24" fillId="0" borderId="13" xfId="0" applyNumberFormat="1" applyFont="1" applyFill="1" applyBorder="1" applyAlignment="1">
      <alignment horizontal="right" vertical="top" wrapText="1"/>
    </xf>
    <xf numFmtId="3" fontId="24" fillId="0" borderId="27" xfId="0" applyNumberFormat="1" applyFont="1" applyFill="1" applyBorder="1" applyAlignment="1">
      <alignment horizontal="right" vertical="top" wrapText="1"/>
    </xf>
    <xf numFmtId="0" fontId="24" fillId="0" borderId="132" xfId="0" applyFont="1" applyFill="1" applyBorder="1" applyAlignment="1">
      <alignment horizontal="left" vertical="top" wrapText="1"/>
    </xf>
    <xf numFmtId="3" fontId="24" fillId="0" borderId="15" xfId="0" applyNumberFormat="1" applyFont="1" applyFill="1" applyBorder="1" applyAlignment="1">
      <alignment horizontal="right" vertical="top" wrapText="1"/>
    </xf>
    <xf numFmtId="3" fontId="24" fillId="0" borderId="133" xfId="0" applyNumberFormat="1" applyFont="1" applyFill="1" applyBorder="1" applyAlignment="1">
      <alignment horizontal="right" vertical="top" wrapText="1"/>
    </xf>
    <xf numFmtId="0" fontId="24" fillId="0" borderId="162" xfId="0" applyFont="1" applyFill="1" applyBorder="1" applyAlignment="1">
      <alignment horizontal="left" vertical="top" wrapText="1"/>
    </xf>
    <xf numFmtId="3" fontId="24" fillId="0" borderId="163" xfId="0" applyNumberFormat="1" applyFont="1" applyFill="1" applyBorder="1" applyAlignment="1">
      <alignment horizontal="right" vertical="top" wrapText="1"/>
    </xf>
    <xf numFmtId="3" fontId="24" fillId="0" borderId="164" xfId="0" applyNumberFormat="1" applyFont="1" applyFill="1" applyBorder="1" applyAlignment="1">
      <alignment horizontal="right" vertical="top" wrapText="1"/>
    </xf>
    <xf numFmtId="0" fontId="24" fillId="21" borderId="134" xfId="0" applyFont="1" applyFill="1" applyBorder="1" applyAlignment="1">
      <alignment horizontal="left" vertical="center" wrapText="1"/>
    </xf>
    <xf numFmtId="3" fontId="24" fillId="21" borderId="31" xfId="0" applyNumberFormat="1" applyFont="1" applyFill="1" applyBorder="1" applyAlignment="1">
      <alignment horizontal="right" vertical="center" wrapText="1"/>
    </xf>
    <xf numFmtId="3" fontId="24" fillId="21" borderId="137" xfId="0" applyNumberFormat="1" applyFont="1" applyFill="1" applyBorder="1" applyAlignment="1">
      <alignment horizontal="right" vertical="center" wrapText="1"/>
    </xf>
    <xf numFmtId="0" fontId="24" fillId="0" borderId="46" xfId="0" applyFont="1" applyFill="1" applyBorder="1" applyAlignment="1">
      <alignment horizontal="left" vertical="top" wrapText="1"/>
    </xf>
    <xf numFmtId="3" fontId="24" fillId="0" borderId="47" xfId="0" applyNumberFormat="1" applyFont="1" applyFill="1" applyBorder="1" applyAlignment="1">
      <alignment horizontal="right" vertical="top" wrapText="1"/>
    </xf>
    <xf numFmtId="3" fontId="24" fillId="0" borderId="77" xfId="0" applyNumberFormat="1" applyFont="1" applyFill="1" applyBorder="1" applyAlignment="1">
      <alignment horizontal="right" vertical="top" wrapText="1"/>
    </xf>
    <xf numFmtId="0" fontId="23" fillId="0" borderId="0" xfId="0" applyFont="1" applyFill="1" applyAlignment="1">
      <alignment wrapText="1"/>
    </xf>
    <xf numFmtId="0" fontId="22" fillId="0" borderId="0" xfId="0" applyFont="1" applyAlignment="1">
      <alignment horizontal="center" vertical="center"/>
    </xf>
    <xf numFmtId="3" fontId="23" fillId="0" borderId="0" xfId="0" applyNumberFormat="1" applyFont="1" applyAlignment="1">
      <alignment vertical="center"/>
    </xf>
    <xf numFmtId="3" fontId="23" fillId="0" borderId="0" xfId="0" applyNumberFormat="1" applyFont="1" applyAlignment="1">
      <alignment horizontal="right" vertical="center"/>
    </xf>
    <xf numFmtId="0" fontId="23" fillId="0" borderId="0" xfId="0" applyFont="1" applyAlignment="1">
      <alignment vertical="center"/>
    </xf>
    <xf numFmtId="0" fontId="22" fillId="0" borderId="0" xfId="0" applyFont="1" applyFill="1" applyBorder="1" applyAlignment="1">
      <alignment/>
    </xf>
    <xf numFmtId="3" fontId="22" fillId="0" borderId="0" xfId="0" applyNumberFormat="1" applyFont="1" applyBorder="1" applyAlignment="1">
      <alignment horizontal="right"/>
    </xf>
    <xf numFmtId="3" fontId="22" fillId="0" borderId="0" xfId="0" applyNumberFormat="1" applyFont="1" applyBorder="1" applyAlignment="1">
      <alignment horizontal="center"/>
    </xf>
    <xf numFmtId="0" fontId="23" fillId="0" borderId="127" xfId="0" applyFont="1" applyFill="1" applyBorder="1" applyAlignment="1">
      <alignment horizontal="center" vertical="center" wrapText="1"/>
    </xf>
    <xf numFmtId="3" fontId="23" fillId="0" borderId="54" xfId="0" applyNumberFormat="1" applyFont="1" applyFill="1" applyBorder="1" applyAlignment="1">
      <alignment horizontal="center" vertical="center" wrapText="1"/>
    </xf>
    <xf numFmtId="3" fontId="23" fillId="0" borderId="128" xfId="0" applyNumberFormat="1" applyFont="1" applyFill="1" applyBorder="1" applyAlignment="1">
      <alignment horizontal="center" vertical="center" wrapText="1"/>
    </xf>
    <xf numFmtId="0" fontId="23" fillId="0" borderId="26" xfId="0" applyFont="1" applyFill="1" applyBorder="1" applyAlignment="1">
      <alignment vertical="center"/>
    </xf>
    <xf numFmtId="3" fontId="63" fillId="0" borderId="0" xfId="0" applyNumberFormat="1" applyFont="1" applyFill="1" applyBorder="1" applyAlignment="1">
      <alignment vertical="center"/>
    </xf>
    <xf numFmtId="3" fontId="63" fillId="0" borderId="23" xfId="0" applyNumberFormat="1" applyFont="1" applyBorder="1" applyAlignment="1">
      <alignment vertical="center"/>
    </xf>
    <xf numFmtId="0" fontId="63" fillId="0" borderId="0" xfId="0" applyFont="1" applyAlignment="1">
      <alignment vertical="center"/>
    </xf>
    <xf numFmtId="0" fontId="23" fillId="0" borderId="26" xfId="0" applyFont="1" applyFill="1" applyBorder="1" applyAlignment="1">
      <alignment vertical="center" wrapText="1"/>
    </xf>
    <xf numFmtId="3" fontId="63" fillId="0" borderId="0" xfId="0" applyNumberFormat="1" applyFont="1" applyBorder="1" applyAlignment="1">
      <alignment vertical="center"/>
    </xf>
    <xf numFmtId="0" fontId="24" fillId="0" borderId="127" xfId="0" applyFont="1" applyFill="1" applyBorder="1" applyAlignment="1">
      <alignment vertical="center"/>
    </xf>
    <xf numFmtId="3" fontId="54" fillId="0" borderId="128" xfId="0" applyNumberFormat="1" applyFont="1" applyFill="1" applyBorder="1" applyAlignment="1">
      <alignment vertical="center"/>
    </xf>
    <xf numFmtId="3" fontId="54" fillId="0" borderId="129" xfId="0" applyNumberFormat="1" applyFont="1" applyFill="1" applyBorder="1" applyAlignment="1">
      <alignment vertical="center"/>
    </xf>
    <xf numFmtId="0" fontId="54" fillId="0" borderId="0" xfId="0" applyFont="1" applyAlignment="1">
      <alignment vertical="center"/>
    </xf>
    <xf numFmtId="3" fontId="63" fillId="0" borderId="0" xfId="0" applyNumberFormat="1" applyFont="1" applyFill="1" applyBorder="1" applyAlignment="1">
      <alignment/>
    </xf>
    <xf numFmtId="3" fontId="63" fillId="0" borderId="0" xfId="0" applyNumberFormat="1" applyFont="1" applyAlignment="1">
      <alignment/>
    </xf>
    <xf numFmtId="0" fontId="63" fillId="0" borderId="0" xfId="0" applyFont="1" applyAlignment="1">
      <alignment/>
    </xf>
    <xf numFmtId="3" fontId="54" fillId="0" borderId="0" xfId="0" applyNumberFormat="1" applyFont="1" applyFill="1" applyBorder="1" applyAlignment="1">
      <alignment/>
    </xf>
    <xf numFmtId="0" fontId="24" fillId="0" borderId="0" xfId="0" applyFont="1" applyFill="1" applyBorder="1" applyAlignment="1">
      <alignment/>
    </xf>
    <xf numFmtId="0" fontId="23" fillId="0" borderId="0" xfId="0" applyFont="1" applyAlignment="1">
      <alignment/>
    </xf>
    <xf numFmtId="0" fontId="61" fillId="0" borderId="0" xfId="96" applyFont="1" applyAlignment="1">
      <alignment vertical="center"/>
      <protection/>
    </xf>
    <xf numFmtId="0" fontId="24" fillId="0" borderId="86" xfId="96" applyFont="1" applyBorder="1" applyAlignment="1">
      <alignment horizontal="center" vertical="center" wrapText="1"/>
      <protection/>
    </xf>
    <xf numFmtId="0" fontId="24" fillId="0" borderId="86" xfId="96" applyFont="1" applyFill="1" applyBorder="1" applyAlignment="1">
      <alignment horizontal="center" vertical="center" wrapText="1"/>
      <protection/>
    </xf>
    <xf numFmtId="3" fontId="24" fillId="0" borderId="86" xfId="96" applyNumberFormat="1" applyFont="1" applyFill="1" applyBorder="1" applyAlignment="1">
      <alignment horizontal="center" vertical="center" wrapText="1"/>
      <protection/>
    </xf>
    <xf numFmtId="0" fontId="27" fillId="0" borderId="30" xfId="96" applyFont="1" applyBorder="1" applyAlignment="1">
      <alignment horizontal="center" vertical="center"/>
      <protection/>
    </xf>
    <xf numFmtId="0" fontId="31" fillId="0" borderId="30" xfId="96" applyFont="1" applyFill="1" applyBorder="1" applyAlignment="1">
      <alignment vertical="center"/>
      <protection/>
    </xf>
    <xf numFmtId="3" fontId="27" fillId="0" borderId="30" xfId="96" applyNumberFormat="1" applyFont="1" applyFill="1" applyBorder="1" applyAlignment="1">
      <alignment vertical="center"/>
      <protection/>
    </xf>
    <xf numFmtId="0" fontId="27" fillId="0" borderId="30" xfId="96" applyFont="1" applyFill="1" applyBorder="1" applyAlignment="1">
      <alignment vertical="center" wrapText="1"/>
      <protection/>
    </xf>
    <xf numFmtId="0" fontId="27" fillId="0" borderId="86" xfId="96" applyFont="1" applyBorder="1" applyAlignment="1">
      <alignment horizontal="center" vertical="center"/>
      <protection/>
    </xf>
    <xf numFmtId="0" fontId="27" fillId="0" borderId="86" xfId="96" applyFont="1" applyFill="1" applyBorder="1" applyAlignment="1">
      <alignment vertical="center"/>
      <protection/>
    </xf>
    <xf numFmtId="3" fontId="27" fillId="0" borderId="86" xfId="96" applyNumberFormat="1" applyFont="1" applyFill="1" applyBorder="1" applyAlignment="1">
      <alignment vertical="center"/>
      <protection/>
    </xf>
    <xf numFmtId="3" fontId="27" fillId="0" borderId="0" xfId="0" applyNumberFormat="1" applyFont="1" applyAlignment="1">
      <alignment horizontal="right"/>
    </xf>
    <xf numFmtId="2" fontId="27" fillId="0" borderId="0" xfId="0" applyNumberFormat="1" applyFont="1" applyAlignment="1">
      <alignment/>
    </xf>
    <xf numFmtId="0" fontId="27" fillId="0" borderId="0" xfId="0" applyFont="1" applyAlignment="1">
      <alignment/>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xf>
    <xf numFmtId="3" fontId="22" fillId="0" borderId="0" xfId="0" applyNumberFormat="1" applyFont="1" applyAlignment="1">
      <alignment horizontal="center" vertical="center"/>
    </xf>
    <xf numFmtId="2" fontId="22" fillId="0" borderId="0" xfId="0" applyNumberFormat="1" applyFont="1" applyAlignment="1">
      <alignment horizontal="center" vertical="center"/>
    </xf>
    <xf numFmtId="0" fontId="27" fillId="0" borderId="0" xfId="0" applyFont="1" applyAlignment="1">
      <alignment vertical="center"/>
    </xf>
    <xf numFmtId="3" fontId="27" fillId="24" borderId="80" xfId="0" applyNumberFormat="1" applyFont="1" applyFill="1" applyBorder="1" applyAlignment="1">
      <alignment vertical="center"/>
    </xf>
    <xf numFmtId="3" fontId="66" fillId="24" borderId="80" xfId="0" applyNumberFormat="1" applyFont="1" applyFill="1" applyBorder="1" applyAlignment="1">
      <alignment vertical="center"/>
    </xf>
    <xf numFmtId="3" fontId="27" fillId="0" borderId="30" xfId="0" applyNumberFormat="1" applyFont="1" applyBorder="1" applyAlignment="1">
      <alignment vertical="center"/>
    </xf>
    <xf numFmtId="3" fontId="27" fillId="24" borderId="30" xfId="0" applyNumberFormat="1" applyFont="1" applyFill="1" applyBorder="1" applyAlignment="1">
      <alignment vertical="center"/>
    </xf>
    <xf numFmtId="3" fontId="27" fillId="24" borderId="90" xfId="0" applyNumberFormat="1" applyFont="1" applyFill="1" applyBorder="1" applyAlignment="1">
      <alignment vertical="center"/>
    </xf>
    <xf numFmtId="0" fontId="25" fillId="0" borderId="103" xfId="0" applyFont="1" applyBorder="1" applyAlignment="1">
      <alignment horizontal="right" vertical="center"/>
    </xf>
    <xf numFmtId="3" fontId="25" fillId="0" borderId="79" xfId="0" applyNumberFormat="1" applyFont="1" applyBorder="1" applyAlignment="1">
      <alignment horizontal="right" vertical="center"/>
    </xf>
    <xf numFmtId="3" fontId="23" fillId="0" borderId="0" xfId="100" applyNumberFormat="1" applyFont="1" applyFill="1" applyBorder="1" applyAlignment="1">
      <alignment horizontal="right"/>
      <protection/>
    </xf>
    <xf numFmtId="4" fontId="23" fillId="0" borderId="0" xfId="100" applyNumberFormat="1" applyFont="1" applyFill="1" applyBorder="1" applyAlignment="1">
      <alignment horizontal="right"/>
      <protection/>
    </xf>
    <xf numFmtId="3" fontId="23" fillId="0" borderId="0" xfId="100" applyNumberFormat="1" applyFont="1" applyFill="1" applyBorder="1">
      <alignment/>
      <protection/>
    </xf>
    <xf numFmtId="0" fontId="23" fillId="0" borderId="0" xfId="100" applyFont="1" applyFill="1" applyBorder="1">
      <alignment/>
      <protection/>
    </xf>
    <xf numFmtId="0" fontId="23" fillId="0" borderId="0" xfId="100" applyFont="1" applyFill="1" applyBorder="1" applyAlignment="1">
      <alignment horizontal="center"/>
      <protection/>
    </xf>
    <xf numFmtId="0" fontId="24" fillId="0" borderId="0" xfId="100" applyFont="1" applyFill="1" applyBorder="1" applyAlignment="1">
      <alignment vertical="center"/>
      <protection/>
    </xf>
    <xf numFmtId="3" fontId="24" fillId="0" borderId="0" xfId="100" applyNumberFormat="1" applyFont="1" applyFill="1" applyBorder="1" applyAlignment="1">
      <alignment vertical="center"/>
      <protection/>
    </xf>
    <xf numFmtId="0" fontId="23" fillId="0" borderId="0" xfId="100" applyFont="1" applyFill="1" applyBorder="1" applyAlignment="1">
      <alignment horizontal="center" vertical="center"/>
      <protection/>
    </xf>
    <xf numFmtId="3" fontId="23" fillId="0" borderId="0" xfId="100" applyNumberFormat="1" applyFont="1" applyFill="1" applyBorder="1" applyAlignment="1">
      <alignment horizontal="center" vertical="center"/>
      <protection/>
    </xf>
    <xf numFmtId="4" fontId="23" fillId="0" borderId="0" xfId="100" applyNumberFormat="1" applyFont="1" applyFill="1" applyBorder="1" applyAlignment="1">
      <alignment horizontal="center"/>
      <protection/>
    </xf>
    <xf numFmtId="3" fontId="23" fillId="0" borderId="0" xfId="100" applyNumberFormat="1" applyFont="1" applyFill="1" applyBorder="1" applyAlignment="1">
      <alignment horizontal="center"/>
      <protection/>
    </xf>
    <xf numFmtId="3" fontId="23" fillId="0" borderId="0" xfId="100" applyNumberFormat="1" applyFont="1" applyFill="1" applyBorder="1" applyAlignment="1">
      <alignment horizontal="center" vertical="center" wrapText="1"/>
      <protection/>
    </xf>
    <xf numFmtId="0" fontId="23" fillId="0" borderId="0" xfId="100" applyFont="1" applyFill="1" applyBorder="1" applyAlignment="1">
      <alignment vertical="center" wrapText="1"/>
      <protection/>
    </xf>
    <xf numFmtId="0" fontId="23" fillId="0" borderId="153" xfId="100" applyFont="1" applyFill="1" applyBorder="1" applyAlignment="1">
      <alignment horizontal="center"/>
      <protection/>
    </xf>
    <xf numFmtId="0" fontId="23" fillId="0" borderId="84" xfId="100" applyFont="1" applyFill="1" applyBorder="1">
      <alignment/>
      <protection/>
    </xf>
    <xf numFmtId="3" fontId="23" fillId="0" borderId="84" xfId="100" applyNumberFormat="1" applyFont="1" applyFill="1" applyBorder="1">
      <alignment/>
      <protection/>
    </xf>
    <xf numFmtId="4" fontId="23" fillId="0" borderId="154" xfId="100" applyNumberFormat="1" applyFont="1" applyFill="1" applyBorder="1" applyAlignment="1">
      <alignment horizontal="center"/>
      <protection/>
    </xf>
    <xf numFmtId="0" fontId="24" fillId="0" borderId="105" xfId="100" applyFont="1" applyFill="1" applyBorder="1" applyAlignment="1">
      <alignment horizontal="center"/>
      <protection/>
    </xf>
    <xf numFmtId="0" fontId="24" fillId="0" borderId="30" xfId="100" applyFont="1" applyFill="1" applyBorder="1">
      <alignment/>
      <protection/>
    </xf>
    <xf numFmtId="3" fontId="24" fillId="0" borderId="30" xfId="100" applyNumberFormat="1" applyFont="1" applyFill="1" applyBorder="1">
      <alignment/>
      <protection/>
    </xf>
    <xf numFmtId="4" fontId="24" fillId="0" borderId="150" xfId="100" applyNumberFormat="1" applyFont="1" applyFill="1" applyBorder="1" applyAlignment="1">
      <alignment horizontal="center"/>
      <protection/>
    </xf>
    <xf numFmtId="3" fontId="24" fillId="0" borderId="0" xfId="100" applyNumberFormat="1" applyFont="1" applyFill="1" applyBorder="1">
      <alignment/>
      <protection/>
    </xf>
    <xf numFmtId="0" fontId="24" fillId="0" borderId="0" xfId="100" applyFont="1" applyFill="1" applyBorder="1">
      <alignment/>
      <protection/>
    </xf>
    <xf numFmtId="0" fontId="23" fillId="0" borderId="105" xfId="100" applyFont="1" applyFill="1" applyBorder="1" applyAlignment="1">
      <alignment horizontal="center"/>
      <protection/>
    </xf>
    <xf numFmtId="0" fontId="23" fillId="0" borderId="30" xfId="100" applyFont="1" applyFill="1" applyBorder="1" applyAlignment="1">
      <alignment horizontal="left" indent="1"/>
      <protection/>
    </xf>
    <xf numFmtId="3" fontId="23" fillId="0" borderId="30" xfId="100" applyNumberFormat="1" applyFont="1" applyFill="1" applyBorder="1">
      <alignment/>
      <protection/>
    </xf>
    <xf numFmtId="4" fontId="23" fillId="0" borderId="150" xfId="100" applyNumberFormat="1" applyFont="1" applyFill="1" applyBorder="1" applyAlignment="1">
      <alignment horizontal="center"/>
      <protection/>
    </xf>
    <xf numFmtId="0" fontId="23" fillId="0" borderId="30" xfId="100" applyFont="1" applyFill="1" applyBorder="1" applyAlignment="1">
      <alignment horizontal="left" wrapText="1" indent="1"/>
      <protection/>
    </xf>
    <xf numFmtId="0" fontId="24" fillId="0" borderId="105" xfId="100" applyFont="1" applyFill="1" applyBorder="1" applyAlignment="1">
      <alignment horizontal="center" vertical="top"/>
      <protection/>
    </xf>
    <xf numFmtId="0" fontId="24" fillId="0" borderId="30" xfId="100" applyFont="1" applyFill="1" applyBorder="1" applyAlignment="1">
      <alignment wrapText="1"/>
      <protection/>
    </xf>
    <xf numFmtId="0" fontId="24" fillId="0" borderId="30" xfId="100" applyFont="1" applyFill="1" applyBorder="1" applyAlignment="1">
      <alignment vertical="top" wrapText="1"/>
      <protection/>
    </xf>
    <xf numFmtId="3" fontId="24" fillId="0" borderId="30" xfId="100" applyNumberFormat="1" applyFont="1" applyFill="1" applyBorder="1" applyAlignment="1">
      <alignment vertical="top"/>
      <protection/>
    </xf>
    <xf numFmtId="4" fontId="24" fillId="0" borderId="150" xfId="100" applyNumberFormat="1" applyFont="1" applyFill="1" applyBorder="1" applyAlignment="1">
      <alignment horizontal="center" vertical="top"/>
      <protection/>
    </xf>
    <xf numFmtId="3" fontId="24" fillId="0" borderId="0" xfId="100" applyNumberFormat="1" applyFont="1" applyFill="1" applyBorder="1" applyAlignment="1">
      <alignment vertical="top"/>
      <protection/>
    </xf>
    <xf numFmtId="0" fontId="24" fillId="0" borderId="0" xfId="100" applyFont="1" applyFill="1" applyBorder="1" applyAlignment="1">
      <alignment vertical="top"/>
      <protection/>
    </xf>
    <xf numFmtId="0" fontId="23" fillId="0" borderId="30" xfId="100" applyFont="1" applyFill="1" applyBorder="1">
      <alignment/>
      <protection/>
    </xf>
    <xf numFmtId="0" fontId="24" fillId="0" borderId="105" xfId="100" applyFont="1" applyFill="1" applyBorder="1" applyAlignment="1">
      <alignment horizontal="center" vertical="center"/>
      <protection/>
    </xf>
    <xf numFmtId="0" fontId="24" fillId="0" borderId="30" xfId="100" applyFont="1" applyFill="1" applyBorder="1" applyAlignment="1">
      <alignment vertical="center" wrapText="1"/>
      <protection/>
    </xf>
    <xf numFmtId="3" fontId="24" fillId="0" borderId="30" xfId="100" applyNumberFormat="1" applyFont="1" applyFill="1" applyBorder="1" applyAlignment="1">
      <alignment vertical="center"/>
      <protection/>
    </xf>
    <xf numFmtId="4" fontId="24" fillId="0" borderId="150" xfId="100" applyNumberFormat="1" applyFont="1" applyFill="1" applyBorder="1" applyAlignment="1">
      <alignment horizontal="center" vertical="center"/>
      <protection/>
    </xf>
    <xf numFmtId="0" fontId="23" fillId="0" borderId="30" xfId="100" applyFont="1" applyFill="1" applyBorder="1" applyAlignment="1">
      <alignment wrapText="1"/>
      <protection/>
    </xf>
    <xf numFmtId="0" fontId="23" fillId="0" borderId="105" xfId="100" applyFont="1" applyFill="1" applyBorder="1" applyAlignment="1">
      <alignment horizontal="center" vertical="top"/>
      <protection/>
    </xf>
    <xf numFmtId="0" fontId="24" fillId="0" borderId="30" xfId="100" applyFont="1" applyFill="1" applyBorder="1" applyAlignment="1">
      <alignment vertical="top"/>
      <protection/>
    </xf>
    <xf numFmtId="0" fontId="24" fillId="0" borderId="165" xfId="100" applyFont="1" applyFill="1" applyBorder="1" applyAlignment="1">
      <alignment horizontal="center" vertical="center"/>
      <protection/>
    </xf>
    <xf numFmtId="0" fontId="24" fillId="0" borderId="166" xfId="100" applyFont="1" applyFill="1" applyBorder="1" applyAlignment="1">
      <alignment vertical="center"/>
      <protection/>
    </xf>
    <xf numFmtId="3" fontId="24" fillId="0" borderId="166" xfId="100" applyNumberFormat="1" applyFont="1" applyFill="1" applyBorder="1">
      <alignment/>
      <protection/>
    </xf>
    <xf numFmtId="4" fontId="24" fillId="0" borderId="167" xfId="100" applyNumberFormat="1" applyFont="1" applyFill="1" applyBorder="1" applyAlignment="1">
      <alignment horizontal="center" vertical="center"/>
      <protection/>
    </xf>
    <xf numFmtId="0" fontId="24" fillId="0" borderId="0" xfId="100" applyNumberFormat="1" applyFont="1" applyFill="1" applyBorder="1" applyAlignment="1">
      <alignment vertical="center"/>
      <protection/>
    </xf>
    <xf numFmtId="0" fontId="24" fillId="0" borderId="103" xfId="100" applyNumberFormat="1" applyFont="1" applyFill="1" applyBorder="1" applyAlignment="1">
      <alignment horizontal="center" vertical="center"/>
      <protection/>
    </xf>
    <xf numFmtId="0" fontId="24" fillId="0" borderId="79" xfId="100" applyFont="1" applyFill="1" applyBorder="1" applyAlignment="1">
      <alignment vertical="center"/>
      <protection/>
    </xf>
    <xf numFmtId="3" fontId="24" fillId="0" borderId="79" xfId="100" applyNumberFormat="1" applyFont="1" applyFill="1" applyBorder="1" applyAlignment="1">
      <alignment vertical="center"/>
      <protection/>
    </xf>
    <xf numFmtId="4" fontId="24" fillId="0" borderId="148" xfId="100" applyNumberFormat="1" applyFont="1" applyFill="1" applyBorder="1" applyAlignment="1">
      <alignment horizontal="center" vertical="center"/>
      <protection/>
    </xf>
    <xf numFmtId="0" fontId="23" fillId="0" borderId="158" xfId="100" applyFont="1" applyFill="1" applyBorder="1" applyAlignment="1">
      <alignment horizontal="center"/>
      <protection/>
    </xf>
    <xf numFmtId="0" fontId="23" fillId="0" borderId="90" xfId="100" applyFont="1" applyFill="1" applyBorder="1">
      <alignment/>
      <protection/>
    </xf>
    <xf numFmtId="3" fontId="23" fillId="0" borderId="90" xfId="100" applyNumberFormat="1" applyFont="1" applyFill="1" applyBorder="1">
      <alignment/>
      <protection/>
    </xf>
    <xf numFmtId="4" fontId="23" fillId="0" borderId="168" xfId="100" applyNumberFormat="1" applyFont="1" applyFill="1" applyBorder="1" applyAlignment="1">
      <alignment horizontal="center"/>
      <protection/>
    </xf>
    <xf numFmtId="0" fontId="24" fillId="0" borderId="103" xfId="100" applyFont="1" applyFill="1" applyBorder="1" applyAlignment="1">
      <alignment horizontal="center" vertical="center"/>
      <protection/>
    </xf>
    <xf numFmtId="0" fontId="23" fillId="0" borderId="104" xfId="100" applyFont="1" applyFill="1" applyBorder="1" applyAlignment="1">
      <alignment horizontal="center" vertical="center"/>
      <protection/>
    </xf>
    <xf numFmtId="0" fontId="23" fillId="0" borderId="80" xfId="100" applyFont="1" applyFill="1" applyBorder="1" applyAlignment="1">
      <alignment vertical="center" wrapText="1"/>
      <protection/>
    </xf>
    <xf numFmtId="3" fontId="23" fillId="0" borderId="80" xfId="100" applyNumberFormat="1" applyFont="1" applyFill="1" applyBorder="1" applyAlignment="1">
      <alignment vertical="center"/>
      <protection/>
    </xf>
    <xf numFmtId="4" fontId="23" fillId="0" borderId="149" xfId="100" applyNumberFormat="1" applyFont="1" applyFill="1" applyBorder="1" applyAlignment="1">
      <alignment horizontal="center" vertical="center"/>
      <protection/>
    </xf>
    <xf numFmtId="3" fontId="23" fillId="0" borderId="0" xfId="100" applyNumberFormat="1" applyFont="1" applyFill="1" applyBorder="1" applyAlignment="1">
      <alignment vertical="center"/>
      <protection/>
    </xf>
    <xf numFmtId="0" fontId="23" fillId="0" borderId="0" xfId="100" applyFont="1" applyFill="1" applyBorder="1" applyAlignment="1">
      <alignment vertical="center"/>
      <protection/>
    </xf>
    <xf numFmtId="0" fontId="23" fillId="0" borderId="153" xfId="100" applyFont="1" applyFill="1" applyBorder="1" applyAlignment="1">
      <alignment horizontal="center" vertical="top"/>
      <protection/>
    </xf>
    <xf numFmtId="0" fontId="23" fillId="0" borderId="84" xfId="100" applyFont="1" applyFill="1" applyBorder="1" applyAlignment="1">
      <alignment horizontal="left" wrapText="1"/>
      <protection/>
    </xf>
    <xf numFmtId="0" fontId="23" fillId="0" borderId="30" xfId="100" applyFont="1" applyFill="1" applyBorder="1" applyAlignment="1">
      <alignment horizontal="left" wrapText="1"/>
      <protection/>
    </xf>
    <xf numFmtId="0" fontId="24" fillId="0" borderId="30" xfId="100" applyFont="1" applyFill="1" applyBorder="1" applyAlignment="1">
      <alignment horizontal="left" vertical="center"/>
      <protection/>
    </xf>
    <xf numFmtId="0" fontId="24" fillId="0" borderId="166" xfId="100" applyFont="1" applyFill="1" applyBorder="1" applyAlignment="1">
      <alignment horizontal="left" vertical="center"/>
      <protection/>
    </xf>
    <xf numFmtId="3" fontId="24" fillId="0" borderId="166" xfId="100" applyNumberFormat="1" applyFont="1" applyFill="1" applyBorder="1" applyAlignment="1">
      <alignment vertical="center"/>
      <protection/>
    </xf>
    <xf numFmtId="4" fontId="23" fillId="0" borderId="0" xfId="100" applyNumberFormat="1" applyFont="1" applyFill="1" applyBorder="1">
      <alignment/>
      <protection/>
    </xf>
    <xf numFmtId="0" fontId="22" fillId="0" borderId="0" xfId="0" applyFont="1" applyAlignment="1">
      <alignment vertical="top"/>
    </xf>
    <xf numFmtId="3" fontId="23" fillId="0" borderId="0" xfId="97" applyNumberFormat="1" applyFont="1" applyAlignment="1">
      <alignment vertical="center"/>
      <protection/>
    </xf>
    <xf numFmtId="0" fontId="23" fillId="0" borderId="0" xfId="97" applyFont="1" applyAlignment="1">
      <alignment vertical="center"/>
      <protection/>
    </xf>
    <xf numFmtId="3" fontId="24" fillId="0" borderId="0" xfId="100" applyNumberFormat="1" applyFont="1" applyBorder="1" applyAlignment="1">
      <alignment vertical="center"/>
      <protection/>
    </xf>
    <xf numFmtId="3" fontId="29" fillId="0" borderId="0" xfId="100" applyNumberFormat="1" applyFont="1" applyBorder="1" applyAlignment="1">
      <alignment vertical="center"/>
      <protection/>
    </xf>
    <xf numFmtId="0" fontId="23" fillId="0" borderId="0" xfId="100" applyFont="1" applyBorder="1">
      <alignment/>
      <protection/>
    </xf>
    <xf numFmtId="0" fontId="24" fillId="0" borderId="0" xfId="100" applyFont="1" applyBorder="1" applyAlignment="1">
      <alignment vertical="center"/>
      <protection/>
    </xf>
    <xf numFmtId="4" fontId="23" fillId="0" borderId="0" xfId="100" applyNumberFormat="1" applyFont="1" applyBorder="1" applyAlignment="1">
      <alignment horizontal="right"/>
      <protection/>
    </xf>
    <xf numFmtId="3" fontId="23" fillId="0" borderId="0" xfId="100" applyNumberFormat="1" applyFont="1" applyBorder="1" applyAlignment="1">
      <alignment/>
      <protection/>
    </xf>
    <xf numFmtId="3" fontId="23" fillId="25" borderId="0" xfId="100" applyNumberFormat="1" applyFont="1" applyFill="1" applyBorder="1" applyAlignment="1">
      <alignment/>
      <protection/>
    </xf>
    <xf numFmtId="3" fontId="23" fillId="25" borderId="0" xfId="100" applyNumberFormat="1" applyFont="1" applyFill="1" applyBorder="1">
      <alignment/>
      <protection/>
    </xf>
    <xf numFmtId="0" fontId="23" fillId="0" borderId="0" xfId="100" applyFont="1" applyBorder="1" applyAlignment="1">
      <alignment horizontal="center"/>
      <protection/>
    </xf>
    <xf numFmtId="0" fontId="23" fillId="0" borderId="0" xfId="100" applyFont="1" applyBorder="1" applyAlignment="1">
      <alignment horizontal="center" vertical="center"/>
      <protection/>
    </xf>
    <xf numFmtId="3" fontId="23" fillId="0" borderId="0" xfId="100" applyNumberFormat="1" applyFont="1" applyBorder="1" applyAlignment="1">
      <alignment horizontal="center" vertical="center"/>
      <protection/>
    </xf>
    <xf numFmtId="3" fontId="23" fillId="0" borderId="0" xfId="100" applyNumberFormat="1" applyFont="1" applyBorder="1" applyAlignment="1">
      <alignment horizontal="center"/>
      <protection/>
    </xf>
    <xf numFmtId="3" fontId="23" fillId="25" borderId="0" xfId="100" applyNumberFormat="1" applyFont="1" applyFill="1" applyBorder="1" applyAlignment="1">
      <alignment horizontal="center"/>
      <protection/>
    </xf>
    <xf numFmtId="3" fontId="23" fillId="0" borderId="0" xfId="100" applyNumberFormat="1" applyFont="1" applyBorder="1" applyAlignment="1">
      <alignment horizontal="center" vertical="center" wrapText="1"/>
      <protection/>
    </xf>
    <xf numFmtId="0" fontId="24" fillId="0" borderId="127" xfId="97" applyFont="1" applyBorder="1" applyAlignment="1">
      <alignment vertical="center"/>
      <protection/>
    </xf>
    <xf numFmtId="0" fontId="24" fillId="0" borderId="54" xfId="115" applyFont="1" applyFill="1" applyBorder="1" applyAlignment="1">
      <alignment horizontal="center" vertical="center"/>
      <protection/>
    </xf>
    <xf numFmtId="3" fontId="24" fillId="0" borderId="129" xfId="97" applyNumberFormat="1" applyFont="1" applyBorder="1" applyAlignment="1">
      <alignment vertical="center"/>
      <protection/>
    </xf>
    <xf numFmtId="0" fontId="23" fillId="0" borderId="43" xfId="97" applyFont="1" applyBorder="1" applyAlignment="1">
      <alignment vertical="center"/>
      <protection/>
    </xf>
    <xf numFmtId="0" fontId="23" fillId="0" borderId="169" xfId="115" applyFont="1" applyFill="1" applyBorder="1" applyAlignment="1">
      <alignment horizontal="center" vertical="center"/>
      <protection/>
    </xf>
    <xf numFmtId="3" fontId="23" fillId="0" borderId="169" xfId="97" applyNumberFormat="1" applyFont="1" applyFill="1" applyBorder="1" applyAlignment="1">
      <alignment vertical="center"/>
      <protection/>
    </xf>
    <xf numFmtId="3" fontId="23" fillId="0" borderId="24" xfId="97" applyNumberFormat="1" applyFont="1" applyBorder="1" applyAlignment="1">
      <alignment vertical="center"/>
      <protection/>
    </xf>
    <xf numFmtId="0" fontId="23" fillId="0" borderId="42" xfId="97" applyFont="1" applyBorder="1" applyAlignment="1">
      <alignment vertical="center"/>
      <protection/>
    </xf>
    <xf numFmtId="0" fontId="23" fillId="0" borderId="170" xfId="115" applyFont="1" applyFill="1" applyBorder="1" applyAlignment="1">
      <alignment horizontal="center" vertical="center"/>
      <protection/>
    </xf>
    <xf numFmtId="3" fontId="23" fillId="0" borderId="39" xfId="97" applyNumberFormat="1" applyFont="1" applyBorder="1" applyAlignment="1">
      <alignment vertical="center"/>
      <protection/>
    </xf>
    <xf numFmtId="0" fontId="23" fillId="0" borderId="130" xfId="97" applyFont="1" applyBorder="1" applyAlignment="1">
      <alignment vertical="center"/>
      <protection/>
    </xf>
    <xf numFmtId="0" fontId="23" fillId="0" borderId="171" xfId="115" applyFont="1" applyFill="1" applyBorder="1" applyAlignment="1">
      <alignment horizontal="center" vertical="center"/>
      <protection/>
    </xf>
    <xf numFmtId="0" fontId="23" fillId="0" borderId="135" xfId="97" applyFont="1" applyBorder="1" applyAlignment="1">
      <alignment vertical="center"/>
      <protection/>
    </xf>
    <xf numFmtId="0" fontId="23" fillId="0" borderId="172" xfId="115" applyFont="1" applyFill="1" applyBorder="1" applyAlignment="1">
      <alignment horizontal="center" vertical="center"/>
      <protection/>
    </xf>
    <xf numFmtId="3" fontId="23" fillId="0" borderId="27" xfId="97" applyNumberFormat="1" applyFont="1" applyBorder="1" applyAlignment="1">
      <alignment vertical="center"/>
      <protection/>
    </xf>
    <xf numFmtId="0" fontId="24" fillId="0" borderId="127" xfId="97" applyFont="1" applyBorder="1" applyAlignment="1">
      <alignment vertical="center" wrapText="1"/>
      <protection/>
    </xf>
    <xf numFmtId="0" fontId="23" fillId="0" borderId="136" xfId="97" applyFont="1" applyBorder="1" applyAlignment="1">
      <alignment vertical="center"/>
      <protection/>
    </xf>
    <xf numFmtId="0" fontId="23" fillId="0" borderId="173" xfId="115" applyFont="1" applyFill="1" applyBorder="1" applyAlignment="1">
      <alignment horizontal="center" vertical="center"/>
      <protection/>
    </xf>
    <xf numFmtId="3" fontId="23" fillId="0" borderId="33" xfId="97" applyNumberFormat="1" applyFont="1" applyBorder="1" applyAlignment="1">
      <alignment vertical="center"/>
      <protection/>
    </xf>
    <xf numFmtId="0" fontId="24" fillId="22" borderId="54" xfId="97" applyFont="1" applyFill="1" applyBorder="1" applyAlignment="1">
      <alignment vertical="center"/>
      <protection/>
    </xf>
    <xf numFmtId="0" fontId="24" fillId="22" borderId="54" xfId="115" applyFont="1" applyFill="1" applyBorder="1" applyAlignment="1">
      <alignment horizontal="center" vertical="center"/>
      <protection/>
    </xf>
    <xf numFmtId="3" fontId="23" fillId="22" borderId="129" xfId="97" applyNumberFormat="1" applyFont="1" applyFill="1" applyBorder="1" applyAlignment="1">
      <alignment vertical="center"/>
      <protection/>
    </xf>
    <xf numFmtId="0" fontId="23" fillId="0" borderId="0" xfId="115" applyFont="1" applyFill="1" applyBorder="1" applyAlignment="1">
      <alignment vertical="center"/>
      <protection/>
    </xf>
    <xf numFmtId="3" fontId="23" fillId="0" borderId="131" xfId="97" applyNumberFormat="1" applyFont="1" applyFill="1" applyBorder="1" applyAlignment="1">
      <alignment vertical="center"/>
      <protection/>
    </xf>
    <xf numFmtId="3" fontId="23" fillId="0" borderId="27" xfId="97" applyNumberFormat="1" applyFont="1" applyFill="1" applyBorder="1" applyAlignment="1">
      <alignment vertical="center"/>
      <protection/>
    </xf>
    <xf numFmtId="3" fontId="24" fillId="22" borderId="54" xfId="97" applyNumberFormat="1" applyFont="1" applyFill="1" applyBorder="1" applyAlignment="1">
      <alignment vertical="center"/>
      <protection/>
    </xf>
    <xf numFmtId="3" fontId="24" fillId="22" borderId="129" xfId="97" applyNumberFormat="1" applyFont="1" applyFill="1" applyBorder="1" applyAlignment="1">
      <alignment vertical="center"/>
      <protection/>
    </xf>
    <xf numFmtId="0" fontId="24" fillId="0" borderId="0" xfId="97" applyFont="1" applyAlignment="1">
      <alignment vertical="center"/>
      <protection/>
    </xf>
    <xf numFmtId="3" fontId="23" fillId="0" borderId="131" xfId="97" applyNumberFormat="1" applyFont="1" applyBorder="1" applyAlignment="1">
      <alignment vertical="center"/>
      <protection/>
    </xf>
    <xf numFmtId="0" fontId="23" fillId="0" borderId="169" xfId="97" applyFont="1" applyBorder="1" applyAlignment="1">
      <alignment vertical="center"/>
      <protection/>
    </xf>
    <xf numFmtId="0" fontId="24" fillId="0" borderId="169" xfId="97" applyFont="1" applyBorder="1" applyAlignment="1">
      <alignment horizontal="center" vertical="center"/>
      <protection/>
    </xf>
    <xf numFmtId="3" fontId="23" fillId="0" borderId="24" xfId="97" applyNumberFormat="1" applyFont="1" applyFill="1" applyBorder="1" applyAlignment="1">
      <alignment vertical="center"/>
      <protection/>
    </xf>
    <xf numFmtId="0" fontId="23" fillId="0" borderId="172" xfId="97" applyFont="1" applyBorder="1" applyAlignment="1">
      <alignment vertical="center"/>
      <protection/>
    </xf>
    <xf numFmtId="0" fontId="24" fillId="0" borderId="172" xfId="97" applyFont="1" applyBorder="1" applyAlignment="1">
      <alignment horizontal="center" vertical="center"/>
      <protection/>
    </xf>
    <xf numFmtId="11" fontId="23" fillId="0" borderId="172" xfId="97" applyNumberFormat="1" applyFont="1" applyBorder="1" applyAlignment="1">
      <alignment vertical="center"/>
      <protection/>
    </xf>
    <xf numFmtId="0" fontId="23" fillId="0" borderId="0" xfId="97" applyFont="1" applyFill="1" applyAlignment="1">
      <alignment vertical="center"/>
      <protection/>
    </xf>
    <xf numFmtId="3" fontId="23" fillId="0" borderId="0" xfId="97" applyNumberFormat="1" applyFont="1" applyFill="1" applyAlignment="1">
      <alignment vertical="center"/>
      <protection/>
    </xf>
    <xf numFmtId="0" fontId="24" fillId="0" borderId="54" xfId="97" applyFont="1" applyBorder="1" applyAlignment="1">
      <alignment horizontal="center" vertical="center"/>
      <protection/>
    </xf>
    <xf numFmtId="3" fontId="24" fillId="0" borderId="54" xfId="97" applyNumberFormat="1" applyFont="1" applyFill="1" applyBorder="1" applyAlignment="1">
      <alignment vertical="center"/>
      <protection/>
    </xf>
    <xf numFmtId="3" fontId="24" fillId="0" borderId="0" xfId="97" applyNumberFormat="1" applyFont="1" applyAlignment="1">
      <alignment vertical="center"/>
      <protection/>
    </xf>
    <xf numFmtId="0" fontId="23" fillId="0" borderId="169" xfId="97" applyFont="1" applyBorder="1" applyAlignment="1">
      <alignment horizontal="center" vertical="center"/>
      <protection/>
    </xf>
    <xf numFmtId="0" fontId="23" fillId="0" borderId="26" xfId="97" applyFont="1" applyBorder="1" applyAlignment="1">
      <alignment vertical="center"/>
      <protection/>
    </xf>
    <xf numFmtId="0" fontId="23" fillId="0" borderId="174" xfId="97" applyFont="1" applyBorder="1" applyAlignment="1">
      <alignment horizontal="center" vertical="center"/>
      <protection/>
    </xf>
    <xf numFmtId="3" fontId="23" fillId="0" borderId="174" xfId="97" applyNumberFormat="1" applyFont="1" applyFill="1" applyBorder="1" applyAlignment="1">
      <alignment vertical="center"/>
      <protection/>
    </xf>
    <xf numFmtId="0" fontId="24" fillId="0" borderId="40" xfId="97" applyFont="1" applyBorder="1" applyAlignment="1">
      <alignment vertical="center"/>
      <protection/>
    </xf>
    <xf numFmtId="0" fontId="24" fillId="0" borderId="53" xfId="97" applyFont="1" applyBorder="1" applyAlignment="1">
      <alignment horizontal="center" vertical="center"/>
      <protection/>
    </xf>
    <xf numFmtId="3" fontId="24" fillId="0" borderId="53" xfId="97" applyNumberFormat="1" applyFont="1" applyFill="1" applyBorder="1" applyAlignment="1">
      <alignment vertical="center"/>
      <protection/>
    </xf>
    <xf numFmtId="3" fontId="24" fillId="0" borderId="0" xfId="97" applyNumberFormat="1" applyFont="1" applyBorder="1" applyAlignment="1">
      <alignment vertical="center"/>
      <protection/>
    </xf>
    <xf numFmtId="0" fontId="24" fillId="0" borderId="0" xfId="97" applyFont="1" applyBorder="1" applyAlignment="1">
      <alignment vertical="center"/>
      <protection/>
    </xf>
    <xf numFmtId="0" fontId="24" fillId="22" borderId="127" xfId="97" applyFont="1" applyFill="1" applyBorder="1" applyAlignment="1">
      <alignment vertical="center"/>
      <protection/>
    </xf>
    <xf numFmtId="0" fontId="23" fillId="0" borderId="0" xfId="114" applyFont="1" applyFill="1" applyBorder="1" applyAlignment="1">
      <alignment vertical="center"/>
      <protection/>
    </xf>
    <xf numFmtId="3" fontId="27" fillId="0" borderId="0" xfId="113" applyNumberFormat="1" applyFont="1" applyAlignment="1">
      <alignment vertical="top"/>
      <protection/>
    </xf>
    <xf numFmtId="0" fontId="27" fillId="0" borderId="0" xfId="113" applyFont="1" applyAlignment="1">
      <alignment horizontal="right" vertical="top"/>
      <protection/>
    </xf>
    <xf numFmtId="0" fontId="27" fillId="0" borderId="0" xfId="113" applyFont="1" applyAlignment="1">
      <alignment vertical="top"/>
      <protection/>
    </xf>
    <xf numFmtId="0" fontId="27" fillId="0" borderId="0" xfId="113" applyFont="1">
      <alignment/>
      <protection/>
    </xf>
    <xf numFmtId="3" fontId="25" fillId="0" borderId="54" xfId="113" applyNumberFormat="1" applyFont="1" applyBorder="1" applyAlignment="1">
      <alignment horizontal="center"/>
      <protection/>
    </xf>
    <xf numFmtId="0" fontId="27" fillId="0" borderId="43" xfId="113" applyFont="1" applyBorder="1" applyAlignment="1">
      <alignment horizontal="center"/>
      <protection/>
    </xf>
    <xf numFmtId="3" fontId="27" fillId="0" borderId="175" xfId="113" applyNumberFormat="1" applyFont="1" applyBorder="1" applyAlignment="1">
      <alignment horizontal="center"/>
      <protection/>
    </xf>
    <xf numFmtId="3" fontId="27" fillId="0" borderId="74" xfId="113" applyNumberFormat="1" applyFont="1" applyBorder="1" applyAlignment="1">
      <alignment horizontal="center"/>
      <protection/>
    </xf>
    <xf numFmtId="0" fontId="27" fillId="0" borderId="118" xfId="113" applyFont="1" applyBorder="1" applyAlignment="1">
      <alignment horizontal="center"/>
      <protection/>
    </xf>
    <xf numFmtId="0" fontId="27" fillId="0" borderId="26" xfId="113" applyFont="1" applyBorder="1">
      <alignment/>
      <protection/>
    </xf>
    <xf numFmtId="0" fontId="57" fillId="0" borderId="113" xfId="113" applyFont="1" applyBorder="1">
      <alignment/>
      <protection/>
    </xf>
    <xf numFmtId="0" fontId="27" fillId="0" borderId="0" xfId="113" applyFont="1" applyBorder="1">
      <alignment/>
      <protection/>
    </xf>
    <xf numFmtId="3" fontId="27" fillId="0" borderId="71" xfId="113" applyNumberFormat="1" applyFont="1" applyBorder="1">
      <alignment/>
      <protection/>
    </xf>
    <xf numFmtId="0" fontId="27" fillId="0" borderId="34" xfId="113" applyFont="1" applyBorder="1">
      <alignment/>
      <protection/>
    </xf>
    <xf numFmtId="0" fontId="27" fillId="0" borderId="26" xfId="113" applyFont="1" applyBorder="1" applyAlignment="1">
      <alignment horizontal="center" vertical="center"/>
      <protection/>
    </xf>
    <xf numFmtId="0" fontId="27" fillId="0" borderId="113" xfId="113" applyFont="1" applyBorder="1" applyAlignment="1">
      <alignment horizontal="center" vertical="center"/>
      <protection/>
    </xf>
    <xf numFmtId="0" fontId="27" fillId="0" borderId="0" xfId="113" applyFont="1" applyBorder="1" applyAlignment="1">
      <alignment vertical="center"/>
      <protection/>
    </xf>
    <xf numFmtId="3" fontId="27" fillId="0" borderId="71" xfId="113" applyNumberFormat="1" applyFont="1" applyBorder="1" applyAlignment="1">
      <alignment horizontal="right" vertical="center"/>
      <protection/>
    </xf>
    <xf numFmtId="2" fontId="27" fillId="0" borderId="34" xfId="113" applyNumberFormat="1" applyFont="1" applyBorder="1" applyAlignment="1">
      <alignment vertical="center"/>
      <protection/>
    </xf>
    <xf numFmtId="0" fontId="27" fillId="0" borderId="0" xfId="113" applyFont="1" applyAlignment="1">
      <alignment vertical="center"/>
      <protection/>
    </xf>
    <xf numFmtId="4" fontId="27" fillId="0" borderId="34" xfId="113" applyNumberFormat="1" applyFont="1" applyBorder="1" applyAlignment="1">
      <alignment vertical="center"/>
      <protection/>
    </xf>
    <xf numFmtId="3" fontId="27" fillId="0" borderId="124" xfId="113" applyNumberFormat="1" applyFont="1" applyBorder="1" applyAlignment="1">
      <alignment horizontal="right" vertical="center"/>
      <protection/>
    </xf>
    <xf numFmtId="4" fontId="27" fillId="0" borderId="125" xfId="113" applyNumberFormat="1" applyFont="1" applyBorder="1" applyAlignment="1">
      <alignment vertical="center"/>
      <protection/>
    </xf>
    <xf numFmtId="4" fontId="27" fillId="0" borderId="23" xfId="113" applyNumberFormat="1" applyFont="1" applyBorder="1" applyAlignment="1">
      <alignment vertical="center"/>
      <protection/>
    </xf>
    <xf numFmtId="3" fontId="27" fillId="0" borderId="71" xfId="113" applyNumberFormat="1" applyFont="1" applyBorder="1" applyAlignment="1">
      <alignment vertical="center"/>
      <protection/>
    </xf>
    <xf numFmtId="3" fontId="25" fillId="0" borderId="124" xfId="113" applyNumberFormat="1" applyFont="1" applyBorder="1" applyAlignment="1">
      <alignment horizontal="right" vertical="center"/>
      <protection/>
    </xf>
    <xf numFmtId="4" fontId="25" fillId="0" borderId="125" xfId="113" applyNumberFormat="1" applyFont="1" applyBorder="1" applyAlignment="1">
      <alignment vertical="center"/>
      <protection/>
    </xf>
    <xf numFmtId="3" fontId="27" fillId="0" borderId="0" xfId="113" applyNumberFormat="1" applyFont="1">
      <alignment/>
      <protection/>
    </xf>
    <xf numFmtId="3" fontId="67" fillId="0" borderId="0" xfId="0" applyNumberFormat="1" applyFont="1" applyFill="1" applyAlignment="1">
      <alignment vertical="center"/>
    </xf>
    <xf numFmtId="0" fontId="25" fillId="0" borderId="130" xfId="0" applyFont="1" applyFill="1" applyBorder="1" applyAlignment="1">
      <alignment horizontal="center" vertical="center"/>
    </xf>
    <xf numFmtId="0" fontId="25" fillId="0" borderId="111" xfId="0" applyFont="1" applyFill="1" applyBorder="1" applyAlignment="1">
      <alignment horizontal="center" vertical="center"/>
    </xf>
    <xf numFmtId="0" fontId="27" fillId="0" borderId="111" xfId="0" applyFont="1" applyFill="1" applyBorder="1" applyAlignment="1">
      <alignment horizontal="center" vertical="center"/>
    </xf>
    <xf numFmtId="0" fontId="25" fillId="0" borderId="111" xfId="0" applyFont="1" applyFill="1" applyBorder="1" applyAlignment="1">
      <alignment vertical="center"/>
    </xf>
    <xf numFmtId="3" fontId="26" fillId="0" borderId="111" xfId="0" applyNumberFormat="1" applyFont="1" applyFill="1" applyBorder="1" applyAlignment="1">
      <alignment vertical="center"/>
    </xf>
    <xf numFmtId="3" fontId="26" fillId="0" borderId="131" xfId="0" applyNumberFormat="1" applyFont="1" applyFill="1" applyBorder="1" applyAlignment="1">
      <alignment vertical="center"/>
    </xf>
    <xf numFmtId="0" fontId="23" fillId="0" borderId="87" xfId="117" applyFont="1" applyFill="1" applyBorder="1" applyAlignment="1">
      <alignment horizontal="center"/>
      <protection/>
    </xf>
    <xf numFmtId="0" fontId="36" fillId="0" borderId="0" xfId="116" applyFont="1" applyFill="1" applyBorder="1" applyAlignment="1">
      <alignment horizontal="center"/>
      <protection/>
    </xf>
    <xf numFmtId="0" fontId="36" fillId="0" borderId="0" xfId="116" applyFont="1" applyFill="1" applyBorder="1" applyAlignment="1">
      <alignment horizontal="center" wrapText="1"/>
      <protection/>
    </xf>
    <xf numFmtId="3" fontId="52" fillId="0" borderId="0" xfId="116" applyNumberFormat="1" applyFont="1" applyFill="1" applyBorder="1" applyAlignment="1">
      <alignment/>
      <protection/>
    </xf>
    <xf numFmtId="3" fontId="41" fillId="0" borderId="0" xfId="116" applyNumberFormat="1" applyFont="1" applyFill="1" applyBorder="1" applyAlignment="1">
      <alignment/>
      <protection/>
    </xf>
    <xf numFmtId="0" fontId="36" fillId="0" borderId="0" xfId="116" applyFont="1" applyFill="1" applyBorder="1" applyAlignment="1">
      <alignment/>
      <protection/>
    </xf>
    <xf numFmtId="0" fontId="36" fillId="0" borderId="0" xfId="116" applyFont="1" applyFill="1" applyBorder="1" applyAlignment="1">
      <alignment horizontal="center" vertical="top"/>
      <protection/>
    </xf>
    <xf numFmtId="3" fontId="36" fillId="0" borderId="0" xfId="0" applyNumberFormat="1" applyFont="1" applyFill="1" applyBorder="1" applyAlignment="1">
      <alignment horizontal="center" vertical="top"/>
    </xf>
    <xf numFmtId="3" fontId="36" fillId="0" borderId="0" xfId="0" applyNumberFormat="1" applyFont="1" applyFill="1" applyBorder="1" applyAlignment="1">
      <alignment/>
    </xf>
    <xf numFmtId="3" fontId="52" fillId="0" borderId="0" xfId="116" applyNumberFormat="1" applyFont="1" applyFill="1" applyBorder="1">
      <alignment/>
      <protection/>
    </xf>
    <xf numFmtId="3" fontId="41" fillId="0" borderId="0" xfId="116" applyNumberFormat="1" applyFont="1" applyFill="1" applyBorder="1">
      <alignment/>
      <protection/>
    </xf>
    <xf numFmtId="0" fontId="36" fillId="0" borderId="0" xfId="116" applyFont="1" applyFill="1" applyBorder="1">
      <alignment/>
      <protection/>
    </xf>
    <xf numFmtId="3" fontId="27" fillId="0" borderId="29" xfId="101" applyNumberFormat="1" applyFont="1" applyFill="1" applyBorder="1" applyAlignment="1">
      <alignment horizontal="right" vertical="center"/>
      <protection/>
    </xf>
    <xf numFmtId="3" fontId="25" fillId="0" borderId="138" xfId="117" applyNumberFormat="1" applyFont="1" applyFill="1" applyBorder="1" applyAlignment="1">
      <alignment horizontal="right" vertical="center"/>
      <protection/>
    </xf>
    <xf numFmtId="3" fontId="37" fillId="0" borderId="138" xfId="117" applyNumberFormat="1" applyFont="1" applyFill="1" applyBorder="1" applyAlignment="1">
      <alignment horizontal="right" vertical="center"/>
      <protection/>
    </xf>
    <xf numFmtId="0" fontId="27" fillId="0" borderId="82" xfId="116" applyFont="1" applyFill="1" applyBorder="1" applyAlignment="1">
      <alignment vertical="center" wrapText="1"/>
      <protection/>
    </xf>
    <xf numFmtId="0" fontId="27" fillId="0" borderId="176" xfId="116" applyFont="1" applyFill="1" applyBorder="1" applyAlignment="1">
      <alignment horizontal="center" vertical="center" wrapText="1"/>
      <protection/>
    </xf>
    <xf numFmtId="3" fontId="25" fillId="0" borderId="0" xfId="117" applyNumberFormat="1" applyFont="1" applyFill="1" applyBorder="1" applyAlignment="1">
      <alignment horizontal="right" vertical="center"/>
      <protection/>
    </xf>
    <xf numFmtId="0" fontId="23" fillId="0" borderId="0" xfId="0" applyFont="1" applyFill="1" applyBorder="1" applyAlignment="1">
      <alignment horizontal="center" vertical="center"/>
    </xf>
    <xf numFmtId="3" fontId="25" fillId="0" borderId="148" xfId="117" applyNumberFormat="1" applyFont="1" applyFill="1" applyBorder="1" applyAlignment="1">
      <alignment horizontal="center" vertical="center" wrapText="1"/>
      <protection/>
    </xf>
    <xf numFmtId="3" fontId="25" fillId="0" borderId="149" xfId="117" applyNumberFormat="1" applyFont="1" applyFill="1" applyBorder="1" applyAlignment="1">
      <alignment horizontal="right" wrapText="1"/>
      <protection/>
    </xf>
    <xf numFmtId="3" fontId="25" fillId="0" borderId="150" xfId="104" applyNumberFormat="1" applyFont="1" applyFill="1" applyBorder="1" applyAlignment="1">
      <alignment horizontal="right" vertical="center"/>
      <protection/>
    </xf>
    <xf numFmtId="3" fontId="25" fillId="0" borderId="177" xfId="117" applyNumberFormat="1" applyFont="1" applyFill="1" applyBorder="1" applyAlignment="1">
      <alignment horizontal="right"/>
      <protection/>
    </xf>
    <xf numFmtId="0" fontId="25" fillId="0" borderId="150" xfId="117" applyFont="1" applyFill="1" applyBorder="1" applyAlignment="1">
      <alignment vertical="center"/>
      <protection/>
    </xf>
    <xf numFmtId="3" fontId="25" fillId="0" borderId="152" xfId="116" applyNumberFormat="1" applyFont="1" applyFill="1" applyBorder="1" applyAlignment="1">
      <alignment horizontal="right" vertical="center"/>
      <protection/>
    </xf>
    <xf numFmtId="3" fontId="22" fillId="0" borderId="62" xfId="0" applyNumberFormat="1" applyFont="1" applyFill="1" applyBorder="1" applyAlignment="1">
      <alignment horizontal="center" wrapText="1"/>
    </xf>
    <xf numFmtId="3" fontId="22" fillId="0" borderId="63" xfId="0" applyNumberFormat="1" applyFont="1" applyFill="1" applyBorder="1" applyAlignment="1">
      <alignment horizontal="center" wrapText="1"/>
    </xf>
    <xf numFmtId="3" fontId="30" fillId="0" borderId="63" xfId="0" applyNumberFormat="1" applyFont="1" applyFill="1" applyBorder="1" applyAlignment="1">
      <alignment wrapText="1"/>
    </xf>
    <xf numFmtId="3" fontId="22" fillId="0" borderId="122" xfId="0" applyNumberFormat="1" applyFont="1" applyFill="1" applyBorder="1" applyAlignment="1">
      <alignment/>
    </xf>
    <xf numFmtId="3" fontId="22" fillId="0" borderId="64" xfId="101" applyNumberFormat="1" applyFont="1" applyFill="1" applyBorder="1" applyAlignment="1">
      <alignment/>
      <protection/>
    </xf>
    <xf numFmtId="3" fontId="22" fillId="0" borderId="63" xfId="101" applyNumberFormat="1" applyFont="1" applyFill="1" applyBorder="1" applyAlignment="1">
      <alignment/>
      <protection/>
    </xf>
    <xf numFmtId="3" fontId="22" fillId="0" borderId="65" xfId="101" applyNumberFormat="1" applyFont="1" applyFill="1" applyBorder="1" applyAlignment="1">
      <alignment/>
      <protection/>
    </xf>
    <xf numFmtId="3" fontId="22" fillId="0" borderId="59" xfId="0" applyNumberFormat="1" applyFont="1" applyFill="1" applyBorder="1" applyAlignment="1">
      <alignment horizontal="center" wrapText="1"/>
    </xf>
    <xf numFmtId="3" fontId="22" fillId="0" borderId="28" xfId="0" applyNumberFormat="1" applyFont="1" applyFill="1" applyBorder="1" applyAlignment="1">
      <alignment horizontal="center" wrapText="1"/>
    </xf>
    <xf numFmtId="3" fontId="46" fillId="0" borderId="28" xfId="0" applyNumberFormat="1" applyFont="1" applyFill="1" applyBorder="1" applyAlignment="1">
      <alignment horizontal="left" wrapText="1" indent="1"/>
    </xf>
    <xf numFmtId="3" fontId="45" fillId="0" borderId="28" xfId="0" applyNumberFormat="1" applyFont="1" applyFill="1" applyBorder="1" applyAlignment="1">
      <alignment horizontal="center" wrapText="1"/>
    </xf>
    <xf numFmtId="3" fontId="45" fillId="0" borderId="28" xfId="0" applyNumberFormat="1" applyFont="1" applyFill="1" applyBorder="1" applyAlignment="1">
      <alignment/>
    </xf>
    <xf numFmtId="3" fontId="45" fillId="0" borderId="57" xfId="101" applyNumberFormat="1" applyFont="1" applyFill="1" applyBorder="1" applyAlignment="1">
      <alignment/>
      <protection/>
    </xf>
    <xf numFmtId="3" fontId="45" fillId="0" borderId="58" xfId="0" applyNumberFormat="1" applyFont="1" applyFill="1" applyBorder="1" applyAlignment="1">
      <alignment/>
    </xf>
    <xf numFmtId="3" fontId="45" fillId="0" borderId="29" xfId="0" applyNumberFormat="1" applyFont="1" applyFill="1" applyBorder="1" applyAlignment="1">
      <alignment/>
    </xf>
    <xf numFmtId="3" fontId="30" fillId="0" borderId="28" xfId="0" applyNumberFormat="1" applyFont="1" applyFill="1" applyBorder="1" applyAlignment="1">
      <alignment horizontal="left" wrapText="1" indent="1"/>
    </xf>
    <xf numFmtId="3" fontId="22" fillId="0" borderId="28" xfId="0" applyNumberFormat="1" applyFont="1" applyFill="1" applyBorder="1" applyAlignment="1">
      <alignment/>
    </xf>
    <xf numFmtId="3" fontId="22" fillId="0" borderId="57" xfId="0" applyNumberFormat="1" applyFont="1" applyFill="1" applyBorder="1" applyAlignment="1">
      <alignment/>
    </xf>
    <xf numFmtId="3" fontId="22" fillId="0" borderId="58" xfId="0" applyNumberFormat="1" applyFont="1" applyFill="1" applyBorder="1" applyAlignment="1">
      <alignment/>
    </xf>
    <xf numFmtId="3" fontId="22" fillId="0" borderId="29" xfId="0" applyNumberFormat="1" applyFont="1" applyFill="1" applyBorder="1" applyAlignment="1">
      <alignment/>
    </xf>
    <xf numFmtId="3" fontId="28" fillId="0" borderId="59" xfId="0" applyNumberFormat="1" applyFont="1" applyFill="1" applyBorder="1" applyAlignment="1">
      <alignment horizontal="center" wrapText="1"/>
    </xf>
    <xf numFmtId="3" fontId="28" fillId="0" borderId="28" xfId="0" applyNumberFormat="1" applyFont="1" applyFill="1" applyBorder="1" applyAlignment="1">
      <alignment horizontal="center" wrapText="1"/>
    </xf>
    <xf numFmtId="3" fontId="47" fillId="0" borderId="28" xfId="0" applyNumberFormat="1" applyFont="1" applyFill="1" applyBorder="1" applyAlignment="1">
      <alignment horizontal="left" wrapText="1" indent="1"/>
    </xf>
    <xf numFmtId="3" fontId="28" fillId="0" borderId="28" xfId="0" applyNumberFormat="1" applyFont="1" applyFill="1" applyBorder="1" applyAlignment="1">
      <alignment/>
    </xf>
    <xf numFmtId="3" fontId="28" fillId="0" borderId="57" xfId="0" applyNumberFormat="1" applyFont="1" applyFill="1" applyBorder="1" applyAlignment="1">
      <alignment/>
    </xf>
    <xf numFmtId="3" fontId="28" fillId="0" borderId="58" xfId="0" applyNumberFormat="1" applyFont="1" applyFill="1" applyBorder="1" applyAlignment="1">
      <alignment/>
    </xf>
    <xf numFmtId="3" fontId="28" fillId="0" borderId="29" xfId="0" applyNumberFormat="1" applyFont="1" applyFill="1" applyBorder="1" applyAlignment="1">
      <alignment/>
    </xf>
    <xf numFmtId="3" fontId="30" fillId="0" borderId="28" xfId="0" applyNumberFormat="1" applyFont="1" applyFill="1" applyBorder="1" applyAlignment="1">
      <alignment wrapText="1"/>
    </xf>
    <xf numFmtId="3" fontId="22" fillId="0" borderId="58" xfId="101" applyNumberFormat="1" applyFont="1" applyFill="1" applyBorder="1" applyAlignment="1">
      <alignment/>
      <protection/>
    </xf>
    <xf numFmtId="3" fontId="22" fillId="0" borderId="28" xfId="101" applyNumberFormat="1" applyFont="1" applyFill="1" applyBorder="1" applyAlignment="1">
      <alignment/>
      <protection/>
    </xf>
    <xf numFmtId="3" fontId="22" fillId="0" borderId="29" xfId="101" applyNumberFormat="1" applyFont="1" applyFill="1" applyBorder="1" applyAlignment="1">
      <alignment/>
      <protection/>
    </xf>
    <xf numFmtId="3" fontId="45" fillId="0" borderId="57" xfId="0" applyNumberFormat="1" applyFont="1" applyFill="1" applyBorder="1" applyAlignment="1">
      <alignment/>
    </xf>
    <xf numFmtId="3" fontId="22" fillId="0" borderId="28" xfId="0" applyNumberFormat="1" applyFont="1" applyFill="1" applyBorder="1" applyAlignment="1">
      <alignment horizontal="right"/>
    </xf>
    <xf numFmtId="3" fontId="22" fillId="0" borderId="29" xfId="0" applyNumberFormat="1" applyFont="1" applyFill="1" applyBorder="1" applyAlignment="1">
      <alignment horizontal="right"/>
    </xf>
    <xf numFmtId="3" fontId="28" fillId="0" borderId="66" xfId="0" applyNumberFormat="1" applyFont="1" applyFill="1" applyBorder="1" applyAlignment="1">
      <alignment horizontal="center" wrapText="1"/>
    </xf>
    <xf numFmtId="3" fontId="28" fillId="0" borderId="67" xfId="0" applyNumberFormat="1" applyFont="1" applyFill="1" applyBorder="1" applyAlignment="1">
      <alignment horizontal="center" wrapText="1"/>
    </xf>
    <xf numFmtId="3" fontId="47" fillId="0" borderId="67" xfId="0" applyNumberFormat="1" applyFont="1" applyFill="1" applyBorder="1" applyAlignment="1">
      <alignment horizontal="left" wrapText="1" indent="1"/>
    </xf>
    <xf numFmtId="3" fontId="28" fillId="0" borderId="67" xfId="0" applyNumberFormat="1" applyFont="1" applyFill="1" applyBorder="1" applyAlignment="1">
      <alignment/>
    </xf>
    <xf numFmtId="3" fontId="28" fillId="0" borderId="68" xfId="0" applyNumberFormat="1" applyFont="1" applyFill="1" applyBorder="1" applyAlignment="1">
      <alignment/>
    </xf>
    <xf numFmtId="3" fontId="28" fillId="0" borderId="178" xfId="0" applyNumberFormat="1" applyFont="1" applyFill="1" applyBorder="1" applyAlignment="1">
      <alignment/>
    </xf>
    <xf numFmtId="3" fontId="28" fillId="0" borderId="179" xfId="0" applyNumberFormat="1" applyFont="1" applyFill="1" applyBorder="1" applyAlignment="1">
      <alignment/>
    </xf>
    <xf numFmtId="3" fontId="58" fillId="0" borderId="0" xfId="101" applyNumberFormat="1" applyFont="1" applyFill="1" applyBorder="1" applyAlignment="1">
      <alignment horizontal="left"/>
      <protection/>
    </xf>
    <xf numFmtId="3" fontId="58" fillId="0" borderId="0" xfId="0" applyNumberFormat="1" applyFont="1" applyFill="1" applyBorder="1" applyAlignment="1">
      <alignment/>
    </xf>
    <xf numFmtId="3" fontId="58" fillId="0" borderId="0" xfId="101" applyNumberFormat="1" applyFont="1" applyFill="1">
      <alignment/>
      <protection/>
    </xf>
    <xf numFmtId="174" fontId="23" fillId="0" borderId="0" xfId="0" applyNumberFormat="1" applyFont="1" applyFill="1" applyBorder="1" applyAlignment="1">
      <alignment vertical="center"/>
    </xf>
    <xf numFmtId="3" fontId="24" fillId="0" borderId="180" xfId="0" applyNumberFormat="1" applyFont="1" applyFill="1" applyBorder="1" applyAlignment="1">
      <alignment horizontal="center" vertical="center" wrapText="1"/>
    </xf>
    <xf numFmtId="3" fontId="23" fillId="0" borderId="113" xfId="0" applyNumberFormat="1" applyFont="1" applyFill="1" applyBorder="1" applyAlignment="1">
      <alignment/>
    </xf>
    <xf numFmtId="3" fontId="24" fillId="0" borderId="181" xfId="0" applyNumberFormat="1" applyFont="1" applyFill="1" applyBorder="1" applyAlignment="1">
      <alignment horizontal="right" vertical="center"/>
    </xf>
    <xf numFmtId="3" fontId="23" fillId="0" borderId="113" xfId="0" applyNumberFormat="1" applyFont="1" applyFill="1" applyBorder="1" applyAlignment="1">
      <alignment horizontal="center" vertical="center" textRotation="180"/>
    </xf>
    <xf numFmtId="3" fontId="23" fillId="0" borderId="113" xfId="0" applyNumberFormat="1" applyFont="1" applyFill="1" applyBorder="1" applyAlignment="1">
      <alignment horizontal="right"/>
    </xf>
    <xf numFmtId="3" fontId="24" fillId="0" borderId="182" xfId="0" applyNumberFormat="1" applyFont="1" applyFill="1" applyBorder="1" applyAlignment="1">
      <alignment horizontal="right" vertical="center"/>
    </xf>
    <xf numFmtId="3" fontId="24" fillId="0" borderId="183" xfId="0" applyNumberFormat="1" applyFont="1" applyFill="1" applyBorder="1" applyAlignment="1">
      <alignment vertical="center"/>
    </xf>
    <xf numFmtId="3" fontId="23" fillId="0" borderId="113" xfId="0" applyNumberFormat="1" applyFont="1" applyFill="1" applyBorder="1" applyAlignment="1">
      <alignment vertical="center"/>
    </xf>
    <xf numFmtId="3" fontId="23" fillId="0" borderId="182" xfId="0" applyNumberFormat="1" applyFont="1" applyFill="1" applyBorder="1" applyAlignment="1">
      <alignment vertical="center"/>
    </xf>
    <xf numFmtId="3" fontId="24" fillId="0" borderId="182" xfId="0" applyNumberFormat="1" applyFont="1" applyFill="1" applyBorder="1" applyAlignment="1">
      <alignment vertical="center"/>
    </xf>
    <xf numFmtId="3" fontId="23" fillId="0" borderId="120" xfId="0" applyNumberFormat="1" applyFont="1" applyFill="1" applyBorder="1" applyAlignment="1">
      <alignment vertical="center"/>
    </xf>
    <xf numFmtId="174" fontId="23" fillId="0" borderId="0" xfId="0" applyNumberFormat="1" applyFont="1" applyFill="1" applyBorder="1" applyAlignment="1">
      <alignment/>
    </xf>
    <xf numFmtId="3" fontId="23" fillId="0" borderId="180" xfId="0" applyNumberFormat="1" applyFont="1" applyFill="1" applyBorder="1" applyAlignment="1">
      <alignment horizontal="center" vertical="center" wrapText="1"/>
    </xf>
    <xf numFmtId="3" fontId="24" fillId="0" borderId="181" xfId="0" applyNumberFormat="1" applyFont="1" applyFill="1" applyBorder="1" applyAlignment="1">
      <alignment vertical="center"/>
    </xf>
    <xf numFmtId="3" fontId="24" fillId="0" borderId="113" xfId="0" applyNumberFormat="1" applyFont="1" applyFill="1" applyBorder="1" applyAlignment="1">
      <alignment horizontal="center"/>
    </xf>
    <xf numFmtId="3" fontId="24" fillId="0" borderId="119" xfId="0" applyNumberFormat="1" applyFont="1" applyFill="1" applyBorder="1" applyAlignment="1">
      <alignment vertical="center"/>
    </xf>
    <xf numFmtId="3" fontId="24" fillId="0" borderId="113" xfId="0" applyNumberFormat="1" applyFont="1" applyFill="1" applyBorder="1" applyAlignment="1">
      <alignment vertical="center"/>
    </xf>
    <xf numFmtId="3" fontId="24" fillId="0" borderId="120" xfId="0" applyNumberFormat="1" applyFont="1" applyFill="1" applyBorder="1" applyAlignment="1">
      <alignment vertical="center"/>
    </xf>
    <xf numFmtId="0" fontId="27" fillId="0" borderId="0" xfId="113" applyFont="1" applyAlignment="1">
      <alignment/>
      <protection/>
    </xf>
    <xf numFmtId="0" fontId="23" fillId="0" borderId="0" xfId="104" applyFont="1" applyFill="1" applyBorder="1" applyAlignment="1">
      <alignment vertical="center" wrapText="1"/>
      <protection/>
    </xf>
    <xf numFmtId="0" fontId="39" fillId="0" borderId="0" xfId="103" applyFont="1" applyFill="1" applyBorder="1" applyAlignment="1">
      <alignment vertical="center" wrapText="1"/>
      <protection/>
    </xf>
    <xf numFmtId="3" fontId="27" fillId="0" borderId="0" xfId="104" applyNumberFormat="1" applyFont="1" applyFill="1" applyAlignment="1">
      <alignment/>
      <protection/>
    </xf>
    <xf numFmtId="0" fontId="27" fillId="0" borderId="0" xfId="104" applyFont="1" applyFill="1" applyAlignment="1">
      <alignment/>
      <protection/>
    </xf>
    <xf numFmtId="0" fontId="0" fillId="0" borderId="0" xfId="0" applyFill="1" applyAlignment="1">
      <alignment/>
    </xf>
    <xf numFmtId="0" fontId="23" fillId="0" borderId="0" xfId="104" applyFont="1" applyFill="1" applyAlignment="1">
      <alignment wrapText="1"/>
      <protection/>
    </xf>
    <xf numFmtId="10" fontId="23" fillId="0" borderId="0" xfId="0" applyNumberFormat="1" applyFont="1" applyFill="1" applyAlignment="1">
      <alignment vertical="center"/>
    </xf>
    <xf numFmtId="0" fontId="23" fillId="0" borderId="0" xfId="0" applyFont="1" applyFill="1" applyAlignment="1">
      <alignment horizontal="center" wrapText="1"/>
    </xf>
    <xf numFmtId="0" fontId="23" fillId="0" borderId="0" xfId="0" applyFont="1" applyFill="1" applyAlignment="1">
      <alignment horizontal="center"/>
    </xf>
    <xf numFmtId="0" fontId="24" fillId="0" borderId="40" xfId="0" applyFont="1" applyFill="1" applyBorder="1" applyAlignment="1">
      <alignment horizontal="left" vertical="top" wrapText="1"/>
    </xf>
    <xf numFmtId="0" fontId="23" fillId="0" borderId="37" xfId="0" applyFont="1" applyFill="1" applyBorder="1" applyAlignment="1">
      <alignment/>
    </xf>
    <xf numFmtId="0" fontId="23" fillId="0" borderId="41" xfId="0" applyFont="1" applyFill="1" applyBorder="1" applyAlignment="1">
      <alignment/>
    </xf>
    <xf numFmtId="0" fontId="0" fillId="0" borderId="0" xfId="0" applyAlignment="1">
      <alignment vertical="center"/>
    </xf>
    <xf numFmtId="0" fontId="23" fillId="0" borderId="0" xfId="96" applyFont="1" applyAlignment="1">
      <alignment horizontal="center" vertical="center"/>
      <protection/>
    </xf>
    <xf numFmtId="0" fontId="23" fillId="0" borderId="0" xfId="96" applyFont="1" applyFill="1" applyBorder="1" applyAlignment="1">
      <alignment horizontal="center" vertical="center"/>
      <protection/>
    </xf>
    <xf numFmtId="3" fontId="23" fillId="0" borderId="0" xfId="96" applyNumberFormat="1" applyFont="1" applyFill="1" applyBorder="1" applyAlignment="1">
      <alignment horizontal="center" vertical="center"/>
      <protection/>
    </xf>
    <xf numFmtId="0" fontId="25" fillId="0" borderId="84" xfId="96" applyFont="1" applyBorder="1" applyAlignment="1">
      <alignment horizontal="center" vertical="center"/>
      <protection/>
    </xf>
    <xf numFmtId="0" fontId="25" fillId="0" borderId="84" xfId="96" applyFont="1" applyFill="1" applyBorder="1" applyAlignment="1">
      <alignment vertical="center"/>
      <protection/>
    </xf>
    <xf numFmtId="3" fontId="25" fillId="0" borderId="84" xfId="96" applyNumberFormat="1" applyFont="1" applyFill="1" applyBorder="1" applyAlignment="1">
      <alignment vertical="center"/>
      <protection/>
    </xf>
    <xf numFmtId="0" fontId="27" fillId="0" borderId="30" xfId="96" applyFont="1" applyFill="1" applyBorder="1" applyAlignment="1">
      <alignment horizontal="left" vertical="center"/>
      <protection/>
    </xf>
    <xf numFmtId="0" fontId="25" fillId="0" borderId="84" xfId="96" applyFont="1" applyFill="1" applyBorder="1" applyAlignment="1">
      <alignment vertical="center" wrapText="1"/>
      <protection/>
    </xf>
    <xf numFmtId="0" fontId="27" fillId="0" borderId="30" xfId="96" applyFont="1" applyFill="1" applyBorder="1" applyAlignment="1">
      <alignment horizontal="left" vertical="center" wrapText="1"/>
      <protection/>
    </xf>
    <xf numFmtId="3" fontId="0" fillId="0" borderId="0" xfId="0" applyNumberFormat="1" applyAlignment="1">
      <alignment vertical="center"/>
    </xf>
    <xf numFmtId="0" fontId="25" fillId="0" borderId="184" xfId="0" applyFont="1" applyBorder="1" applyAlignment="1">
      <alignment horizontal="center"/>
    </xf>
    <xf numFmtId="0" fontId="27" fillId="0" borderId="184" xfId="0" applyFont="1" applyBorder="1" applyAlignment="1">
      <alignment horizontal="center"/>
    </xf>
    <xf numFmtId="2" fontId="25" fillId="0" borderId="185" xfId="0" applyNumberFormat="1" applyFont="1" applyBorder="1" applyAlignment="1">
      <alignment horizontal="center"/>
    </xf>
    <xf numFmtId="0" fontId="27" fillId="0" borderId="0" xfId="0" applyFont="1" applyAlignment="1">
      <alignment/>
    </xf>
    <xf numFmtId="0" fontId="25" fillId="0" borderId="186" xfId="0" applyFont="1" applyBorder="1" applyAlignment="1">
      <alignment horizontal="center" vertical="center"/>
    </xf>
    <xf numFmtId="0" fontId="27" fillId="0" borderId="186" xfId="0" applyFont="1" applyBorder="1" applyAlignment="1">
      <alignment horizontal="center" vertical="center"/>
    </xf>
    <xf numFmtId="2" fontId="25" fillId="0" borderId="187" xfId="0" applyNumberFormat="1" applyFont="1" applyBorder="1" applyAlignment="1">
      <alignment horizontal="center" vertical="center"/>
    </xf>
    <xf numFmtId="0" fontId="25" fillId="0" borderId="95" xfId="0" applyFont="1" applyBorder="1" applyAlignment="1">
      <alignment horizontal="center" vertical="top"/>
    </xf>
    <xf numFmtId="0" fontId="27" fillId="0" borderId="95" xfId="0" applyFont="1" applyBorder="1" applyAlignment="1">
      <alignment horizontal="center" vertical="top" wrapText="1"/>
    </xf>
    <xf numFmtId="2" fontId="25" fillId="0" borderId="102" xfId="0" applyNumberFormat="1" applyFont="1" applyBorder="1" applyAlignment="1">
      <alignment horizontal="center" vertical="top"/>
    </xf>
    <xf numFmtId="0" fontId="27" fillId="0" borderId="0" xfId="0" applyFont="1" applyAlignment="1">
      <alignment vertical="top"/>
    </xf>
    <xf numFmtId="0" fontId="27" fillId="0" borderId="104" xfId="0" applyFont="1" applyFill="1" applyBorder="1" applyAlignment="1">
      <alignment horizontal="justify" vertical="center" wrapText="1"/>
    </xf>
    <xf numFmtId="10" fontId="27" fillId="24" borderId="149" xfId="0" applyNumberFormat="1" applyFont="1" applyFill="1" applyBorder="1" applyAlignment="1">
      <alignment horizontal="center" vertical="center"/>
    </xf>
    <xf numFmtId="0" fontId="27" fillId="0" borderId="105" xfId="0" applyFont="1" applyFill="1" applyBorder="1" applyAlignment="1">
      <alignment horizontal="justify" vertical="center" wrapText="1"/>
    </xf>
    <xf numFmtId="10" fontId="27" fillId="0" borderId="150" xfId="0" applyNumberFormat="1" applyFont="1" applyBorder="1" applyAlignment="1">
      <alignment horizontal="center" vertical="center" wrapText="1"/>
    </xf>
    <xf numFmtId="10" fontId="27" fillId="0" borderId="150" xfId="0" applyNumberFormat="1" applyFont="1" applyBorder="1" applyAlignment="1">
      <alignment horizontal="center" vertical="center"/>
    </xf>
    <xf numFmtId="10" fontId="27" fillId="24" borderId="150" xfId="0" applyNumberFormat="1" applyFont="1" applyFill="1" applyBorder="1" applyAlignment="1">
      <alignment horizontal="center" vertical="center"/>
    </xf>
    <xf numFmtId="0" fontId="27" fillId="0" borderId="105" xfId="0" applyFont="1" applyFill="1" applyBorder="1" applyAlignment="1">
      <alignment vertical="center" wrapText="1"/>
    </xf>
    <xf numFmtId="10" fontId="27" fillId="24" borderId="150" xfId="0" applyNumberFormat="1" applyFont="1" applyFill="1" applyBorder="1" applyAlignment="1">
      <alignment horizontal="center" vertical="center" wrapText="1"/>
    </xf>
    <xf numFmtId="0" fontId="27" fillId="0" borderId="158" xfId="0" applyFont="1" applyFill="1" applyBorder="1" applyAlignment="1">
      <alignment horizontal="justify" vertical="center" wrapText="1"/>
    </xf>
    <xf numFmtId="10" fontId="27" fillId="24" borderId="168" xfId="0" applyNumberFormat="1" applyFont="1" applyFill="1" applyBorder="1" applyAlignment="1">
      <alignment horizontal="center" vertical="center"/>
    </xf>
    <xf numFmtId="3" fontId="25" fillId="0" borderId="148" xfId="0" applyNumberFormat="1" applyFont="1" applyBorder="1" applyAlignment="1" quotePrefix="1">
      <alignment horizontal="center" vertical="center"/>
    </xf>
    <xf numFmtId="0" fontId="22" fillId="0" borderId="0" xfId="113" applyFont="1" applyBorder="1" applyAlignment="1">
      <alignment horizontal="center"/>
      <protection/>
    </xf>
    <xf numFmtId="0" fontId="22" fillId="0" borderId="10" xfId="113" applyFont="1" applyBorder="1" applyAlignment="1">
      <alignment horizontal="center"/>
      <protection/>
    </xf>
    <xf numFmtId="0" fontId="22" fillId="0" borderId="0" xfId="113" applyFont="1">
      <alignment/>
      <protection/>
    </xf>
    <xf numFmtId="0" fontId="57" fillId="0" borderId="113" xfId="113" applyFont="1" applyBorder="1" applyAlignment="1">
      <alignment horizontal="left" vertical="center"/>
      <protection/>
    </xf>
    <xf numFmtId="0" fontId="23" fillId="0" borderId="0" xfId="106" applyFont="1" applyFill="1" applyAlignment="1">
      <alignment horizontal="center"/>
      <protection/>
    </xf>
    <xf numFmtId="0" fontId="24" fillId="0" borderId="0" xfId="109" applyFont="1" applyFill="1" applyAlignment="1">
      <alignment/>
      <protection/>
    </xf>
    <xf numFmtId="0" fontId="23" fillId="0" borderId="188" xfId="106" applyFont="1" applyFill="1" applyBorder="1" applyAlignment="1">
      <alignment horizontal="center" vertical="center" wrapText="1"/>
      <protection/>
    </xf>
    <xf numFmtId="0" fontId="23" fillId="0" borderId="189" xfId="106" applyFont="1" applyFill="1" applyBorder="1" applyAlignment="1">
      <alignment horizontal="center" vertical="center" wrapText="1"/>
      <protection/>
    </xf>
    <xf numFmtId="0" fontId="23" fillId="0" borderId="153" xfId="110" applyFont="1" applyFill="1" applyBorder="1" applyAlignment="1">
      <alignment horizontal="center" vertical="center"/>
      <protection/>
    </xf>
    <xf numFmtId="0" fontId="23" fillId="0" borderId="84" xfId="110" applyFont="1" applyFill="1" applyBorder="1" applyAlignment="1">
      <alignment vertical="center"/>
      <protection/>
    </xf>
    <xf numFmtId="0" fontId="23" fillId="0" borderId="84" xfId="110" applyFont="1" applyFill="1" applyBorder="1" applyAlignment="1">
      <alignment horizontal="center" vertical="center"/>
      <protection/>
    </xf>
    <xf numFmtId="14" fontId="23" fillId="0" borderId="30" xfId="110" applyNumberFormat="1" applyFont="1" applyFill="1" applyBorder="1" applyAlignment="1">
      <alignment horizontal="center" vertical="center"/>
      <protection/>
    </xf>
    <xf numFmtId="3" fontId="23" fillId="0" borderId="84" xfId="108" applyNumberFormat="1" applyFont="1" applyFill="1" applyBorder="1" applyAlignment="1">
      <alignment horizontal="right" vertical="center"/>
      <protection/>
    </xf>
    <xf numFmtId="3" fontId="23" fillId="0" borderId="154" xfId="108" applyNumberFormat="1" applyFont="1" applyFill="1" applyBorder="1" applyAlignment="1">
      <alignment horizontal="right" vertical="center"/>
      <protection/>
    </xf>
    <xf numFmtId="0" fontId="23" fillId="0" borderId="105" xfId="110" applyFont="1" applyFill="1" applyBorder="1" applyAlignment="1">
      <alignment horizontal="center" vertical="center"/>
      <protection/>
    </xf>
    <xf numFmtId="0" fontId="23" fillId="0" borderId="30" xfId="110" applyFont="1" applyFill="1" applyBorder="1" applyAlignment="1">
      <alignment vertical="center"/>
      <protection/>
    </xf>
    <xf numFmtId="0" fontId="23" fillId="0" borderId="30" xfId="110" applyFont="1" applyFill="1" applyBorder="1" applyAlignment="1">
      <alignment horizontal="center" vertical="center"/>
      <protection/>
    </xf>
    <xf numFmtId="3" fontId="23" fillId="0" borderId="30" xfId="68" applyNumberFormat="1" applyFont="1" applyFill="1" applyBorder="1" applyAlignment="1">
      <alignment horizontal="right" vertical="center"/>
    </xf>
    <xf numFmtId="0" fontId="23" fillId="0" borderId="190" xfId="110" applyFont="1" applyFill="1" applyBorder="1" applyAlignment="1">
      <alignment horizontal="center" vertical="center"/>
      <protection/>
    </xf>
    <xf numFmtId="0" fontId="23" fillId="0" borderId="191" xfId="110" applyFont="1" applyFill="1" applyBorder="1" applyAlignment="1">
      <alignment vertical="center"/>
      <protection/>
    </xf>
    <xf numFmtId="14" fontId="23" fillId="0" borderId="191" xfId="110" applyNumberFormat="1" applyFont="1" applyFill="1" applyBorder="1" applyAlignment="1">
      <alignment horizontal="center" vertical="center"/>
      <protection/>
    </xf>
    <xf numFmtId="3" fontId="23" fillId="0" borderId="191" xfId="68" applyNumberFormat="1" applyFont="1" applyFill="1" applyBorder="1" applyAlignment="1">
      <alignment horizontal="right" vertical="center"/>
    </xf>
    <xf numFmtId="3" fontId="23" fillId="0" borderId="192" xfId="68" applyNumberFormat="1" applyFont="1" applyFill="1" applyBorder="1" applyAlignment="1">
      <alignment horizontal="right" vertical="center"/>
    </xf>
    <xf numFmtId="0" fontId="24" fillId="0" borderId="155" xfId="106" applyFont="1" applyFill="1" applyBorder="1" applyAlignment="1">
      <alignment horizontal="center" vertical="center"/>
      <protection/>
    </xf>
    <xf numFmtId="0" fontId="23" fillId="0" borderId="0" xfId="106" applyFont="1" applyFill="1">
      <alignment/>
      <protection/>
    </xf>
    <xf numFmtId="3" fontId="23" fillId="0" borderId="150" xfId="68" applyNumberFormat="1" applyFont="1" applyFill="1" applyBorder="1" applyAlignment="1">
      <alignment horizontal="right" vertical="center"/>
    </xf>
    <xf numFmtId="0" fontId="23" fillId="0" borderId="0" xfId="110" applyFont="1" applyFill="1">
      <alignment/>
      <protection/>
    </xf>
    <xf numFmtId="0" fontId="23" fillId="0" borderId="0" xfId="110" applyFont="1" applyFill="1" applyAlignment="1">
      <alignment vertical="center"/>
      <protection/>
    </xf>
    <xf numFmtId="0" fontId="23" fillId="0" borderId="0" xfId="110" applyFont="1" applyFill="1" applyAlignment="1">
      <alignment horizontal="center" vertical="center"/>
      <protection/>
    </xf>
    <xf numFmtId="0" fontId="22" fillId="0" borderId="0" xfId="107" applyFont="1" applyFill="1" applyAlignment="1">
      <alignment horizontal="center"/>
      <protection/>
    </xf>
    <xf numFmtId="0" fontId="22" fillId="0" borderId="0" xfId="110" applyFont="1" applyFill="1">
      <alignment/>
      <protection/>
    </xf>
    <xf numFmtId="3" fontId="24" fillId="0" borderId="95" xfId="110" applyNumberFormat="1" applyFont="1" applyFill="1" applyBorder="1" applyAlignment="1">
      <alignment vertical="center"/>
      <protection/>
    </xf>
    <xf numFmtId="3" fontId="24" fillId="0" borderId="102" xfId="110" applyNumberFormat="1" applyFont="1" applyFill="1" applyBorder="1" applyAlignment="1">
      <alignment vertical="center"/>
      <protection/>
    </xf>
    <xf numFmtId="0" fontId="24" fillId="0" borderId="0" xfId="110" applyFont="1" applyFill="1" applyAlignment="1">
      <alignment vertical="center"/>
      <protection/>
    </xf>
    <xf numFmtId="0" fontId="24" fillId="0" borderId="0" xfId="0" applyFont="1" applyAlignment="1">
      <alignment/>
    </xf>
    <xf numFmtId="0" fontId="23" fillId="0" borderId="0" xfId="106" applyFont="1" applyFill="1" applyAlignment="1">
      <alignment horizontal="right"/>
      <protection/>
    </xf>
    <xf numFmtId="0" fontId="22" fillId="0" borderId="0" xfId="110" applyFont="1" applyFill="1" applyAlignment="1">
      <alignment horizontal="right"/>
      <protection/>
    </xf>
    <xf numFmtId="0" fontId="28" fillId="0" borderId="0" xfId="106" applyFont="1" applyFill="1" applyAlignment="1">
      <alignment horizontal="right"/>
      <protection/>
    </xf>
    <xf numFmtId="0" fontId="22" fillId="0" borderId="0" xfId="106" applyFont="1" applyFill="1" applyAlignment="1">
      <alignment horizontal="right"/>
      <protection/>
    </xf>
    <xf numFmtId="3" fontId="25" fillId="0" borderId="179" xfId="101" applyNumberFormat="1" applyFont="1" applyFill="1" applyBorder="1" applyAlignment="1">
      <alignment horizontal="right" vertical="center"/>
      <protection/>
    </xf>
    <xf numFmtId="0" fontId="28" fillId="0" borderId="0" xfId="0" applyFont="1" applyFill="1" applyBorder="1" applyAlignment="1">
      <alignment/>
    </xf>
    <xf numFmtId="3" fontId="68" fillId="0" borderId="0" xfId="0" applyNumberFormat="1" applyFont="1" applyFill="1" applyAlignment="1">
      <alignment vertical="center"/>
    </xf>
    <xf numFmtId="0" fontId="35" fillId="0" borderId="0" xfId="0" applyFont="1" applyFill="1" applyAlignment="1">
      <alignment/>
    </xf>
    <xf numFmtId="0" fontId="0" fillId="0" borderId="0" xfId="0" applyFill="1" applyAlignment="1">
      <alignment vertical="top"/>
    </xf>
    <xf numFmtId="3" fontId="25" fillId="0" borderId="19" xfId="0" applyNumberFormat="1" applyFont="1" applyFill="1" applyBorder="1" applyAlignment="1">
      <alignment horizontal="right" vertical="top"/>
    </xf>
    <xf numFmtId="3" fontId="25" fillId="0" borderId="24" xfId="0" applyNumberFormat="1" applyFont="1" applyFill="1" applyBorder="1" applyAlignment="1">
      <alignment horizontal="right" vertical="top"/>
    </xf>
    <xf numFmtId="173" fontId="23" fillId="0" borderId="71" xfId="127" applyNumberFormat="1" applyFont="1" applyBorder="1" applyAlignment="1">
      <alignment horizontal="center" vertical="center"/>
    </xf>
    <xf numFmtId="173" fontId="23" fillId="0" borderId="113" xfId="127" applyNumberFormat="1" applyFont="1" applyFill="1" applyBorder="1" applyAlignment="1">
      <alignment horizontal="center" vertical="center"/>
    </xf>
    <xf numFmtId="173" fontId="23" fillId="0" borderId="113" xfId="127" applyNumberFormat="1" applyFont="1" applyBorder="1" applyAlignment="1">
      <alignment horizontal="center" vertical="center"/>
    </xf>
    <xf numFmtId="0" fontId="23" fillId="0" borderId="12" xfId="0" applyFont="1" applyBorder="1" applyAlignment="1">
      <alignment horizontal="right" vertical="center"/>
    </xf>
    <xf numFmtId="173" fontId="23" fillId="0" borderId="34" xfId="127" applyNumberFormat="1" applyFont="1" applyBorder="1" applyAlignment="1">
      <alignment horizontal="center" vertical="center"/>
    </xf>
    <xf numFmtId="0" fontId="23" fillId="0" borderId="193" xfId="0" applyFont="1" applyBorder="1" applyAlignment="1">
      <alignment horizontal="right" vertical="center"/>
    </xf>
    <xf numFmtId="0" fontId="23" fillId="0" borderId="194" xfId="0" applyFont="1" applyBorder="1" applyAlignment="1">
      <alignment vertical="center"/>
    </xf>
    <xf numFmtId="173" fontId="23" fillId="0" borderId="194" xfId="127" applyNumberFormat="1" applyFont="1" applyBorder="1" applyAlignment="1">
      <alignment horizontal="center" vertical="center"/>
    </xf>
    <xf numFmtId="173" fontId="23" fillId="0" borderId="195" xfId="127" applyNumberFormat="1" applyFont="1" applyFill="1" applyBorder="1" applyAlignment="1">
      <alignment horizontal="center" vertical="center"/>
    </xf>
    <xf numFmtId="173" fontId="23" fillId="0" borderId="195" xfId="127" applyNumberFormat="1" applyFont="1" applyBorder="1" applyAlignment="1">
      <alignment horizontal="center" vertical="center"/>
    </xf>
    <xf numFmtId="0" fontId="23" fillId="0" borderId="50" xfId="0" applyFont="1" applyBorder="1" applyAlignment="1">
      <alignment horizontal="right" vertical="center"/>
    </xf>
    <xf numFmtId="0" fontId="23" fillId="0" borderId="10" xfId="0" applyFont="1" applyBorder="1" applyAlignment="1">
      <alignment vertical="center"/>
    </xf>
    <xf numFmtId="173" fontId="23" fillId="0" borderId="196" xfId="127" applyNumberFormat="1" applyFont="1" applyBorder="1" applyAlignment="1">
      <alignment horizontal="center" vertical="center"/>
    </xf>
    <xf numFmtId="3" fontId="27" fillId="0" borderId="0" xfId="116" applyNumberFormat="1" applyFont="1" applyFill="1" applyBorder="1" applyAlignment="1">
      <alignment vertical="top"/>
      <protection/>
    </xf>
    <xf numFmtId="3" fontId="27" fillId="0" borderId="0" xfId="116" applyNumberFormat="1" applyFont="1" applyFill="1" applyBorder="1">
      <alignment/>
      <protection/>
    </xf>
    <xf numFmtId="3" fontId="22" fillId="0" borderId="0" xfId="116" applyNumberFormat="1" applyFont="1" applyFill="1" applyBorder="1" applyAlignment="1">
      <alignment horizontal="center"/>
      <protection/>
    </xf>
    <xf numFmtId="3" fontId="23" fillId="0" borderId="79" xfId="116" applyNumberFormat="1" applyFont="1" applyFill="1" applyBorder="1" applyAlignment="1">
      <alignment horizontal="center" vertical="center" wrapText="1"/>
      <protection/>
    </xf>
    <xf numFmtId="3" fontId="27" fillId="0" borderId="80" xfId="116" applyNumberFormat="1" applyFont="1" applyFill="1" applyBorder="1">
      <alignment/>
      <protection/>
    </xf>
    <xf numFmtId="3" fontId="27" fillId="0" borderId="30" xfId="116" applyNumberFormat="1" applyFont="1" applyFill="1" applyBorder="1" applyAlignment="1">
      <alignment/>
      <protection/>
    </xf>
    <xf numFmtId="3" fontId="25" fillId="0" borderId="107" xfId="116" applyNumberFormat="1" applyFont="1" applyFill="1" applyBorder="1" applyAlignment="1">
      <alignment vertical="center"/>
      <protection/>
    </xf>
    <xf numFmtId="3" fontId="27" fillId="0" borderId="80" xfId="116" applyNumberFormat="1" applyFont="1" applyFill="1" applyBorder="1" applyAlignment="1">
      <alignment vertical="center"/>
      <protection/>
    </xf>
    <xf numFmtId="3" fontId="27" fillId="0" borderId="30" xfId="116" applyNumberFormat="1" applyFont="1" applyFill="1" applyBorder="1" applyAlignment="1">
      <alignment horizontal="right"/>
      <protection/>
    </xf>
    <xf numFmtId="3" fontId="25" fillId="0" borderId="95" xfId="116" applyNumberFormat="1" applyFont="1" applyFill="1" applyBorder="1" applyAlignment="1">
      <alignment vertical="center"/>
      <protection/>
    </xf>
    <xf numFmtId="3" fontId="36" fillId="0" borderId="0" xfId="116" applyNumberFormat="1" applyFont="1" applyFill="1" applyBorder="1" applyAlignment="1">
      <alignment/>
      <protection/>
    </xf>
    <xf numFmtId="3" fontId="36" fillId="0" borderId="0" xfId="116" applyNumberFormat="1" applyFont="1" applyFill="1" applyBorder="1">
      <alignment/>
      <protection/>
    </xf>
    <xf numFmtId="3" fontId="27" fillId="0" borderId="79" xfId="117" applyNumberFormat="1" applyFont="1" applyFill="1" applyBorder="1" applyAlignment="1">
      <alignment horizontal="center" vertical="center" wrapText="1"/>
      <protection/>
    </xf>
    <xf numFmtId="3" fontId="27" fillId="0" borderId="80" xfId="117" applyNumberFormat="1" applyFont="1" applyFill="1" applyBorder="1" applyAlignment="1">
      <alignment horizontal="right" wrapText="1"/>
      <protection/>
    </xf>
    <xf numFmtId="3" fontId="27" fillId="0" borderId="30" xfId="101" applyNumberFormat="1" applyFont="1" applyFill="1" applyBorder="1" applyAlignment="1">
      <alignment horizontal="right" vertical="center"/>
      <protection/>
    </xf>
    <xf numFmtId="3" fontId="27" fillId="0" borderId="87" xfId="117" applyNumberFormat="1" applyFont="1" applyFill="1" applyBorder="1" applyAlignment="1">
      <alignment horizontal="right"/>
      <protection/>
    </xf>
    <xf numFmtId="0" fontId="28" fillId="26" borderId="103" xfId="100" applyFont="1" applyFill="1" applyBorder="1" applyAlignment="1">
      <alignment horizontal="center" vertical="center" wrapText="1"/>
      <protection/>
    </xf>
    <xf numFmtId="0" fontId="24" fillId="26" borderId="79" xfId="100" applyFont="1" applyFill="1" applyBorder="1" applyAlignment="1">
      <alignment horizontal="center" vertical="center" wrapText="1"/>
      <protection/>
    </xf>
    <xf numFmtId="3" fontId="24" fillId="26" borderId="79" xfId="100" applyNumberFormat="1" applyFont="1" applyFill="1" applyBorder="1" applyAlignment="1">
      <alignment horizontal="center" vertical="center" wrapText="1"/>
      <protection/>
    </xf>
    <xf numFmtId="4" fontId="24" fillId="26" borderId="148" xfId="100" applyNumberFormat="1" applyFont="1" applyFill="1" applyBorder="1" applyAlignment="1">
      <alignment horizontal="center" vertical="center" wrapText="1"/>
      <protection/>
    </xf>
    <xf numFmtId="0" fontId="24" fillId="26" borderId="103" xfId="100" applyNumberFormat="1" applyFont="1" applyFill="1" applyBorder="1" applyAlignment="1">
      <alignment horizontal="center" vertical="center"/>
      <protection/>
    </xf>
    <xf numFmtId="0" fontId="24" fillId="26" borderId="79" xfId="100" applyFont="1" applyFill="1" applyBorder="1" applyAlignment="1">
      <alignment vertical="center"/>
      <protection/>
    </xf>
    <xf numFmtId="3" fontId="24" fillId="26" borderId="79" xfId="100" applyNumberFormat="1" applyFont="1" applyFill="1" applyBorder="1" applyAlignment="1">
      <alignment vertical="center"/>
      <protection/>
    </xf>
    <xf numFmtId="4" fontId="24" fillId="26" borderId="148" xfId="100" applyNumberFormat="1" applyFont="1" applyFill="1" applyBorder="1" applyAlignment="1">
      <alignment horizontal="center" vertical="center"/>
      <protection/>
    </xf>
    <xf numFmtId="0" fontId="24" fillId="26" borderId="103" xfId="100" applyFont="1" applyFill="1" applyBorder="1" applyAlignment="1">
      <alignment horizontal="center" vertical="center"/>
      <protection/>
    </xf>
    <xf numFmtId="0" fontId="24" fillId="26" borderId="79" xfId="100" applyNumberFormat="1" applyFont="1" applyFill="1" applyBorder="1" applyAlignment="1">
      <alignment vertical="center"/>
      <protection/>
    </xf>
    <xf numFmtId="4" fontId="24" fillId="26" borderId="102" xfId="100" applyNumberFormat="1" applyFont="1" applyFill="1" applyBorder="1" applyAlignment="1">
      <alignment horizontal="center" vertical="center"/>
      <protection/>
    </xf>
    <xf numFmtId="0" fontId="27" fillId="0" borderId="26" xfId="104" applyFont="1" applyFill="1" applyBorder="1" applyAlignment="1">
      <alignment horizontal="center" vertical="top"/>
      <protection/>
    </xf>
    <xf numFmtId="0" fontId="23" fillId="0" borderId="0" xfId="104" applyFont="1" applyFill="1" applyAlignment="1">
      <alignment horizontal="center" vertical="top"/>
      <protection/>
    </xf>
    <xf numFmtId="0" fontId="24" fillId="0" borderId="0" xfId="104" applyFont="1" applyFill="1" applyAlignment="1">
      <alignment horizontal="center" vertical="top"/>
      <protection/>
    </xf>
    <xf numFmtId="0" fontId="27" fillId="0" borderId="0" xfId="104" applyFont="1" applyFill="1" applyAlignment="1">
      <alignment horizontal="center" vertical="top"/>
      <protection/>
    </xf>
    <xf numFmtId="3" fontId="25" fillId="0" borderId="0" xfId="101" applyNumberFormat="1" applyFont="1" applyFill="1" applyAlignment="1">
      <alignment horizontal="center" vertical="center"/>
      <protection/>
    </xf>
    <xf numFmtId="0" fontId="36" fillId="0" borderId="0" xfId="101" applyNumberFormat="1" applyFont="1" applyFill="1" applyBorder="1" applyAlignment="1">
      <alignment horizontal="center" vertical="center"/>
      <protection/>
    </xf>
    <xf numFmtId="3" fontId="36" fillId="0" borderId="0" xfId="101" applyNumberFormat="1" applyFont="1" applyFill="1" applyAlignment="1">
      <alignment/>
      <protection/>
    </xf>
    <xf numFmtId="3" fontId="36" fillId="0" borderId="0" xfId="101" applyNumberFormat="1" applyFont="1" applyFill="1" applyAlignment="1">
      <alignment horizontal="right"/>
      <protection/>
    </xf>
    <xf numFmtId="3" fontId="23" fillId="0" borderId="0" xfId="101" applyNumberFormat="1" applyFont="1" applyFill="1" applyBorder="1" applyAlignment="1">
      <alignment horizontal="center" vertical="center" wrapText="1"/>
      <protection/>
    </xf>
    <xf numFmtId="3" fontId="23" fillId="0" borderId="0" xfId="101" applyNumberFormat="1" applyFont="1" applyFill="1" applyBorder="1" applyAlignment="1">
      <alignment horizontal="center" vertical="center"/>
      <protection/>
    </xf>
    <xf numFmtId="0" fontId="41" fillId="0" borderId="0" xfId="101" applyNumberFormat="1" applyFont="1" applyFill="1" applyBorder="1" applyAlignment="1">
      <alignment horizontal="center" vertical="center"/>
      <protection/>
    </xf>
    <xf numFmtId="3" fontId="23" fillId="0" borderId="105" xfId="101" applyNumberFormat="1" applyFont="1" applyFill="1" applyBorder="1" applyAlignment="1">
      <alignment wrapText="1"/>
      <protection/>
    </xf>
    <xf numFmtId="3" fontId="23" fillId="0" borderId="150" xfId="0" applyNumberFormat="1" applyFont="1" applyFill="1" applyBorder="1" applyAlignment="1">
      <alignment horizontal="right" wrapText="1"/>
    </xf>
    <xf numFmtId="3" fontId="24" fillId="0" borderId="105" xfId="101" applyNumberFormat="1" applyFont="1" applyFill="1" applyBorder="1" applyAlignment="1">
      <alignment wrapText="1"/>
      <protection/>
    </xf>
    <xf numFmtId="0" fontId="36" fillId="0" borderId="0" xfId="101" applyNumberFormat="1" applyFont="1" applyFill="1" applyBorder="1" applyAlignment="1">
      <alignment horizontal="center"/>
      <protection/>
    </xf>
    <xf numFmtId="3" fontId="23" fillId="0" borderId="105" xfId="101" applyNumberFormat="1" applyFont="1" applyFill="1" applyBorder="1" applyAlignment="1">
      <alignment horizontal="left" wrapText="1" indent="1"/>
      <protection/>
    </xf>
    <xf numFmtId="3" fontId="24" fillId="0" borderId="103" xfId="101" applyNumberFormat="1" applyFont="1" applyFill="1" applyBorder="1" applyAlignment="1">
      <alignment horizontal="center" vertical="center" wrapText="1"/>
      <protection/>
    </xf>
    <xf numFmtId="3" fontId="24" fillId="0" borderId="148" xfId="101" applyNumberFormat="1" applyFont="1" applyFill="1" applyBorder="1" applyAlignment="1">
      <alignment vertical="center"/>
      <protection/>
    </xf>
    <xf numFmtId="3" fontId="36" fillId="0" borderId="0" xfId="101" applyNumberFormat="1" applyFont="1" applyFill="1">
      <alignment/>
      <protection/>
    </xf>
    <xf numFmtId="3" fontId="22" fillId="0" borderId="0" xfId="101" applyNumberFormat="1" applyFont="1" applyFill="1" applyAlignment="1">
      <alignment horizontal="center" vertical="center"/>
      <protection/>
    </xf>
    <xf numFmtId="3" fontId="23" fillId="0" borderId="0" xfId="101" applyNumberFormat="1" applyFont="1" applyFill="1" applyBorder="1" applyAlignment="1">
      <alignment vertical="top" wrapText="1"/>
      <protection/>
    </xf>
    <xf numFmtId="3" fontId="24" fillId="0" borderId="0" xfId="101" applyNumberFormat="1" applyFont="1" applyFill="1" applyBorder="1">
      <alignment/>
      <protection/>
    </xf>
    <xf numFmtId="3" fontId="24" fillId="0" borderId="0" xfId="101" applyNumberFormat="1" applyFont="1" applyFill="1" applyBorder="1" applyAlignment="1">
      <alignment vertical="top" wrapText="1"/>
      <protection/>
    </xf>
    <xf numFmtId="3" fontId="23" fillId="0" borderId="0" xfId="101" applyNumberFormat="1" applyFont="1" applyFill="1" applyAlignment="1">
      <alignment vertical="top" wrapText="1"/>
      <protection/>
    </xf>
    <xf numFmtId="3" fontId="23" fillId="0" borderId="0" xfId="101" applyNumberFormat="1" applyFont="1" applyFill="1" applyBorder="1" applyAlignment="1">
      <alignment horizontal="center" vertical="top" wrapText="1"/>
      <protection/>
    </xf>
    <xf numFmtId="3" fontId="24" fillId="0" borderId="0" xfId="101" applyNumberFormat="1" applyFont="1" applyFill="1" applyBorder="1" applyAlignment="1">
      <alignment horizontal="center"/>
      <protection/>
    </xf>
    <xf numFmtId="3" fontId="24" fillId="0" borderId="0" xfId="101" applyNumberFormat="1" applyFont="1" applyFill="1" applyAlignment="1">
      <alignment vertical="top" wrapText="1"/>
      <protection/>
    </xf>
    <xf numFmtId="0" fontId="27" fillId="0" borderId="0" xfId="0" applyFont="1" applyFill="1" applyAlignment="1">
      <alignment horizontal="left"/>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3" fontId="22" fillId="0" borderId="0" xfId="101" applyNumberFormat="1" applyFont="1" applyFill="1" applyAlignment="1">
      <alignment horizontal="left" vertical="center"/>
      <protection/>
    </xf>
    <xf numFmtId="0" fontId="25" fillId="0" borderId="0" xfId="0" applyFont="1" applyFill="1" applyAlignment="1">
      <alignment horizontal="center" vertical="center" wrapText="1"/>
    </xf>
    <xf numFmtId="0" fontId="25" fillId="0" borderId="0" xfId="0" applyFont="1" applyAlignment="1">
      <alignment horizontal="center" vertical="center"/>
    </xf>
    <xf numFmtId="3" fontId="27" fillId="0" borderId="0" xfId="101" applyNumberFormat="1" applyFont="1" applyFill="1" applyAlignment="1">
      <alignment horizontal="left"/>
      <protection/>
    </xf>
    <xf numFmtId="3" fontId="25" fillId="0" borderId="0" xfId="101" applyNumberFormat="1" applyFont="1" applyFill="1" applyAlignment="1">
      <alignment horizontal="center" vertical="center"/>
      <protection/>
    </xf>
    <xf numFmtId="3" fontId="23" fillId="0" borderId="0" xfId="0" applyNumberFormat="1" applyFont="1" applyFill="1" applyAlignment="1">
      <alignment horizontal="left" vertical="center"/>
    </xf>
    <xf numFmtId="3" fontId="24" fillId="0" borderId="0" xfId="0" applyNumberFormat="1" applyFont="1" applyFill="1" applyAlignment="1">
      <alignment horizontal="center" vertical="center"/>
    </xf>
    <xf numFmtId="3" fontId="23" fillId="0" borderId="0" xfId="0" applyNumberFormat="1" applyFont="1" applyFill="1" applyAlignment="1">
      <alignment horizontal="right" vertical="center"/>
    </xf>
    <xf numFmtId="3" fontId="22" fillId="0" borderId="197" xfId="0" applyNumberFormat="1" applyFont="1" applyFill="1" applyBorder="1" applyAlignment="1">
      <alignment horizontal="center" vertical="center" textRotation="90"/>
    </xf>
    <xf numFmtId="3" fontId="22" fillId="0" borderId="193" xfId="0" applyNumberFormat="1" applyFont="1" applyFill="1" applyBorder="1" applyAlignment="1">
      <alignment horizontal="center" vertical="center" textRotation="90"/>
    </xf>
    <xf numFmtId="3" fontId="22" fillId="0" borderId="198" xfId="0" applyNumberFormat="1" applyFont="1" applyFill="1" applyBorder="1" applyAlignment="1">
      <alignment horizontal="center" vertical="center" textRotation="90"/>
    </xf>
    <xf numFmtId="0" fontId="35" fillId="0" borderId="194" xfId="0" applyFont="1" applyFill="1" applyBorder="1" applyAlignment="1">
      <alignment horizontal="center" vertical="center"/>
    </xf>
    <xf numFmtId="3" fontId="28" fillId="0" borderId="198" xfId="0" applyNumberFormat="1" applyFont="1" applyFill="1" applyBorder="1" applyAlignment="1">
      <alignment horizontal="center" vertical="center"/>
    </xf>
    <xf numFmtId="3" fontId="28" fillId="0" borderId="194" xfId="0" applyNumberFormat="1" applyFont="1" applyFill="1" applyBorder="1" applyAlignment="1">
      <alignment horizontal="center" vertical="center"/>
    </xf>
    <xf numFmtId="3" fontId="23" fillId="0" borderId="53" xfId="0" applyNumberFormat="1" applyFont="1" applyFill="1" applyBorder="1" applyAlignment="1">
      <alignment horizontal="center" vertical="center"/>
    </xf>
    <xf numFmtId="3" fontId="23" fillId="0" borderId="53" xfId="0" applyNumberFormat="1" applyFont="1" applyFill="1" applyBorder="1" applyAlignment="1">
      <alignment horizontal="center" vertical="center" wrapText="1"/>
    </xf>
    <xf numFmtId="3" fontId="23" fillId="0" borderId="199" xfId="0" applyNumberFormat="1" applyFont="1" applyFill="1" applyBorder="1" applyAlignment="1">
      <alignment horizontal="center" vertical="center" wrapText="1"/>
    </xf>
    <xf numFmtId="3" fontId="23" fillId="0" borderId="196" xfId="0" applyNumberFormat="1" applyFont="1" applyFill="1" applyBorder="1" applyAlignment="1">
      <alignment horizontal="center" vertical="center" wrapText="1"/>
    </xf>
    <xf numFmtId="3" fontId="23" fillId="0" borderId="37" xfId="111" applyNumberFormat="1" applyFont="1" applyFill="1" applyBorder="1" applyAlignment="1">
      <alignment horizontal="left"/>
      <protection/>
    </xf>
    <xf numFmtId="3" fontId="23" fillId="0" borderId="0" xfId="111" applyNumberFormat="1" applyFont="1" applyFill="1" applyBorder="1" applyAlignment="1">
      <alignment horizontal="left"/>
      <protection/>
    </xf>
    <xf numFmtId="3" fontId="23" fillId="0" borderId="22" xfId="0" applyNumberFormat="1" applyFont="1" applyFill="1" applyBorder="1" applyAlignment="1">
      <alignment horizontal="center" vertical="center" wrapText="1"/>
    </xf>
    <xf numFmtId="3" fontId="23" fillId="0" borderId="0" xfId="111" applyNumberFormat="1" applyFont="1" applyFill="1" applyBorder="1" applyAlignment="1">
      <alignment horizontal="left" wrapText="1"/>
      <protection/>
    </xf>
    <xf numFmtId="3" fontId="24" fillId="0" borderId="37" xfId="0" applyNumberFormat="1" applyFont="1" applyFill="1" applyBorder="1" applyAlignment="1">
      <alignment horizontal="left"/>
    </xf>
    <xf numFmtId="3" fontId="23" fillId="0" borderId="0" xfId="0" applyNumberFormat="1" applyFont="1" applyFill="1" applyBorder="1" applyAlignment="1">
      <alignment horizontal="left"/>
    </xf>
    <xf numFmtId="3" fontId="23" fillId="0" borderId="23" xfId="111" applyNumberFormat="1" applyFont="1" applyFill="1" applyBorder="1" applyAlignment="1">
      <alignment horizontal="left" wrapText="1"/>
      <protection/>
    </xf>
    <xf numFmtId="3" fontId="24" fillId="0" borderId="0" xfId="0" applyNumberFormat="1" applyFont="1" applyFill="1" applyBorder="1" applyAlignment="1">
      <alignment horizontal="left"/>
    </xf>
    <xf numFmtId="3" fontId="23" fillId="0" borderId="200" xfId="0" applyNumberFormat="1" applyFont="1" applyFill="1" applyBorder="1" applyAlignment="1">
      <alignment horizontal="center" vertical="center" wrapText="1"/>
    </xf>
    <xf numFmtId="3" fontId="23" fillId="0" borderId="201" xfId="0" applyNumberFormat="1" applyFont="1" applyFill="1" applyBorder="1" applyAlignment="1">
      <alignment horizontal="center" vertical="center" wrapText="1"/>
    </xf>
    <xf numFmtId="3" fontId="23" fillId="0" borderId="0" xfId="0" applyNumberFormat="1" applyFont="1" applyFill="1" applyAlignment="1">
      <alignment horizontal="right"/>
    </xf>
    <xf numFmtId="3" fontId="51" fillId="0" borderId="26" xfId="0" applyNumberFormat="1" applyFont="1" applyFill="1" applyBorder="1" applyAlignment="1">
      <alignment horizontal="left" vertical="center" wrapText="1"/>
    </xf>
    <xf numFmtId="3" fontId="51" fillId="0" borderId="0" xfId="0" applyNumberFormat="1" applyFont="1" applyFill="1" applyBorder="1" applyAlignment="1">
      <alignment horizontal="left" vertical="center" wrapText="1"/>
    </xf>
    <xf numFmtId="3" fontId="23" fillId="0" borderId="40" xfId="0" applyNumberFormat="1" applyFont="1" applyFill="1" applyBorder="1" applyAlignment="1">
      <alignment horizontal="center" vertical="center"/>
    </xf>
    <xf numFmtId="3" fontId="23" fillId="0" borderId="37" xfId="0" applyNumberFormat="1" applyFont="1" applyFill="1" applyBorder="1" applyAlignment="1">
      <alignment horizontal="center" vertical="center"/>
    </xf>
    <xf numFmtId="3" fontId="23" fillId="0" borderId="41" xfId="0" applyNumberFormat="1" applyFont="1" applyFill="1" applyBorder="1" applyAlignment="1">
      <alignment horizontal="center" vertical="center"/>
    </xf>
    <xf numFmtId="3" fontId="23" fillId="0" borderId="53" xfId="101" applyNumberFormat="1" applyFont="1" applyFill="1" applyBorder="1" applyAlignment="1">
      <alignment horizontal="center" vertical="center" wrapText="1"/>
      <protection/>
    </xf>
    <xf numFmtId="3" fontId="24" fillId="0" borderId="38" xfId="0" applyNumberFormat="1" applyFont="1" applyFill="1" applyBorder="1" applyAlignment="1">
      <alignment horizontal="left" vertical="center" wrapText="1"/>
    </xf>
    <xf numFmtId="3" fontId="51" fillId="0" borderId="26" xfId="0" applyNumberFormat="1" applyFont="1" applyFill="1" applyBorder="1" applyAlignment="1">
      <alignment horizontal="left" vertical="top" wrapText="1"/>
    </xf>
    <xf numFmtId="3" fontId="51" fillId="0" borderId="0" xfId="0" applyNumberFormat="1" applyFont="1" applyFill="1" applyBorder="1" applyAlignment="1">
      <alignment horizontal="left" vertical="top" wrapText="1"/>
    </xf>
    <xf numFmtId="3" fontId="22" fillId="0" borderId="53" xfId="0" applyNumberFormat="1" applyFont="1" applyFill="1" applyBorder="1" applyAlignment="1">
      <alignment horizontal="center" vertical="center" textRotation="90"/>
    </xf>
    <xf numFmtId="3" fontId="22" fillId="0" borderId="22" xfId="0" applyNumberFormat="1" applyFont="1" applyFill="1" applyBorder="1" applyAlignment="1">
      <alignment horizontal="center" vertical="center" textRotation="90"/>
    </xf>
    <xf numFmtId="3" fontId="28" fillId="0" borderId="53" xfId="0" applyNumberFormat="1" applyFont="1" applyFill="1" applyBorder="1" applyAlignment="1">
      <alignment horizontal="center" vertical="center"/>
    </xf>
    <xf numFmtId="3" fontId="28" fillId="0" borderId="22" xfId="0" applyNumberFormat="1" applyFont="1" applyFill="1" applyBorder="1" applyAlignment="1">
      <alignment horizontal="center" vertical="center"/>
    </xf>
    <xf numFmtId="3" fontId="22" fillId="0" borderId="53" xfId="0" applyNumberFormat="1" applyFont="1" applyFill="1" applyBorder="1" applyAlignment="1">
      <alignment horizontal="center" vertical="center" textRotation="90" wrapText="1"/>
    </xf>
    <xf numFmtId="0" fontId="35" fillId="0" borderId="22" xfId="0" applyFont="1" applyFill="1" applyBorder="1" applyAlignment="1">
      <alignment horizontal="center" vertical="center" textRotation="90" wrapText="1"/>
    </xf>
    <xf numFmtId="3" fontId="22" fillId="0" borderId="53" xfId="0" applyNumberFormat="1" applyFont="1" applyFill="1" applyBorder="1" applyAlignment="1">
      <alignment horizontal="center" vertical="center" wrapText="1"/>
    </xf>
    <xf numFmtId="3" fontId="22" fillId="0" borderId="22" xfId="0" applyNumberFormat="1" applyFont="1" applyFill="1" applyBorder="1" applyAlignment="1">
      <alignment horizontal="center" vertical="center" wrapText="1"/>
    </xf>
    <xf numFmtId="3" fontId="22" fillId="0" borderId="40" xfId="0" applyNumberFormat="1" applyFont="1" applyFill="1" applyBorder="1" applyAlignment="1">
      <alignment horizontal="center" vertical="center" wrapText="1"/>
    </xf>
    <xf numFmtId="3" fontId="22" fillId="0" borderId="25"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top"/>
    </xf>
    <xf numFmtId="3" fontId="36" fillId="0" borderId="0" xfId="0" applyNumberFormat="1" applyFont="1" applyFill="1" applyAlignment="1">
      <alignment horizontal="left" vertical="top"/>
    </xf>
    <xf numFmtId="3" fontId="24" fillId="0" borderId="202" xfId="0" applyNumberFormat="1" applyFont="1" applyFill="1" applyBorder="1" applyAlignment="1">
      <alignment horizontal="center" vertical="center"/>
    </xf>
    <xf numFmtId="3" fontId="24" fillId="0" borderId="49" xfId="0" applyNumberFormat="1" applyFont="1" applyFill="1" applyBorder="1" applyAlignment="1">
      <alignment horizontal="center" vertical="center"/>
    </xf>
    <xf numFmtId="3" fontId="51" fillId="0" borderId="26" xfId="0" applyNumberFormat="1" applyFont="1" applyFill="1" applyBorder="1" applyAlignment="1">
      <alignment horizontal="left" vertical="center"/>
    </xf>
    <xf numFmtId="3" fontId="51" fillId="0" borderId="0" xfId="0" applyNumberFormat="1" applyFont="1" applyFill="1" applyBorder="1" applyAlignment="1">
      <alignment horizontal="left" vertical="center"/>
    </xf>
    <xf numFmtId="3" fontId="23" fillId="0" borderId="63" xfId="0" applyNumberFormat="1" applyFont="1" applyFill="1" applyBorder="1" applyAlignment="1">
      <alignment horizontal="center" vertical="center"/>
    </xf>
    <xf numFmtId="3" fontId="23" fillId="0" borderId="65" xfId="0" applyNumberFormat="1" applyFont="1" applyFill="1" applyBorder="1" applyAlignment="1">
      <alignment horizontal="center" vertical="center"/>
    </xf>
    <xf numFmtId="3" fontId="58" fillId="0" borderId="0" xfId="0" applyNumberFormat="1" applyFont="1" applyFill="1" applyBorder="1" applyAlignment="1">
      <alignment horizontal="left"/>
    </xf>
    <xf numFmtId="3" fontId="27" fillId="0" borderId="0" xfId="101" applyNumberFormat="1" applyFont="1" applyFill="1" applyAlignment="1">
      <alignment horizontal="right"/>
      <protection/>
    </xf>
    <xf numFmtId="3" fontId="25" fillId="0" borderId="0" xfId="101" applyNumberFormat="1" applyFont="1" applyFill="1" applyAlignment="1">
      <alignment horizontal="center"/>
      <protection/>
    </xf>
    <xf numFmtId="3" fontId="23" fillId="0" borderId="62" xfId="101" applyNumberFormat="1" applyFont="1" applyFill="1" applyBorder="1" applyAlignment="1">
      <alignment horizontal="center" vertical="center" textRotation="90"/>
      <protection/>
    </xf>
    <xf numFmtId="3" fontId="23" fillId="0" borderId="60" xfId="101" applyNumberFormat="1" applyFont="1" applyFill="1" applyBorder="1" applyAlignment="1">
      <alignment horizontal="center" vertical="center" textRotation="90"/>
      <protection/>
    </xf>
    <xf numFmtId="3" fontId="23" fillId="0" borderId="63" xfId="101" applyNumberFormat="1" applyFont="1" applyFill="1" applyBorder="1" applyAlignment="1">
      <alignment horizontal="center" vertical="center" textRotation="90"/>
      <protection/>
    </xf>
    <xf numFmtId="3" fontId="23" fillId="0" borderId="51" xfId="101" applyNumberFormat="1" applyFont="1" applyFill="1" applyBorder="1" applyAlignment="1">
      <alignment horizontal="center" vertical="center" textRotation="90"/>
      <protection/>
    </xf>
    <xf numFmtId="0" fontId="24" fillId="0" borderId="63" xfId="101" applyFont="1" applyFill="1" applyBorder="1" applyAlignment="1">
      <alignment horizontal="center" vertical="center"/>
      <protection/>
    </xf>
    <xf numFmtId="0" fontId="24" fillId="0" borderId="51" xfId="101" applyFont="1" applyFill="1" applyBorder="1" applyAlignment="1">
      <alignment horizontal="center" vertical="center"/>
      <protection/>
    </xf>
    <xf numFmtId="3" fontId="23" fillId="0" borderId="122" xfId="101" applyNumberFormat="1" applyFont="1" applyFill="1" applyBorder="1" applyAlignment="1">
      <alignment horizontal="center" vertical="center" wrapText="1"/>
      <protection/>
    </xf>
    <xf numFmtId="3" fontId="23" fillId="0" borderId="61" xfId="101" applyNumberFormat="1" applyFont="1" applyFill="1" applyBorder="1" applyAlignment="1">
      <alignment horizontal="center" vertical="center" wrapText="1"/>
      <protection/>
    </xf>
    <xf numFmtId="3" fontId="23" fillId="0" borderId="64" xfId="101" applyNumberFormat="1" applyFont="1" applyFill="1" applyBorder="1" applyAlignment="1">
      <alignment horizontal="center" vertical="center" wrapText="1"/>
      <protection/>
    </xf>
    <xf numFmtId="3" fontId="23" fillId="0" borderId="203" xfId="101" applyNumberFormat="1" applyFont="1" applyFill="1" applyBorder="1" applyAlignment="1">
      <alignment horizontal="center" vertical="center" wrapText="1"/>
      <protection/>
    </xf>
    <xf numFmtId="3" fontId="36" fillId="0" borderId="63" xfId="0" applyNumberFormat="1" applyFont="1" applyFill="1" applyBorder="1" applyAlignment="1">
      <alignment horizontal="center" vertical="center" textRotation="90" wrapText="1"/>
    </xf>
    <xf numFmtId="0" fontId="36" fillId="0" borderId="51" xfId="0" applyFont="1" applyFill="1" applyBorder="1" applyAlignment="1">
      <alignment horizontal="center" vertical="center" textRotation="90" wrapText="1"/>
    </xf>
    <xf numFmtId="3" fontId="23" fillId="0" borderId="63" xfId="101" applyNumberFormat="1" applyFont="1" applyFill="1" applyBorder="1" applyAlignment="1">
      <alignment horizontal="center" vertical="center" wrapText="1"/>
      <protection/>
    </xf>
    <xf numFmtId="3" fontId="23" fillId="0" borderId="51" xfId="101" applyNumberFormat="1" applyFont="1" applyFill="1" applyBorder="1" applyAlignment="1">
      <alignment horizontal="center" vertical="center" wrapText="1"/>
      <protection/>
    </xf>
    <xf numFmtId="3" fontId="30" fillId="0" borderId="57" xfId="0" applyNumberFormat="1" applyFont="1" applyFill="1" applyBorder="1" applyAlignment="1">
      <alignment horizontal="left" wrapText="1"/>
    </xf>
    <xf numFmtId="3" fontId="30" fillId="0" borderId="204" xfId="0" applyNumberFormat="1" applyFont="1" applyFill="1" applyBorder="1" applyAlignment="1">
      <alignment horizontal="left" wrapText="1"/>
    </xf>
    <xf numFmtId="3" fontId="24" fillId="0" borderId="0" xfId="101" applyNumberFormat="1" applyFont="1" applyFill="1" applyAlignment="1">
      <alignment horizontal="center" vertical="center"/>
      <protection/>
    </xf>
    <xf numFmtId="0" fontId="23" fillId="0" borderId="0" xfId="101" applyFont="1" applyFill="1" applyBorder="1" applyAlignment="1">
      <alignment horizontal="right" vertical="top" wrapText="1"/>
      <protection/>
    </xf>
    <xf numFmtId="0" fontId="24" fillId="0" borderId="205" xfId="101" applyFont="1" applyFill="1" applyBorder="1" applyAlignment="1">
      <alignment horizontal="center" vertical="center" wrapText="1"/>
      <protection/>
    </xf>
    <xf numFmtId="0" fontId="24" fillId="0" borderId="206" xfId="101" applyFont="1" applyFill="1" applyBorder="1" applyAlignment="1">
      <alignment horizontal="center" vertical="center" wrapText="1"/>
      <protection/>
    </xf>
    <xf numFmtId="3" fontId="23" fillId="0" borderId="185" xfId="0" applyNumberFormat="1" applyFont="1" applyFill="1" applyBorder="1" applyAlignment="1">
      <alignment horizontal="center" vertical="center" wrapText="1"/>
    </xf>
    <xf numFmtId="3" fontId="23" fillId="0" borderId="207" xfId="0" applyNumberFormat="1" applyFont="1" applyFill="1" applyBorder="1" applyAlignment="1">
      <alignment horizontal="center" vertical="center" wrapText="1"/>
    </xf>
    <xf numFmtId="0" fontId="25" fillId="0" borderId="82" xfId="116" applyFont="1" applyFill="1" applyBorder="1" applyAlignment="1">
      <alignment horizontal="left" wrapText="1"/>
      <protection/>
    </xf>
    <xf numFmtId="0" fontId="25" fillId="0" borderId="176" xfId="116" applyFont="1" applyFill="1" applyBorder="1" applyAlignment="1">
      <alignment horizontal="left" wrapText="1"/>
      <protection/>
    </xf>
    <xf numFmtId="0" fontId="27" fillId="0" borderId="0" xfId="117" applyFont="1" applyFill="1" applyBorder="1" applyAlignment="1">
      <alignment horizontal="left" vertical="center"/>
      <protection/>
    </xf>
    <xf numFmtId="0" fontId="25" fillId="0" borderId="0" xfId="117" applyFont="1" applyFill="1" applyBorder="1" applyAlignment="1">
      <alignment horizontal="center" vertical="center"/>
      <protection/>
    </xf>
    <xf numFmtId="0" fontId="25" fillId="0" borderId="106" xfId="117" applyFont="1" applyFill="1" applyBorder="1" applyAlignment="1">
      <alignment horizontal="right" vertical="center"/>
      <protection/>
    </xf>
    <xf numFmtId="0" fontId="25" fillId="0" borderId="107" xfId="117" applyFont="1" applyFill="1" applyBorder="1" applyAlignment="1">
      <alignment horizontal="right" vertical="center"/>
      <protection/>
    </xf>
    <xf numFmtId="0" fontId="27" fillId="0" borderId="0" xfId="116" applyFont="1" applyFill="1" applyBorder="1" applyAlignment="1">
      <alignment horizontal="left" vertical="top"/>
      <protection/>
    </xf>
    <xf numFmtId="0" fontId="25" fillId="0" borderId="0" xfId="116" applyFont="1" applyFill="1" applyBorder="1" applyAlignment="1">
      <alignment horizontal="center"/>
      <protection/>
    </xf>
    <xf numFmtId="0" fontId="25" fillId="0" borderId="156" xfId="117" applyFont="1" applyFill="1" applyBorder="1" applyAlignment="1">
      <alignment horizontal="right" vertical="center"/>
      <protection/>
    </xf>
    <xf numFmtId="0" fontId="25" fillId="0" borderId="83" xfId="117" applyFont="1" applyFill="1" applyBorder="1" applyAlignment="1">
      <alignment horizontal="right" vertical="center"/>
      <protection/>
    </xf>
    <xf numFmtId="0" fontId="22" fillId="0" borderId="0" xfId="0" applyFont="1" applyFill="1" applyBorder="1" applyAlignment="1">
      <alignment horizontal="right"/>
    </xf>
    <xf numFmtId="0" fontId="22" fillId="0" borderId="10" xfId="0" applyFont="1" applyFill="1" applyBorder="1" applyAlignment="1">
      <alignment horizontal="center"/>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26" fillId="0" borderId="0" xfId="0" applyFont="1" applyFill="1" applyBorder="1" applyAlignment="1">
      <alignment horizontal="center"/>
    </xf>
    <xf numFmtId="0" fontId="26" fillId="0" borderId="0" xfId="0" applyFont="1" applyFill="1" applyBorder="1" applyAlignment="1">
      <alignment horizontal="center" vertical="top"/>
    </xf>
    <xf numFmtId="0" fontId="25" fillId="0" borderId="53" xfId="0" applyFont="1" applyFill="1" applyBorder="1" applyAlignment="1">
      <alignment horizontal="center" vertical="center"/>
    </xf>
    <xf numFmtId="0" fontId="25" fillId="0" borderId="22" xfId="0" applyFont="1" applyFill="1" applyBorder="1" applyAlignment="1">
      <alignment horizontal="center" vertical="center"/>
    </xf>
    <xf numFmtId="0" fontId="22" fillId="0" borderId="0" xfId="0" applyFont="1" applyFill="1" applyBorder="1" applyAlignment="1">
      <alignment horizont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1" xfId="0" applyFont="1" applyFill="1" applyBorder="1" applyAlignment="1">
      <alignment horizontal="center" vertical="center"/>
    </xf>
    <xf numFmtId="0" fontId="28" fillId="0" borderId="53"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5" fillId="0" borderId="127" xfId="0" applyFont="1" applyFill="1" applyBorder="1" applyAlignment="1">
      <alignment horizontal="center"/>
    </xf>
    <xf numFmtId="0" fontId="25" fillId="0" borderId="129" xfId="0" applyFont="1" applyFill="1" applyBorder="1" applyAlignment="1">
      <alignment horizontal="center"/>
    </xf>
    <xf numFmtId="0" fontId="25" fillId="0" borderId="134" xfId="104" applyFont="1" applyFill="1" applyBorder="1" applyAlignment="1">
      <alignment horizontal="center" vertical="center"/>
      <protection/>
    </xf>
    <xf numFmtId="0" fontId="25" fillId="0" borderId="31" xfId="104" applyFont="1" applyFill="1" applyBorder="1" applyAlignment="1">
      <alignment horizontal="center" vertical="center"/>
      <protection/>
    </xf>
    <xf numFmtId="0" fontId="22" fillId="0" borderId="37" xfId="104" applyFont="1" applyFill="1" applyBorder="1" applyAlignment="1">
      <alignment horizontal="left"/>
      <protection/>
    </xf>
    <xf numFmtId="0" fontId="22" fillId="0" borderId="197" xfId="104" applyFont="1" applyFill="1" applyBorder="1" applyAlignment="1">
      <alignment horizontal="center" vertical="center" textRotation="90" wrapText="1"/>
      <protection/>
    </xf>
    <xf numFmtId="0" fontId="22" fillId="0" borderId="141" xfId="104" applyFont="1" applyFill="1" applyBorder="1" applyAlignment="1">
      <alignment horizontal="center" vertical="center" textRotation="90" wrapText="1"/>
      <protection/>
    </xf>
    <xf numFmtId="0" fontId="22" fillId="0" borderId="193" xfId="104" applyFont="1" applyFill="1" applyBorder="1" applyAlignment="1">
      <alignment horizontal="center" vertical="center" textRotation="90" wrapText="1"/>
      <protection/>
    </xf>
    <xf numFmtId="0" fontId="23" fillId="0" borderId="208" xfId="104" applyFont="1" applyFill="1" applyBorder="1" applyAlignment="1">
      <alignment horizontal="center" vertical="center" wrapText="1"/>
      <protection/>
    </xf>
    <xf numFmtId="0" fontId="23" fillId="0" borderId="113" xfId="104" applyFont="1" applyFill="1" applyBorder="1" applyAlignment="1">
      <alignment horizontal="center" vertical="center" wrapText="1"/>
      <protection/>
    </xf>
    <xf numFmtId="0" fontId="23" fillId="0" borderId="195" xfId="104" applyFont="1" applyFill="1" applyBorder="1" applyAlignment="1">
      <alignment horizontal="center" vertical="center" wrapText="1"/>
      <protection/>
    </xf>
    <xf numFmtId="3" fontId="27" fillId="0" borderId="209" xfId="104" applyNumberFormat="1" applyFont="1" applyFill="1" applyBorder="1" applyAlignment="1">
      <alignment horizontal="center" vertical="center" wrapText="1"/>
      <protection/>
    </xf>
    <xf numFmtId="3" fontId="27" fillId="0" borderId="208" xfId="104" applyNumberFormat="1" applyFont="1" applyFill="1" applyBorder="1" applyAlignment="1">
      <alignment horizontal="center" vertical="center" wrapText="1"/>
      <protection/>
    </xf>
    <xf numFmtId="3" fontId="27" fillId="0" borderId="210" xfId="104" applyNumberFormat="1" applyFont="1" applyFill="1" applyBorder="1" applyAlignment="1">
      <alignment horizontal="center" vertical="center" wrapText="1"/>
      <protection/>
    </xf>
    <xf numFmtId="3" fontId="27" fillId="0" borderId="211" xfId="104" applyNumberFormat="1" applyFont="1" applyFill="1" applyBorder="1" applyAlignment="1">
      <alignment horizontal="center" vertical="center" wrapText="1"/>
      <protection/>
    </xf>
    <xf numFmtId="3" fontId="27" fillId="0" borderId="199" xfId="104" applyNumberFormat="1" applyFont="1" applyFill="1" applyBorder="1" applyAlignment="1">
      <alignment horizontal="center" vertical="center" wrapText="1"/>
      <protection/>
    </xf>
    <xf numFmtId="3" fontId="27" fillId="0" borderId="212" xfId="104" applyNumberFormat="1" applyFont="1" applyFill="1" applyBorder="1" applyAlignment="1">
      <alignment horizontal="center" vertical="center" wrapText="1"/>
      <protection/>
    </xf>
    <xf numFmtId="3" fontId="27" fillId="0" borderId="213" xfId="104" applyNumberFormat="1" applyFont="1" applyFill="1" applyBorder="1" applyAlignment="1">
      <alignment horizontal="center" vertical="center" wrapText="1"/>
      <protection/>
    </xf>
    <xf numFmtId="3" fontId="27" fillId="0" borderId="71" xfId="104" applyNumberFormat="1" applyFont="1" applyFill="1" applyBorder="1" applyAlignment="1">
      <alignment horizontal="center" vertical="center" wrapText="1"/>
      <protection/>
    </xf>
    <xf numFmtId="3" fontId="27" fillId="0" borderId="194" xfId="104" applyNumberFormat="1" applyFont="1" applyFill="1" applyBorder="1" applyAlignment="1">
      <alignment horizontal="center" vertical="center" wrapText="1"/>
      <protection/>
    </xf>
    <xf numFmtId="0" fontId="27" fillId="0" borderId="11" xfId="104" applyFont="1" applyFill="1" applyBorder="1" applyAlignment="1">
      <alignment horizontal="center" vertical="center" wrapText="1"/>
      <protection/>
    </xf>
    <xf numFmtId="0" fontId="27" fillId="0" borderId="214" xfId="104" applyFont="1" applyFill="1" applyBorder="1" applyAlignment="1">
      <alignment horizontal="center" vertical="center" wrapText="1"/>
      <protection/>
    </xf>
    <xf numFmtId="3" fontId="27" fillId="0" borderId="215" xfId="104" applyNumberFormat="1" applyFont="1" applyFill="1" applyBorder="1" applyAlignment="1">
      <alignment horizontal="center" vertical="center" wrapText="1"/>
      <protection/>
    </xf>
    <xf numFmtId="3" fontId="27" fillId="0" borderId="216" xfId="104" applyNumberFormat="1" applyFont="1" applyFill="1" applyBorder="1" applyAlignment="1">
      <alignment horizontal="center" vertical="center" wrapText="1"/>
      <protection/>
    </xf>
    <xf numFmtId="0" fontId="27" fillId="0" borderId="34" xfId="104" applyFont="1" applyFill="1" applyBorder="1" applyAlignment="1">
      <alignment horizontal="center" vertical="center" wrapText="1"/>
      <protection/>
    </xf>
    <xf numFmtId="0" fontId="27" fillId="0" borderId="196" xfId="104" applyFont="1" applyFill="1" applyBorder="1" applyAlignment="1">
      <alignment horizontal="center" vertical="center" wrapText="1"/>
      <protection/>
    </xf>
    <xf numFmtId="3" fontId="62" fillId="0" borderId="0" xfId="104" applyNumberFormat="1" applyFont="1" applyFill="1" applyAlignment="1">
      <alignment horizontal="right"/>
      <protection/>
    </xf>
    <xf numFmtId="0" fontId="26" fillId="0" borderId="0" xfId="104" applyFont="1" applyFill="1" applyAlignment="1">
      <alignment horizontal="center" vertical="center"/>
      <protection/>
    </xf>
    <xf numFmtId="0" fontId="25" fillId="0" borderId="0" xfId="104" applyFont="1" applyFill="1" applyAlignment="1">
      <alignment horizontal="center" vertical="center" wrapText="1"/>
      <protection/>
    </xf>
    <xf numFmtId="3" fontId="23" fillId="0" borderId="0" xfId="104" applyNumberFormat="1" applyFont="1" applyFill="1" applyBorder="1" applyAlignment="1">
      <alignment horizontal="right"/>
      <protection/>
    </xf>
    <xf numFmtId="0" fontId="23" fillId="0" borderId="0" xfId="104" applyFont="1" applyFill="1" applyBorder="1" applyAlignment="1">
      <alignment horizontal="center" wrapText="1"/>
      <protection/>
    </xf>
    <xf numFmtId="0" fontId="23" fillId="0" borderId="0" xfId="0" applyFont="1" applyBorder="1" applyAlignment="1">
      <alignment horizontal="left" vertical="center"/>
    </xf>
    <xf numFmtId="0" fontId="23" fillId="0" borderId="0" xfId="0" applyFont="1" applyBorder="1" applyAlignment="1">
      <alignment horizontal="right" vertical="center"/>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5" fillId="0" borderId="0" xfId="0" applyFont="1" applyFill="1" applyBorder="1" applyAlignment="1">
      <alignment horizontal="center"/>
    </xf>
    <xf numFmtId="0" fontId="23" fillId="0" borderId="0" xfId="0" applyFont="1" applyFill="1" applyBorder="1" applyAlignment="1">
      <alignment horizontal="center" vertical="top"/>
    </xf>
    <xf numFmtId="0" fontId="23" fillId="0" borderId="0" xfId="0" applyFont="1" applyFill="1" applyBorder="1" applyAlignment="1">
      <alignment horizontal="left" vertical="center"/>
    </xf>
    <xf numFmtId="0" fontId="25" fillId="0" borderId="95" xfId="106" applyFont="1" applyFill="1" applyBorder="1" applyAlignment="1">
      <alignment horizontal="left" vertical="center"/>
      <protection/>
    </xf>
    <xf numFmtId="0" fontId="24" fillId="0" borderId="0" xfId="109" applyFont="1" applyFill="1" applyAlignment="1">
      <alignment horizontal="center"/>
      <protection/>
    </xf>
    <xf numFmtId="0" fontId="22" fillId="0" borderId="0" xfId="107" applyFont="1" applyFill="1" applyBorder="1" applyAlignment="1">
      <alignment horizontal="center"/>
      <protection/>
    </xf>
    <xf numFmtId="0" fontId="23" fillId="0" borderId="217" xfId="106" applyFont="1" applyFill="1" applyBorder="1" applyAlignment="1">
      <alignment horizontal="center" vertical="center" wrapText="1"/>
      <protection/>
    </xf>
    <xf numFmtId="0" fontId="23" fillId="0" borderId="188" xfId="106" applyFont="1" applyFill="1" applyBorder="1" applyAlignment="1">
      <alignment horizontal="center" vertical="center" wrapText="1"/>
      <protection/>
    </xf>
    <xf numFmtId="0" fontId="22" fillId="0" borderId="0" xfId="0" applyFont="1" applyBorder="1" applyAlignment="1">
      <alignment horizontal="center" vertical="center"/>
    </xf>
    <xf numFmtId="0" fontId="25" fillId="0" borderId="218" xfId="0" applyFont="1" applyBorder="1" applyAlignment="1">
      <alignment horizontal="center" vertical="center"/>
    </xf>
    <xf numFmtId="0" fontId="25" fillId="0" borderId="219" xfId="0" applyFont="1" applyBorder="1" applyAlignment="1">
      <alignment horizontal="center" vertical="center"/>
    </xf>
    <xf numFmtId="0" fontId="25" fillId="0" borderId="155" xfId="0" applyFont="1" applyBorder="1" applyAlignment="1">
      <alignment horizontal="center" vertical="center"/>
    </xf>
    <xf numFmtId="0" fontId="25" fillId="0" borderId="184" xfId="0" applyFont="1" applyBorder="1" applyAlignment="1">
      <alignment horizontal="center" vertical="center" wrapText="1"/>
    </xf>
    <xf numFmtId="0" fontId="25" fillId="0" borderId="186" xfId="0" applyFont="1" applyBorder="1" applyAlignment="1">
      <alignment horizontal="center" vertical="center" wrapText="1"/>
    </xf>
    <xf numFmtId="0" fontId="25" fillId="0" borderId="95" xfId="0" applyFont="1" applyBorder="1" applyAlignment="1">
      <alignment horizontal="center" vertical="center" wrapText="1"/>
    </xf>
    <xf numFmtId="0" fontId="22" fillId="0" borderId="37" xfId="0" applyFont="1" applyBorder="1" applyAlignment="1">
      <alignment horizontal="left" vertical="center" wrapText="1"/>
    </xf>
    <xf numFmtId="0" fontId="23" fillId="0" borderId="0" xfId="0" applyFont="1" applyAlignment="1">
      <alignment horizontal="left"/>
    </xf>
    <xf numFmtId="0" fontId="25" fillId="0" borderId="127" xfId="113" applyFont="1" applyBorder="1" applyAlignment="1">
      <alignment horizontal="center" vertical="center"/>
      <protection/>
    </xf>
    <xf numFmtId="0" fontId="25" fillId="0" borderId="128" xfId="113" applyFont="1" applyBorder="1" applyAlignment="1">
      <alignment horizontal="center" vertical="center"/>
      <protection/>
    </xf>
    <xf numFmtId="0" fontId="25" fillId="0" borderId="220" xfId="113" applyFont="1" applyBorder="1" applyAlignment="1">
      <alignment horizontal="center" vertical="center"/>
      <protection/>
    </xf>
    <xf numFmtId="0" fontId="27" fillId="0" borderId="113" xfId="113" applyFont="1" applyBorder="1" applyAlignment="1">
      <alignment horizontal="left" vertical="center" wrapText="1" indent="2"/>
      <protection/>
    </xf>
    <xf numFmtId="0" fontId="64" fillId="0" borderId="0" xfId="0" applyFont="1" applyBorder="1" applyAlignment="1">
      <alignment horizontal="left" vertical="center" wrapText="1" indent="2"/>
    </xf>
    <xf numFmtId="3" fontId="25" fillId="0" borderId="53" xfId="113" applyNumberFormat="1" applyFont="1" applyBorder="1" applyAlignment="1">
      <alignment horizontal="center" vertical="center" wrapText="1"/>
      <protection/>
    </xf>
    <xf numFmtId="0" fontId="27" fillId="0" borderId="174" xfId="113" applyFont="1" applyBorder="1" applyAlignment="1">
      <alignment vertical="center"/>
      <protection/>
    </xf>
    <xf numFmtId="0" fontId="27" fillId="0" borderId="22" xfId="113" applyFont="1" applyBorder="1" applyAlignment="1">
      <alignment vertical="center"/>
      <protection/>
    </xf>
    <xf numFmtId="2" fontId="25" fillId="0" borderId="40" xfId="113" applyNumberFormat="1" applyFont="1" applyBorder="1" applyAlignment="1">
      <alignment horizontal="center" vertical="center" wrapText="1"/>
      <protection/>
    </xf>
    <xf numFmtId="2" fontId="27" fillId="0" borderId="41" xfId="113" applyNumberFormat="1" applyFont="1" applyBorder="1" applyAlignment="1">
      <alignment vertical="center" wrapText="1"/>
      <protection/>
    </xf>
    <xf numFmtId="2" fontId="27" fillId="0" borderId="26" xfId="113" applyNumberFormat="1" applyFont="1" applyBorder="1" applyAlignment="1">
      <alignment vertical="center" wrapText="1"/>
      <protection/>
    </xf>
    <xf numFmtId="2" fontId="27" fillId="0" borderId="23" xfId="113" applyNumberFormat="1" applyFont="1" applyBorder="1" applyAlignment="1">
      <alignment vertical="center" wrapText="1"/>
      <protection/>
    </xf>
    <xf numFmtId="2" fontId="27" fillId="0" borderId="25" xfId="113" applyNumberFormat="1" applyFont="1" applyBorder="1" applyAlignment="1">
      <alignment vertical="center" wrapText="1"/>
      <protection/>
    </xf>
    <xf numFmtId="2" fontId="27" fillId="0" borderId="21" xfId="113" applyNumberFormat="1" applyFont="1" applyBorder="1" applyAlignment="1">
      <alignment vertical="center" wrapText="1"/>
      <protection/>
    </xf>
    <xf numFmtId="0" fontId="27" fillId="0" borderId="53" xfId="113" applyFont="1" applyBorder="1" applyAlignment="1">
      <alignment horizontal="center" vertical="center" wrapText="1"/>
      <protection/>
    </xf>
    <xf numFmtId="0" fontId="27" fillId="0" borderId="174" xfId="113" applyFont="1" applyBorder="1" applyAlignment="1">
      <alignment horizontal="center" vertical="center" wrapText="1"/>
      <protection/>
    </xf>
    <xf numFmtId="0" fontId="27" fillId="0" borderId="22" xfId="113" applyFont="1" applyBorder="1" applyAlignment="1">
      <alignment horizontal="center" vertical="center" wrapText="1"/>
      <protection/>
    </xf>
    <xf numFmtId="3" fontId="27" fillId="0" borderId="53" xfId="113" applyNumberFormat="1" applyFont="1" applyBorder="1" applyAlignment="1">
      <alignment horizontal="center" vertical="center" wrapText="1"/>
      <protection/>
    </xf>
    <xf numFmtId="3" fontId="27" fillId="0" borderId="174" xfId="113" applyNumberFormat="1" applyFont="1" applyBorder="1" applyAlignment="1">
      <alignment horizontal="center" vertical="center" wrapText="1"/>
      <protection/>
    </xf>
    <xf numFmtId="3" fontId="27" fillId="0" borderId="22" xfId="113" applyNumberFormat="1" applyFont="1" applyBorder="1" applyAlignment="1">
      <alignment horizontal="center" vertical="center" wrapText="1"/>
      <protection/>
    </xf>
    <xf numFmtId="0" fontId="27" fillId="0" borderId="180" xfId="113" applyFont="1" applyBorder="1" applyAlignment="1">
      <alignment horizontal="center"/>
      <protection/>
    </xf>
    <xf numFmtId="0" fontId="27" fillId="0" borderId="221" xfId="113" applyFont="1" applyBorder="1" applyAlignment="1">
      <alignment horizontal="center"/>
      <protection/>
    </xf>
    <xf numFmtId="0" fontId="27" fillId="0" borderId="0" xfId="112" applyFont="1" applyAlignment="1">
      <alignment horizontal="left" vertical="top"/>
      <protection/>
    </xf>
    <xf numFmtId="0" fontId="25" fillId="0" borderId="0" xfId="113" applyFont="1" applyAlignment="1">
      <alignment horizontal="center" vertical="center" wrapText="1"/>
      <protection/>
    </xf>
    <xf numFmtId="0" fontId="27" fillId="0" borderId="0" xfId="113" applyFont="1" applyAlignment="1">
      <alignment vertical="center" wrapText="1"/>
      <protection/>
    </xf>
    <xf numFmtId="0" fontId="25" fillId="0" borderId="0" xfId="113" applyFont="1" applyAlignment="1">
      <alignment horizontal="center"/>
      <protection/>
    </xf>
    <xf numFmtId="0" fontId="27" fillId="0" borderId="0" xfId="113" applyFont="1" applyAlignment="1">
      <alignment/>
      <protection/>
    </xf>
    <xf numFmtId="0" fontId="25" fillId="0" borderId="0" xfId="113" applyFont="1" applyAlignment="1">
      <alignment horizontal="center" vertical="top"/>
      <protection/>
    </xf>
    <xf numFmtId="0" fontId="27" fillId="0" borderId="0" xfId="113" applyFont="1" applyAlignment="1">
      <alignment vertical="top"/>
      <protection/>
    </xf>
    <xf numFmtId="0" fontId="31" fillId="0" borderId="0" xfId="113" applyFont="1" applyBorder="1" applyAlignment="1">
      <alignment horizontal="center" vertical="top"/>
      <protection/>
    </xf>
    <xf numFmtId="0" fontId="27" fillId="0" borderId="0" xfId="113" applyFont="1" applyBorder="1" applyAlignment="1">
      <alignment horizontal="center" vertical="top"/>
      <protection/>
    </xf>
    <xf numFmtId="0" fontId="22" fillId="0" borderId="10" xfId="113" applyFont="1" applyBorder="1" applyAlignment="1">
      <alignment horizontal="center"/>
      <protection/>
    </xf>
    <xf numFmtId="0" fontId="22" fillId="0" borderId="0" xfId="0" applyFont="1" applyFill="1" applyAlignment="1">
      <alignment horizontal="left" vertical="top"/>
    </xf>
    <xf numFmtId="0" fontId="24" fillId="0" borderId="0" xfId="100" applyFont="1" applyFill="1" applyBorder="1" applyAlignment="1">
      <alignment horizontal="center"/>
      <protection/>
    </xf>
    <xf numFmtId="0" fontId="24" fillId="0" borderId="0" xfId="100" applyFont="1" applyFill="1" applyBorder="1" applyAlignment="1">
      <alignment horizontal="center" vertical="center"/>
      <protection/>
    </xf>
    <xf numFmtId="0" fontId="29" fillId="0" borderId="0" xfId="100" applyFont="1" applyFill="1" applyBorder="1" applyAlignment="1">
      <alignment horizontal="center" vertical="center"/>
      <protection/>
    </xf>
    <xf numFmtId="0" fontId="24" fillId="0" borderId="0" xfId="100" applyFont="1" applyBorder="1" applyAlignment="1">
      <alignment horizontal="center"/>
      <protection/>
    </xf>
    <xf numFmtId="0" fontId="24" fillId="0" borderId="0" xfId="100" applyFont="1" applyBorder="1" applyAlignment="1">
      <alignment horizontal="center" vertical="center"/>
      <protection/>
    </xf>
    <xf numFmtId="0" fontId="24" fillId="0" borderId="130" xfId="115" applyFont="1" applyFill="1" applyBorder="1" applyAlignment="1">
      <alignment horizontal="center" vertical="center"/>
      <protection/>
    </xf>
    <xf numFmtId="0" fontId="24" fillId="0" borderId="136" xfId="115" applyFont="1" applyFill="1" applyBorder="1" applyAlignment="1">
      <alignment horizontal="center" vertical="center"/>
      <protection/>
    </xf>
    <xf numFmtId="0" fontId="24" fillId="0" borderId="171" xfId="115" applyFont="1" applyFill="1" applyBorder="1" applyAlignment="1">
      <alignment horizontal="center" vertical="center" wrapText="1"/>
      <protection/>
    </xf>
    <xf numFmtId="0" fontId="24" fillId="0" borderId="173" xfId="115" applyFont="1" applyFill="1" applyBorder="1" applyAlignment="1">
      <alignment horizontal="center" vertical="center"/>
      <protection/>
    </xf>
    <xf numFmtId="3" fontId="24" fillId="0" borderId="53" xfId="115" applyNumberFormat="1" applyFont="1" applyFill="1" applyBorder="1" applyAlignment="1">
      <alignment horizontal="center" vertical="center" wrapText="1"/>
      <protection/>
    </xf>
    <xf numFmtId="3" fontId="24" fillId="0" borderId="22" xfId="115" applyNumberFormat="1" applyFont="1" applyFill="1" applyBorder="1" applyAlignment="1">
      <alignment horizontal="center" vertical="center" wrapText="1"/>
      <protection/>
    </xf>
    <xf numFmtId="0" fontId="24" fillId="26" borderId="40" xfId="97" applyFont="1" applyFill="1" applyBorder="1" applyAlignment="1">
      <alignment horizontal="center" vertical="center"/>
      <protection/>
    </xf>
    <xf numFmtId="0" fontId="24" fillId="26" borderId="37" xfId="97" applyFont="1" applyFill="1" applyBorder="1" applyAlignment="1">
      <alignment horizontal="center" vertical="center"/>
      <protection/>
    </xf>
    <xf numFmtId="0" fontId="24" fillId="26" borderId="41" xfId="97" applyFont="1" applyFill="1" applyBorder="1" applyAlignment="1">
      <alignment horizontal="center" vertical="center"/>
      <protection/>
    </xf>
    <xf numFmtId="0" fontId="24" fillId="26" borderId="25" xfId="97" applyFont="1" applyFill="1" applyBorder="1" applyAlignment="1">
      <alignment horizontal="center" vertical="center"/>
      <protection/>
    </xf>
    <xf numFmtId="0" fontId="24" fillId="26" borderId="10" xfId="97" applyFont="1" applyFill="1" applyBorder="1" applyAlignment="1">
      <alignment horizontal="center" vertical="center"/>
      <protection/>
    </xf>
    <xf numFmtId="0" fontId="24" fillId="26" borderId="21" xfId="97" applyFont="1" applyFill="1" applyBorder="1" applyAlignment="1">
      <alignment horizontal="center" vertical="center"/>
      <protection/>
    </xf>
    <xf numFmtId="3" fontId="24" fillId="0" borderId="131" xfId="115" applyNumberFormat="1" applyFont="1" applyFill="1" applyBorder="1" applyAlignment="1">
      <alignment horizontal="center" vertical="center" wrapText="1"/>
      <protection/>
    </xf>
    <xf numFmtId="3" fontId="24" fillId="0" borderId="33" xfId="115" applyNumberFormat="1" applyFont="1" applyFill="1" applyBorder="1" applyAlignment="1">
      <alignment horizontal="center" vertical="center"/>
      <protection/>
    </xf>
    <xf numFmtId="0" fontId="24" fillId="26" borderId="127" xfId="97" applyFont="1" applyFill="1" applyBorder="1" applyAlignment="1">
      <alignment horizontal="center" vertical="center"/>
      <protection/>
    </xf>
    <xf numFmtId="0" fontId="24" fillId="26" borderId="128" xfId="97" applyFont="1" applyFill="1" applyBorder="1" applyAlignment="1">
      <alignment horizontal="center" vertical="center"/>
      <protection/>
    </xf>
    <xf numFmtId="0" fontId="24" fillId="26" borderId="129" xfId="97" applyFont="1" applyFill="1" applyBorder="1" applyAlignment="1">
      <alignment horizontal="center" vertical="center"/>
      <protection/>
    </xf>
    <xf numFmtId="0" fontId="24" fillId="0" borderId="171" xfId="115" applyFont="1" applyFill="1" applyBorder="1" applyAlignment="1">
      <alignment horizontal="center" vertical="center"/>
      <protection/>
    </xf>
  </cellXfs>
  <cellStyles count="11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Ezres 3" xfId="71"/>
    <cellStyle name="Ezres 4" xfId="72"/>
    <cellStyle name="Ezres 5" xfId="73"/>
    <cellStyle name="Figyelmeztetés" xfId="74"/>
    <cellStyle name="Good" xfId="75"/>
    <cellStyle name="Heading 1" xfId="76"/>
    <cellStyle name="Heading 2" xfId="77"/>
    <cellStyle name="Heading 3" xfId="78"/>
    <cellStyle name="Heading 4" xfId="79"/>
    <cellStyle name="Hyperlink" xfId="80"/>
    <cellStyle name="Hivatkozott cella" xfId="81"/>
    <cellStyle name="Input" xfId="82"/>
    <cellStyle name="Jegyzet" xfId="83"/>
    <cellStyle name="Jelölőszín (1)" xfId="84"/>
    <cellStyle name="Jelölőszín (2)" xfId="85"/>
    <cellStyle name="Jelölőszín (3)" xfId="86"/>
    <cellStyle name="Jelölőszín (4)" xfId="87"/>
    <cellStyle name="Jelölőszín (5)" xfId="88"/>
    <cellStyle name="Jelölőszín (6)" xfId="89"/>
    <cellStyle name="Jó" xfId="90"/>
    <cellStyle name="Kimenet" xfId="91"/>
    <cellStyle name="Followed Hyperlink" xfId="92"/>
    <cellStyle name="Linked Cell" xfId="93"/>
    <cellStyle name="Magyarázó szöveg" xfId="94"/>
    <cellStyle name="Neutral" xfId="95"/>
    <cellStyle name="Normál 2" xfId="96"/>
    <cellStyle name="Normál 3" xfId="97"/>
    <cellStyle name="Normál 4" xfId="98"/>
    <cellStyle name="Normál 5" xfId="99"/>
    <cellStyle name="Normál_08_A_rszámadás 6.4. sz. mellékletek vagyonkimutatás 2" xfId="100"/>
    <cellStyle name="Normál_2007.évi konc. összefoglaló bevétel 2" xfId="101"/>
    <cellStyle name="Normál_Beruházási tábla 2007" xfId="102"/>
    <cellStyle name="Normál_eu tábla javított" xfId="103"/>
    <cellStyle name="Normál_EU-s tábla kv-hez" xfId="104"/>
    <cellStyle name="Normál_fejlesztesi hitel" xfId="105"/>
    <cellStyle name="Normál_Hitel tábla 2012 terv" xfId="106"/>
    <cellStyle name="Normál_Hitel tábla 2012 terv (2)" xfId="107"/>
    <cellStyle name="Normál_hitelállomány07_12" xfId="108"/>
    <cellStyle name="Normál_Hitel-beszámoló melléklete" xfId="109"/>
    <cellStyle name="Normál_hiteltörl költségvetés 2014" xfId="110"/>
    <cellStyle name="Normál_Intézményi bevétel-kiadás 2" xfId="111"/>
    <cellStyle name="Normál_Kimutatás Közvetett tám." xfId="112"/>
    <cellStyle name="Normál_Kimutatás Közvetett tám. 2" xfId="113"/>
    <cellStyle name="Normál_minta 2" xfId="114"/>
    <cellStyle name="Normál_vagyonkimutatás" xfId="115"/>
    <cellStyle name="Normál_Városfejlesztési Iroda - 2008. kv. tervezés" xfId="116"/>
    <cellStyle name="Normál_Városfejlesztési Iroda - 2008. kv. tervezés_2014.évi eredeti előirányzat 2" xfId="117"/>
    <cellStyle name="Normál_Városfejlesztési Iroda - 2008. kv. tervezés_Koltsegvetes_modositas_aprilis_tablazatai" xfId="118"/>
    <cellStyle name="Note" xfId="119"/>
    <cellStyle name="Output" xfId="120"/>
    <cellStyle name="Összesen" xfId="121"/>
    <cellStyle name="Currency" xfId="122"/>
    <cellStyle name="Currency [0]" xfId="123"/>
    <cellStyle name="Rossz" xfId="124"/>
    <cellStyle name="Semleges" xfId="125"/>
    <cellStyle name="Számítás" xfId="126"/>
    <cellStyle name="Percent" xfId="127"/>
    <cellStyle name="Százalék 2" xfId="128"/>
    <cellStyle name="Százalék 3" xfId="129"/>
    <cellStyle name="Title" xfId="130"/>
    <cellStyle name="Total" xfId="131"/>
    <cellStyle name="Warning Text"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ckert.szilvia\AppData\Local\Microsoft\Windows\Temporary%20Internet%20Files\Content.Outlook\W6HV7THO\Koltsegvetes_modositas_juniu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gyimesine\Documents\2013\K&#246;zgy&#369;l&#233;s\2013.%20Besz&#225;mol&#243;%20Int&#233;zm&#233;nyi%20m&#233;rleg%20t&#225;bl&#225;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di\K&#246;zgy&#369;l&#233;s\El&#337;terjeszt&#233;s\2014\05_&#193;prilis_24\2013.%20Besz&#225;mol&#243;%20Int&#233;zm&#233;nyi%20m&#233;rleg%20t&#225;bl&#225;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zpucsek\AppData\Local\Temp\1412kr_1_19_mellekl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zabina\Csal&#225;dseg&#237;t&#337;%20&#233;s%20Gyermekj&#243;l&#233;ti%20Alapszolg&#225;ltat&#225;si%20Int&#233;zm&#233;nyfenntart&#243;%20T&#225;rsul&#225;s\2015.%20&#233;vi%20besz&#225;mol&#243;_2016.04\CsGyIT_2015_evi_zarszamadas_mellekl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ki"/>
      <sheetName val="5.Önk.műk."/>
      <sheetName val="6.Beruh."/>
      <sheetName val="7.Felúj."/>
      <sheetName val="8.Mérleg"/>
      <sheetName val="9.Létszám"/>
      <sheetName val="10.képv"/>
    </sheetNames>
    <sheetDataSet>
      <sheetData sheetId="1">
        <row r="9">
          <cell r="J9">
            <v>2950575</v>
          </cell>
        </row>
        <row r="15">
          <cell r="J15">
            <v>84306</v>
          </cell>
        </row>
        <row r="16">
          <cell r="J16">
            <v>5845000</v>
          </cell>
        </row>
        <row r="26">
          <cell r="J26">
            <v>430110</v>
          </cell>
        </row>
        <row r="30">
          <cell r="J30">
            <v>1082274</v>
          </cell>
        </row>
        <row r="34">
          <cell r="J34">
            <v>1867624</v>
          </cell>
        </row>
        <row r="40">
          <cell r="J40">
            <v>500000</v>
          </cell>
        </row>
        <row r="42">
          <cell r="J42">
            <v>2289</v>
          </cell>
        </row>
        <row r="52">
          <cell r="M52">
            <v>1535072</v>
          </cell>
        </row>
        <row r="56">
          <cell r="J56">
            <v>450000</v>
          </cell>
        </row>
        <row r="58">
          <cell r="J58">
            <v>650000</v>
          </cell>
          <cell r="M58">
            <v>650000</v>
          </cell>
        </row>
      </sheetData>
      <sheetData sheetId="2">
        <row r="11">
          <cell r="J11">
            <v>64149</v>
          </cell>
        </row>
        <row r="12">
          <cell r="J12">
            <v>6132</v>
          </cell>
        </row>
        <row r="16">
          <cell r="J16">
            <v>156619</v>
          </cell>
        </row>
        <row r="20">
          <cell r="J20">
            <v>0</v>
          </cell>
        </row>
        <row r="24">
          <cell r="J24">
            <v>100000</v>
          </cell>
        </row>
        <row r="26">
          <cell r="J26">
            <v>1712579</v>
          </cell>
        </row>
        <row r="27">
          <cell r="J27">
            <v>580300</v>
          </cell>
        </row>
        <row r="28">
          <cell r="J28">
            <v>748630</v>
          </cell>
        </row>
        <row r="37">
          <cell r="J37">
            <v>51734</v>
          </cell>
        </row>
      </sheetData>
      <sheetData sheetId="4">
        <row r="417">
          <cell r="J417">
            <v>3170591</v>
          </cell>
          <cell r="K417">
            <v>864345</v>
          </cell>
          <cell r="L417">
            <v>2289142</v>
          </cell>
          <cell r="M417">
            <v>0</v>
          </cell>
          <cell r="N417">
            <v>23755</v>
          </cell>
        </row>
      </sheetData>
      <sheetData sheetId="5">
        <row r="762">
          <cell r="J762">
            <v>36038</v>
          </cell>
          <cell r="K762">
            <v>9202</v>
          </cell>
          <cell r="L762">
            <v>2797553</v>
          </cell>
          <cell r="M762">
            <v>122600</v>
          </cell>
          <cell r="N762">
            <v>1215409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ZSZ"/>
      <sheetName val="VMK"/>
      <sheetName val="Petőfi Színhá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ZSZ"/>
      <sheetName val="VMK"/>
      <sheetName val="Petőfi Színház"/>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onbe"/>
      <sheetName val="2.norm.tám.elszám."/>
      <sheetName val="3.onki"/>
      <sheetName val="4.inbe"/>
      <sheetName val="5.inki"/>
      <sheetName val="6.Önk.műk."/>
      <sheetName val="7.Beruh"/>
      <sheetName val="8.Felúj"/>
      <sheetName val="9.képv"/>
      <sheetName val="10.EU beru"/>
      <sheetName val="11.pfjel"/>
      <sheetName val="12.mérleg"/>
      <sheetName val="13.mérlegÖssz."/>
      <sheetName val="14.pm"/>
      <sheetName val="15. pe.vált."/>
      <sheetName val="16.hitel"/>
      <sheetName val="17.Üzletrész"/>
      <sheetName val="18.Közvetett tám."/>
      <sheetName val="19.Vagyonmérleg"/>
      <sheetName val="19.A"/>
      <sheetName val="Munka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ársbev"/>
      <sheetName val="2.norm"/>
      <sheetName val="3.Társki"/>
      <sheetName val="4.Inbe"/>
      <sheetName val="5.Inki"/>
      <sheetName val="6.beruh."/>
      <sheetName val="7.mérleg"/>
      <sheetName val="8.Önk.hj."/>
      <sheetName val="9.Új.Mo"/>
      <sheetName val="10.pm"/>
      <sheetName val="11.pe.vált."/>
      <sheetName val="12.Mérlegössz."/>
      <sheetName val="13.A. vagyonmérleg"/>
      <sheetName val="13.B. vagyonmérl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tabSelected="1" view="pageBreakPreview" zoomScale="80" zoomScaleSheetLayoutView="80" zoomScalePageLayoutView="0" workbookViewId="0" topLeftCell="A1">
      <selection activeCell="B1" sqref="B1:G1"/>
    </sheetView>
  </sheetViews>
  <sheetFormatPr defaultColWidth="9.00390625" defaultRowHeight="12.75"/>
  <cols>
    <col min="1" max="1" width="2.75390625" style="386" bestFit="1" customWidth="1"/>
    <col min="2" max="2" width="7.00390625" style="798" bestFit="1" customWidth="1"/>
    <col min="3" max="5" width="5.75390625" style="798" customWidth="1"/>
    <col min="6" max="6" width="56.875" style="727" customWidth="1"/>
    <col min="7" max="9" width="15.75390625" style="50" customWidth="1"/>
    <col min="10" max="10" width="9.125" style="727" customWidth="1"/>
    <col min="11" max="11" width="0" style="727" hidden="1" customWidth="1"/>
    <col min="12" max="16384" width="9.125" style="727" customWidth="1"/>
  </cols>
  <sheetData>
    <row r="1" spans="2:9" ht="16.5">
      <c r="B1" s="1461" t="s">
        <v>1632</v>
      </c>
      <c r="C1" s="1461"/>
      <c r="D1" s="1461"/>
      <c r="E1" s="1461"/>
      <c r="F1" s="1461"/>
      <c r="G1" s="1461"/>
      <c r="H1" s="727"/>
      <c r="I1" s="727"/>
    </row>
    <row r="2" spans="1:9" s="728" customFormat="1" ht="17.25">
      <c r="A2" s="386"/>
      <c r="B2" s="1462" t="s">
        <v>663</v>
      </c>
      <c r="C2" s="1462"/>
      <c r="D2" s="1462"/>
      <c r="E2" s="1462"/>
      <c r="F2" s="1462"/>
      <c r="G2" s="1462"/>
      <c r="H2" s="1462"/>
      <c r="I2" s="1462"/>
    </row>
    <row r="3" spans="1:9" s="728" customFormat="1" ht="17.25">
      <c r="A3" s="386"/>
      <c r="B3" s="1463" t="s">
        <v>1193</v>
      </c>
      <c r="C3" s="1463"/>
      <c r="D3" s="1463"/>
      <c r="E3" s="1463"/>
      <c r="F3" s="1463"/>
      <c r="G3" s="1463"/>
      <c r="H3" s="1463"/>
      <c r="I3" s="1463"/>
    </row>
    <row r="4" spans="2:9" ht="16.5">
      <c r="B4" s="730"/>
      <c r="C4" s="730"/>
      <c r="D4" s="730"/>
      <c r="E4" s="730"/>
      <c r="F4" s="730"/>
      <c r="G4" s="236"/>
      <c r="H4" s="236"/>
      <c r="I4" s="236" t="s">
        <v>496</v>
      </c>
    </row>
    <row r="5" spans="1:9" s="732" customFormat="1" ht="14.25" thickBot="1">
      <c r="A5" s="386"/>
      <c r="B5" s="731" t="s">
        <v>504</v>
      </c>
      <c r="C5" s="731" t="s">
        <v>505</v>
      </c>
      <c r="D5" s="731" t="s">
        <v>506</v>
      </c>
      <c r="E5" s="731" t="s">
        <v>507</v>
      </c>
      <c r="F5" s="731" t="s">
        <v>508</v>
      </c>
      <c r="G5" s="385" t="s">
        <v>509</v>
      </c>
      <c r="H5" s="385" t="s">
        <v>510</v>
      </c>
      <c r="I5" s="385" t="s">
        <v>394</v>
      </c>
    </row>
    <row r="6" spans="1:20" s="247" customFormat="1" ht="57.75" thickBot="1">
      <c r="A6" s="613"/>
      <c r="B6" s="733" t="s">
        <v>770</v>
      </c>
      <c r="C6" s="734" t="s">
        <v>638</v>
      </c>
      <c r="D6" s="627" t="s">
        <v>413</v>
      </c>
      <c r="E6" s="627" t="s">
        <v>414</v>
      </c>
      <c r="F6" s="735" t="s">
        <v>497</v>
      </c>
      <c r="G6" s="614" t="s">
        <v>577</v>
      </c>
      <c r="H6" s="614" t="s">
        <v>578</v>
      </c>
      <c r="I6" s="615" t="s">
        <v>579</v>
      </c>
      <c r="J6" s="305"/>
      <c r="K6" s="305"/>
      <c r="L6" s="305"/>
      <c r="M6" s="305"/>
      <c r="N6" s="305"/>
      <c r="O6" s="305"/>
      <c r="P6" s="305"/>
      <c r="Q6" s="305"/>
      <c r="R6" s="305"/>
      <c r="S6" s="305"/>
      <c r="T6" s="305"/>
    </row>
    <row r="7" spans="1:20" s="743" customFormat="1" ht="25.5" customHeight="1">
      <c r="A7" s="613">
        <v>1</v>
      </c>
      <c r="B7" s="736"/>
      <c r="C7" s="737"/>
      <c r="D7" s="738">
        <v>1</v>
      </c>
      <c r="E7" s="738"/>
      <c r="F7" s="739" t="s">
        <v>378</v>
      </c>
      <c r="G7" s="740">
        <f>SUM(G8,G15,G25,G30,G31,G14,G29)</f>
        <v>10476265</v>
      </c>
      <c r="H7" s="740">
        <f>SUM(H8,H15,H25,H30,H31,H14,H29)</f>
        <v>10847930</v>
      </c>
      <c r="I7" s="741">
        <f>SUM(I8,I15,I25,I30,I31,I14,I29)</f>
        <v>11302463</v>
      </c>
      <c r="J7" s="742"/>
      <c r="K7" s="742"/>
      <c r="L7" s="742"/>
      <c r="M7" s="742"/>
      <c r="N7" s="742"/>
      <c r="O7" s="742"/>
      <c r="P7" s="742"/>
      <c r="Q7" s="742"/>
      <c r="R7" s="742"/>
      <c r="S7" s="742"/>
      <c r="T7" s="742"/>
    </row>
    <row r="8" spans="1:9" s="747" customFormat="1" ht="24" customHeight="1">
      <c r="A8" s="613">
        <v>2</v>
      </c>
      <c r="B8" s="744">
        <v>18</v>
      </c>
      <c r="C8" s="745"/>
      <c r="D8" s="730"/>
      <c r="E8" s="730">
        <v>1</v>
      </c>
      <c r="F8" s="746" t="s">
        <v>383</v>
      </c>
      <c r="G8" s="86">
        <f>SUM(G9,G12:G12)</f>
        <v>2950575</v>
      </c>
      <c r="H8" s="86">
        <f>SUM(H9,H12:H12)</f>
        <v>3210518</v>
      </c>
      <c r="I8" s="105">
        <f>SUM(I9,I12:I12)</f>
        <v>3185301</v>
      </c>
    </row>
    <row r="9" spans="1:9" s="750" customFormat="1" ht="17.25">
      <c r="A9" s="613">
        <v>3</v>
      </c>
      <c r="B9" s="748"/>
      <c r="C9" s="745"/>
      <c r="D9" s="730"/>
      <c r="E9" s="730"/>
      <c r="F9" s="749" t="s">
        <v>793</v>
      </c>
      <c r="G9" s="9">
        <f>SUM(G10:G11)</f>
        <v>2736561</v>
      </c>
      <c r="H9" s="9">
        <f>SUM(H10:H11)</f>
        <v>2951816</v>
      </c>
      <c r="I9" s="46">
        <f>SUM(I10:I11)</f>
        <v>2951816</v>
      </c>
    </row>
    <row r="10" spans="1:9" ht="33">
      <c r="A10" s="616">
        <v>4</v>
      </c>
      <c r="B10" s="751"/>
      <c r="C10" s="752"/>
      <c r="D10" s="752"/>
      <c r="E10" s="752"/>
      <c r="F10" s="753" t="s">
        <v>419</v>
      </c>
      <c r="G10" s="48">
        <v>2736561</v>
      </c>
      <c r="H10" s="48">
        <v>2821019</v>
      </c>
      <c r="I10" s="47">
        <v>2821019</v>
      </c>
    </row>
    <row r="11" spans="1:9" ht="33">
      <c r="A11" s="616">
        <v>5</v>
      </c>
      <c r="B11" s="744"/>
      <c r="C11" s="752"/>
      <c r="D11" s="752"/>
      <c r="E11" s="752"/>
      <c r="F11" s="753" t="s">
        <v>858</v>
      </c>
      <c r="G11" s="48"/>
      <c r="H11" s="48">
        <v>130797</v>
      </c>
      <c r="I11" s="47">
        <v>130797</v>
      </c>
    </row>
    <row r="12" spans="1:11" s="750" customFormat="1" ht="24" customHeight="1">
      <c r="A12" s="613">
        <v>6</v>
      </c>
      <c r="B12" s="748"/>
      <c r="C12" s="754"/>
      <c r="D12" s="752"/>
      <c r="E12" s="752"/>
      <c r="F12" s="106" t="s">
        <v>792</v>
      </c>
      <c r="G12" s="9">
        <v>214014</v>
      </c>
      <c r="H12" s="9">
        <v>258702</v>
      </c>
      <c r="I12" s="46">
        <v>233485</v>
      </c>
      <c r="K12" s="750">
        <v>171415</v>
      </c>
    </row>
    <row r="13" spans="1:9" ht="16.5">
      <c r="A13" s="613">
        <v>7</v>
      </c>
      <c r="B13" s="744"/>
      <c r="C13" s="752"/>
      <c r="D13" s="752"/>
      <c r="E13" s="752"/>
      <c r="F13" s="753" t="s">
        <v>533</v>
      </c>
      <c r="G13" s="48">
        <v>128400</v>
      </c>
      <c r="H13" s="48">
        <v>130913</v>
      </c>
      <c r="I13" s="47">
        <v>130913</v>
      </c>
    </row>
    <row r="14" spans="1:9" ht="36" customHeight="1">
      <c r="A14" s="617">
        <v>8</v>
      </c>
      <c r="B14" s="755" t="s">
        <v>666</v>
      </c>
      <c r="C14" s="752"/>
      <c r="D14" s="752"/>
      <c r="E14" s="756">
        <v>2</v>
      </c>
      <c r="F14" s="757" t="s">
        <v>486</v>
      </c>
      <c r="G14" s="85">
        <v>84306</v>
      </c>
      <c r="H14" s="85">
        <v>161497</v>
      </c>
      <c r="I14" s="87">
        <v>160574</v>
      </c>
    </row>
    <row r="15" spans="1:9" s="747" customFormat="1" ht="24" customHeight="1">
      <c r="A15" s="613">
        <v>9</v>
      </c>
      <c r="B15" s="744">
        <v>18</v>
      </c>
      <c r="C15" s="745"/>
      <c r="D15" s="730"/>
      <c r="E15" s="730">
        <v>3</v>
      </c>
      <c r="F15" s="746" t="s">
        <v>415</v>
      </c>
      <c r="G15" s="86">
        <f>SUM(G16,G24:G24)</f>
        <v>5845000</v>
      </c>
      <c r="H15" s="86">
        <f>SUM(H16,H24:H24)</f>
        <v>5845000</v>
      </c>
      <c r="I15" s="105">
        <f>SUM(I16,I24:I24)</f>
        <v>6358454</v>
      </c>
    </row>
    <row r="16" spans="1:9" s="750" customFormat="1" ht="17.25">
      <c r="A16" s="613">
        <v>10</v>
      </c>
      <c r="B16" s="748"/>
      <c r="C16" s="745"/>
      <c r="D16" s="730"/>
      <c r="E16" s="730"/>
      <c r="F16" s="106" t="s">
        <v>385</v>
      </c>
      <c r="G16" s="9">
        <f>SUM(G17:G23)</f>
        <v>5825000</v>
      </c>
      <c r="H16" s="9">
        <f>SUM(H17:H23)</f>
        <v>5825000</v>
      </c>
      <c r="I16" s="46">
        <f>SUM(I17:I23)</f>
        <v>6341905</v>
      </c>
    </row>
    <row r="17" spans="1:9" ht="16.5">
      <c r="A17" s="613">
        <v>11</v>
      </c>
      <c r="B17" s="744"/>
      <c r="C17" s="730"/>
      <c r="D17" s="730"/>
      <c r="E17" s="730"/>
      <c r="F17" s="753" t="s">
        <v>420</v>
      </c>
      <c r="G17" s="48">
        <v>1120000</v>
      </c>
      <c r="H17" s="48">
        <v>1120000</v>
      </c>
      <c r="I17" s="47">
        <f>1169398-1351</f>
        <v>1168047</v>
      </c>
    </row>
    <row r="18" spans="1:9" ht="16.5">
      <c r="A18" s="613">
        <v>12</v>
      </c>
      <c r="B18" s="744"/>
      <c r="C18" s="730"/>
      <c r="D18" s="730"/>
      <c r="E18" s="730"/>
      <c r="F18" s="753" t="s">
        <v>421</v>
      </c>
      <c r="G18" s="48">
        <v>30000</v>
      </c>
      <c r="H18" s="48">
        <v>30000</v>
      </c>
      <c r="I18" s="47">
        <f>47293+366</f>
        <v>47659</v>
      </c>
    </row>
    <row r="19" spans="1:9" ht="16.5">
      <c r="A19" s="613">
        <v>13</v>
      </c>
      <c r="B19" s="744"/>
      <c r="C19" s="730"/>
      <c r="D19" s="730"/>
      <c r="E19" s="730"/>
      <c r="F19" s="753" t="s">
        <v>422</v>
      </c>
      <c r="G19" s="48">
        <v>135000</v>
      </c>
      <c r="H19" s="48">
        <v>135000</v>
      </c>
      <c r="I19" s="47">
        <f>140655-267</f>
        <v>140388</v>
      </c>
    </row>
    <row r="20" spans="1:9" ht="16.5">
      <c r="A20" s="613">
        <v>14</v>
      </c>
      <c r="B20" s="744"/>
      <c r="C20" s="730"/>
      <c r="D20" s="730"/>
      <c r="E20" s="730"/>
      <c r="F20" s="753" t="s">
        <v>423</v>
      </c>
      <c r="G20" s="48">
        <v>125000</v>
      </c>
      <c r="H20" s="48">
        <v>125000</v>
      </c>
      <c r="I20" s="47">
        <f>125474-878</f>
        <v>124596</v>
      </c>
    </row>
    <row r="21" spans="1:9" ht="16.5">
      <c r="A21" s="613">
        <v>15</v>
      </c>
      <c r="B21" s="744"/>
      <c r="C21" s="730"/>
      <c r="D21" s="730"/>
      <c r="E21" s="730"/>
      <c r="F21" s="753" t="s">
        <v>416</v>
      </c>
      <c r="G21" s="48">
        <v>4200000</v>
      </c>
      <c r="H21" s="48">
        <v>4200000</v>
      </c>
      <c r="I21" s="47">
        <f>4702454-56626</f>
        <v>4645828</v>
      </c>
    </row>
    <row r="22" spans="1:9" ht="16.5">
      <c r="A22" s="613">
        <v>16</v>
      </c>
      <c r="B22" s="744"/>
      <c r="C22" s="730"/>
      <c r="D22" s="730"/>
      <c r="E22" s="730"/>
      <c r="F22" s="753" t="s">
        <v>775</v>
      </c>
      <c r="G22" s="48">
        <v>185000</v>
      </c>
      <c r="H22" s="48">
        <v>185000</v>
      </c>
      <c r="I22" s="47">
        <f>196963-1069</f>
        <v>195894</v>
      </c>
    </row>
    <row r="23" spans="1:9" ht="16.5">
      <c r="A23" s="613">
        <v>17</v>
      </c>
      <c r="B23" s="744"/>
      <c r="C23" s="730"/>
      <c r="D23" s="730"/>
      <c r="E23" s="730"/>
      <c r="F23" s="753" t="s">
        <v>424</v>
      </c>
      <c r="G23" s="48">
        <v>30000</v>
      </c>
      <c r="H23" s="48">
        <v>30000</v>
      </c>
      <c r="I23" s="47">
        <f>19361+132</f>
        <v>19493</v>
      </c>
    </row>
    <row r="24" spans="1:9" s="750" customFormat="1" ht="34.5">
      <c r="A24" s="617">
        <v>18</v>
      </c>
      <c r="B24" s="748"/>
      <c r="C24" s="745"/>
      <c r="D24" s="730"/>
      <c r="E24" s="730"/>
      <c r="F24" s="106" t="s">
        <v>492</v>
      </c>
      <c r="G24" s="9">
        <v>20000</v>
      </c>
      <c r="H24" s="9">
        <v>20000</v>
      </c>
      <c r="I24" s="46">
        <f>15284+1258+7</f>
        <v>16549</v>
      </c>
    </row>
    <row r="25" spans="1:9" s="747" customFormat="1" ht="24" customHeight="1">
      <c r="A25" s="613">
        <v>19</v>
      </c>
      <c r="B25" s="744">
        <v>18</v>
      </c>
      <c r="C25" s="745"/>
      <c r="D25" s="730"/>
      <c r="E25" s="730">
        <v>4</v>
      </c>
      <c r="F25" s="746" t="s">
        <v>535</v>
      </c>
      <c r="G25" s="86">
        <v>430110</v>
      </c>
      <c r="H25" s="86">
        <v>383396</v>
      </c>
      <c r="I25" s="105">
        <v>383031</v>
      </c>
    </row>
    <row r="26" spans="1:9" ht="16.5">
      <c r="A26" s="613">
        <v>20</v>
      </c>
      <c r="B26" s="744"/>
      <c r="C26" s="730"/>
      <c r="D26" s="730"/>
      <c r="E26" s="730"/>
      <c r="F26" s="753" t="s">
        <v>493</v>
      </c>
      <c r="G26" s="48">
        <v>44990</v>
      </c>
      <c r="H26" s="48">
        <v>80482</v>
      </c>
      <c r="I26" s="47">
        <v>80482</v>
      </c>
    </row>
    <row r="27" spans="1:9" ht="16.5">
      <c r="A27" s="613">
        <v>21</v>
      </c>
      <c r="B27" s="744"/>
      <c r="C27" s="730"/>
      <c r="D27" s="730"/>
      <c r="E27" s="730"/>
      <c r="F27" s="753" t="s">
        <v>494</v>
      </c>
      <c r="G27" s="48">
        <v>187110</v>
      </c>
      <c r="H27" s="48">
        <v>180721</v>
      </c>
      <c r="I27" s="47">
        <v>180721</v>
      </c>
    </row>
    <row r="28" spans="1:9" ht="16.5">
      <c r="A28" s="613">
        <v>22</v>
      </c>
      <c r="B28" s="744"/>
      <c r="C28" s="730"/>
      <c r="D28" s="730"/>
      <c r="E28" s="730"/>
      <c r="F28" s="753" t="s">
        <v>709</v>
      </c>
      <c r="G28" s="48">
        <v>159710</v>
      </c>
      <c r="H28" s="48">
        <v>64667</v>
      </c>
      <c r="I28" s="47">
        <v>64667</v>
      </c>
    </row>
    <row r="29" spans="1:9" s="747" customFormat="1" ht="24" customHeight="1">
      <c r="A29" s="613">
        <v>23</v>
      </c>
      <c r="B29" s="744" t="s">
        <v>666</v>
      </c>
      <c r="C29" s="745"/>
      <c r="D29" s="730"/>
      <c r="E29" s="730">
        <v>5</v>
      </c>
      <c r="F29" s="746" t="s">
        <v>487</v>
      </c>
      <c r="G29" s="86">
        <v>1082274</v>
      </c>
      <c r="H29" s="86">
        <v>1156817</v>
      </c>
      <c r="I29" s="105">
        <v>1120601</v>
      </c>
    </row>
    <row r="30" spans="1:9" s="747" customFormat="1" ht="24" customHeight="1">
      <c r="A30" s="613">
        <v>24</v>
      </c>
      <c r="B30" s="744">
        <v>18</v>
      </c>
      <c r="C30" s="745"/>
      <c r="D30" s="730"/>
      <c r="E30" s="730">
        <v>6</v>
      </c>
      <c r="F30" s="746" t="s">
        <v>548</v>
      </c>
      <c r="G30" s="86"/>
      <c r="H30" s="86">
        <v>472</v>
      </c>
      <c r="I30" s="105">
        <v>4307</v>
      </c>
    </row>
    <row r="31" spans="1:9" s="750" customFormat="1" ht="34.5">
      <c r="A31" s="617">
        <v>25</v>
      </c>
      <c r="B31" s="755" t="s">
        <v>666</v>
      </c>
      <c r="C31" s="758"/>
      <c r="D31" s="758"/>
      <c r="E31" s="759">
        <v>7</v>
      </c>
      <c r="F31" s="760" t="s">
        <v>491</v>
      </c>
      <c r="G31" s="107">
        <v>84000</v>
      </c>
      <c r="H31" s="107">
        <v>90230</v>
      </c>
      <c r="I31" s="108">
        <v>90195</v>
      </c>
    </row>
    <row r="32" spans="1:20" s="743" customFormat="1" ht="24" customHeight="1">
      <c r="A32" s="613">
        <v>26</v>
      </c>
      <c r="B32" s="761"/>
      <c r="C32" s="762"/>
      <c r="D32" s="763">
        <v>2</v>
      </c>
      <c r="E32" s="763"/>
      <c r="F32" s="764" t="s">
        <v>379</v>
      </c>
      <c r="G32" s="765">
        <f>SUM(G33,G39,G43:G44)+G38+G42</f>
        <v>2369913</v>
      </c>
      <c r="H32" s="765">
        <f>SUM(H33,H39,H43:H44)+H38+H42</f>
        <v>4283599</v>
      </c>
      <c r="I32" s="766">
        <f>SUM(I33,I39,I43:I44)+I42</f>
        <v>4037112</v>
      </c>
      <c r="J32" s="742"/>
      <c r="K32" s="742"/>
      <c r="L32" s="742"/>
      <c r="M32" s="742"/>
      <c r="N32" s="742"/>
      <c r="O32" s="742"/>
      <c r="P32" s="742"/>
      <c r="Q32" s="742"/>
      <c r="R32" s="742"/>
      <c r="S32" s="742"/>
      <c r="T32" s="742"/>
    </row>
    <row r="33" spans="1:9" s="747" customFormat="1" ht="24" customHeight="1">
      <c r="A33" s="613">
        <v>27</v>
      </c>
      <c r="B33" s="744"/>
      <c r="C33" s="745"/>
      <c r="D33" s="730"/>
      <c r="E33" s="730">
        <v>8</v>
      </c>
      <c r="F33" s="746" t="s">
        <v>384</v>
      </c>
      <c r="G33" s="86">
        <f>SUM(G34,G37)</f>
        <v>1867624</v>
      </c>
      <c r="H33" s="86">
        <f>SUM(H34,H37)</f>
        <v>4137850</v>
      </c>
      <c r="I33" s="105">
        <f>SUM(I34,I37:I38)</f>
        <v>3901328</v>
      </c>
    </row>
    <row r="34" spans="1:9" s="750" customFormat="1" ht="17.25">
      <c r="A34" s="613">
        <v>28</v>
      </c>
      <c r="B34" s="744">
        <v>18</v>
      </c>
      <c r="C34" s="745"/>
      <c r="D34" s="730"/>
      <c r="E34" s="730"/>
      <c r="F34" s="106" t="s">
        <v>1</v>
      </c>
      <c r="G34" s="9">
        <f>SUM(G35:G36)</f>
        <v>0</v>
      </c>
      <c r="H34" s="9">
        <f>SUM(H35:H36)</f>
        <v>745810</v>
      </c>
      <c r="I34" s="46">
        <f>SUM(I35:I36)</f>
        <v>745810</v>
      </c>
    </row>
    <row r="35" spans="1:9" ht="16.5">
      <c r="A35" s="613">
        <v>29</v>
      </c>
      <c r="B35" s="744"/>
      <c r="C35" s="752"/>
      <c r="D35" s="752"/>
      <c r="E35" s="752"/>
      <c r="F35" s="753" t="s">
        <v>859</v>
      </c>
      <c r="G35" s="48"/>
      <c r="H35" s="48">
        <v>745810</v>
      </c>
      <c r="I35" s="47">
        <v>745810</v>
      </c>
    </row>
    <row r="36" spans="1:9" ht="33">
      <c r="A36" s="616">
        <v>30</v>
      </c>
      <c r="B36" s="744"/>
      <c r="C36" s="752"/>
      <c r="D36" s="752"/>
      <c r="E36" s="752"/>
      <c r="F36" s="753" t="s">
        <v>477</v>
      </c>
      <c r="G36" s="48"/>
      <c r="H36" s="48"/>
      <c r="I36" s="47"/>
    </row>
    <row r="37" spans="1:9" s="750" customFormat="1" ht="17.25">
      <c r="A37" s="613">
        <v>31</v>
      </c>
      <c r="B37" s="744">
        <v>18</v>
      </c>
      <c r="C37" s="754"/>
      <c r="D37" s="752"/>
      <c r="E37" s="752"/>
      <c r="F37" s="106" t="s">
        <v>794</v>
      </c>
      <c r="G37" s="9">
        <v>1867624</v>
      </c>
      <c r="H37" s="9">
        <v>3392040</v>
      </c>
      <c r="I37" s="46">
        <v>3145518</v>
      </c>
    </row>
    <row r="38" spans="1:9" s="750" customFormat="1" ht="34.5">
      <c r="A38" s="616">
        <v>32</v>
      </c>
      <c r="B38" s="767" t="s">
        <v>666</v>
      </c>
      <c r="C38" s="754"/>
      <c r="D38" s="754"/>
      <c r="E38" s="752">
        <v>9</v>
      </c>
      <c r="F38" s="106" t="s">
        <v>490</v>
      </c>
      <c r="G38" s="9"/>
      <c r="H38" s="9">
        <v>10000</v>
      </c>
      <c r="I38" s="46">
        <v>10000</v>
      </c>
    </row>
    <row r="39" spans="1:9" s="747" customFormat="1" ht="24" customHeight="1">
      <c r="A39" s="613">
        <v>33</v>
      </c>
      <c r="B39" s="744">
        <v>18</v>
      </c>
      <c r="C39" s="745"/>
      <c r="D39" s="730"/>
      <c r="E39" s="730">
        <v>10</v>
      </c>
      <c r="F39" s="746" t="s">
        <v>547</v>
      </c>
      <c r="G39" s="86">
        <f>SUM(G40:G40)</f>
        <v>500000</v>
      </c>
      <c r="H39" s="86">
        <f>SUM(H40:H40)</f>
        <v>124500</v>
      </c>
      <c r="I39" s="105">
        <f>SUM(I40:I40)+I41</f>
        <v>124536</v>
      </c>
    </row>
    <row r="40" spans="1:9" ht="16.5">
      <c r="A40" s="613">
        <v>34</v>
      </c>
      <c r="B40" s="744"/>
      <c r="C40" s="730"/>
      <c r="D40" s="730"/>
      <c r="E40" s="730"/>
      <c r="F40" s="753" t="s">
        <v>485</v>
      </c>
      <c r="G40" s="48">
        <v>500000</v>
      </c>
      <c r="H40" s="48">
        <v>124500</v>
      </c>
      <c r="I40" s="47">
        <v>124346</v>
      </c>
    </row>
    <row r="41" spans="1:9" ht="16.5">
      <c r="A41" s="613"/>
      <c r="B41" s="744"/>
      <c r="C41" s="730"/>
      <c r="D41" s="730"/>
      <c r="E41" s="730"/>
      <c r="F41" s="753" t="s">
        <v>1581</v>
      </c>
      <c r="G41" s="48"/>
      <c r="H41" s="48"/>
      <c r="I41" s="47">
        <v>190</v>
      </c>
    </row>
    <row r="42" spans="1:9" s="747" customFormat="1" ht="24" customHeight="1">
      <c r="A42" s="613">
        <v>35</v>
      </c>
      <c r="B42" s="744" t="s">
        <v>666</v>
      </c>
      <c r="C42" s="745"/>
      <c r="D42" s="730"/>
      <c r="E42" s="730">
        <v>11</v>
      </c>
      <c r="F42" s="746" t="s">
        <v>489</v>
      </c>
      <c r="G42" s="768">
        <v>2289</v>
      </c>
      <c r="H42" s="768">
        <v>10614</v>
      </c>
      <c r="I42" s="769">
        <v>10613</v>
      </c>
    </row>
    <row r="43" spans="1:9" s="747" customFormat="1" ht="24" customHeight="1">
      <c r="A43" s="613">
        <v>36</v>
      </c>
      <c r="B43" s="744">
        <v>18</v>
      </c>
      <c r="C43" s="745"/>
      <c r="D43" s="730"/>
      <c r="E43" s="730">
        <v>12</v>
      </c>
      <c r="F43" s="746" t="s">
        <v>549</v>
      </c>
      <c r="G43" s="768"/>
      <c r="H43" s="768"/>
      <c r="I43" s="769"/>
    </row>
    <row r="44" spans="1:9" s="750" customFormat="1" ht="34.5">
      <c r="A44" s="616">
        <v>37</v>
      </c>
      <c r="B44" s="767"/>
      <c r="C44" s="754"/>
      <c r="D44" s="754"/>
      <c r="E44" s="752">
        <v>13</v>
      </c>
      <c r="F44" s="106" t="s">
        <v>488</v>
      </c>
      <c r="G44" s="9"/>
      <c r="H44" s="9">
        <v>635</v>
      </c>
      <c r="I44" s="46">
        <v>635</v>
      </c>
    </row>
    <row r="45" spans="1:9" s="774" customFormat="1" ht="24" customHeight="1">
      <c r="A45" s="617">
        <v>38</v>
      </c>
      <c r="B45" s="770">
        <v>18</v>
      </c>
      <c r="C45" s="771"/>
      <c r="D45" s="772"/>
      <c r="E45" s="772"/>
      <c r="F45" s="773" t="s">
        <v>498</v>
      </c>
      <c r="G45" s="82">
        <f>SUM(G46:G47)</f>
        <v>2600</v>
      </c>
      <c r="H45" s="82">
        <f>SUM(H46:H47)</f>
        <v>2600</v>
      </c>
      <c r="I45" s="63">
        <f>SUM(I46:I47)</f>
        <v>694</v>
      </c>
    </row>
    <row r="46" spans="1:9" ht="33">
      <c r="A46" s="616">
        <v>39</v>
      </c>
      <c r="B46" s="744"/>
      <c r="C46" s="730"/>
      <c r="D46" s="730"/>
      <c r="E46" s="730"/>
      <c r="F46" s="775" t="s">
        <v>2</v>
      </c>
      <c r="G46" s="48">
        <v>2600</v>
      </c>
      <c r="H46" s="48">
        <v>2600</v>
      </c>
      <c r="I46" s="47">
        <v>694</v>
      </c>
    </row>
    <row r="47" spans="1:9" ht="16.5">
      <c r="A47" s="613">
        <v>40</v>
      </c>
      <c r="B47" s="744"/>
      <c r="C47" s="730"/>
      <c r="D47" s="730"/>
      <c r="E47" s="730"/>
      <c r="F47" s="235" t="s">
        <v>547</v>
      </c>
      <c r="G47" s="48"/>
      <c r="H47" s="48"/>
      <c r="I47" s="47"/>
    </row>
    <row r="48" spans="1:9" s="774" customFormat="1" ht="24" customHeight="1" thickBot="1">
      <c r="A48" s="617">
        <v>41</v>
      </c>
      <c r="B48" s="776"/>
      <c r="C48" s="777"/>
      <c r="D48" s="778"/>
      <c r="E48" s="778"/>
      <c r="F48" s="779" t="s">
        <v>551</v>
      </c>
      <c r="G48" s="780">
        <f>SUM(G7,G32,G45)</f>
        <v>12848778</v>
      </c>
      <c r="H48" s="780">
        <f>SUM(H7,H32,H45)</f>
        <v>15134129</v>
      </c>
      <c r="I48" s="781">
        <f>SUM(I7,I32,I45)</f>
        <v>15340269</v>
      </c>
    </row>
    <row r="49" spans="1:9" s="774" customFormat="1" ht="24" customHeight="1" thickBot="1" thickTop="1">
      <c r="A49" s="617">
        <v>42</v>
      </c>
      <c r="B49" s="782"/>
      <c r="C49" s="783"/>
      <c r="D49" s="784"/>
      <c r="E49" s="784"/>
      <c r="F49" s="785" t="s">
        <v>552</v>
      </c>
      <c r="G49" s="83">
        <v>-1048266</v>
      </c>
      <c r="H49" s="83">
        <v>-2659309</v>
      </c>
      <c r="I49" s="815">
        <f>I48-'3.Onki'!I31</f>
        <v>-456446</v>
      </c>
    </row>
    <row r="50" spans="1:9" s="774" customFormat="1" ht="30" customHeight="1">
      <c r="A50" s="617">
        <v>43</v>
      </c>
      <c r="B50" s="1208"/>
      <c r="C50" s="1209"/>
      <c r="D50" s="1210"/>
      <c r="E50" s="1210"/>
      <c r="F50" s="1211" t="s">
        <v>553</v>
      </c>
      <c r="G50" s="1212">
        <f>SUM(G52,G62)</f>
        <v>1100000</v>
      </c>
      <c r="H50" s="1212">
        <f>SUM(H52,H62)+H51</f>
        <v>2877269</v>
      </c>
      <c r="I50" s="1213">
        <f>SUM(I52,I62)+I51</f>
        <v>2777244</v>
      </c>
    </row>
    <row r="51" spans="1:9" s="774" customFormat="1" ht="30" customHeight="1">
      <c r="A51" s="617">
        <v>44</v>
      </c>
      <c r="B51" s="786"/>
      <c r="C51" s="729"/>
      <c r="D51" s="787"/>
      <c r="E51" s="787"/>
      <c r="F51" s="788" t="s">
        <v>1117</v>
      </c>
      <c r="G51" s="88"/>
      <c r="H51" s="88">
        <v>101544</v>
      </c>
      <c r="I51" s="89">
        <v>101544</v>
      </c>
    </row>
    <row r="52" spans="1:9" s="774" customFormat="1" ht="30" customHeight="1">
      <c r="A52" s="617">
        <v>45</v>
      </c>
      <c r="B52" s="789"/>
      <c r="C52" s="771"/>
      <c r="D52" s="772"/>
      <c r="E52" s="772"/>
      <c r="F52" s="773" t="s">
        <v>1186</v>
      </c>
      <c r="G52" s="90">
        <f>SUM(G53,G59)</f>
        <v>1100000</v>
      </c>
      <c r="H52" s="90">
        <f>SUM(H53,H59)</f>
        <v>2185072</v>
      </c>
      <c r="I52" s="91">
        <f>SUM(I53,I59)</f>
        <v>2185072</v>
      </c>
    </row>
    <row r="53" spans="1:9" s="747" customFormat="1" ht="30" customHeight="1">
      <c r="A53" s="613">
        <v>46</v>
      </c>
      <c r="B53" s="748"/>
      <c r="C53" s="745"/>
      <c r="D53" s="730"/>
      <c r="E53" s="730"/>
      <c r="F53" s="746" t="s">
        <v>860</v>
      </c>
      <c r="G53" s="768">
        <f>SUM(G54:G58)</f>
        <v>450000</v>
      </c>
      <c r="H53" s="768">
        <f>SUM(H54:H58)</f>
        <v>1535072</v>
      </c>
      <c r="I53" s="769">
        <f>SUM(I54:I58)</f>
        <v>1535072</v>
      </c>
    </row>
    <row r="54" spans="1:9" ht="16.5">
      <c r="A54" s="617">
        <v>47</v>
      </c>
      <c r="B54" s="755" t="s">
        <v>666</v>
      </c>
      <c r="C54" s="730"/>
      <c r="D54" s="730"/>
      <c r="E54" s="730"/>
      <c r="F54" s="753" t="s">
        <v>554</v>
      </c>
      <c r="G54" s="48"/>
      <c r="H54" s="48">
        <v>216837</v>
      </c>
      <c r="I54" s="47">
        <v>216837</v>
      </c>
    </row>
    <row r="55" spans="1:9" ht="16.5">
      <c r="A55" s="617">
        <v>48</v>
      </c>
      <c r="B55" s="744">
        <v>17</v>
      </c>
      <c r="C55" s="730"/>
      <c r="D55" s="730"/>
      <c r="E55" s="730"/>
      <c r="F55" s="753" t="s">
        <v>558</v>
      </c>
      <c r="G55" s="48"/>
      <c r="H55" s="48">
        <v>145507</v>
      </c>
      <c r="I55" s="47">
        <v>145507</v>
      </c>
    </row>
    <row r="56" spans="1:9" ht="16.5">
      <c r="A56" s="617">
        <v>49</v>
      </c>
      <c r="B56" s="744">
        <v>18</v>
      </c>
      <c r="C56" s="730"/>
      <c r="D56" s="730"/>
      <c r="E56" s="730"/>
      <c r="F56" s="753" t="s">
        <v>396</v>
      </c>
      <c r="G56" s="48"/>
      <c r="H56" s="48">
        <v>1172728</v>
      </c>
      <c r="I56" s="47">
        <v>1172728</v>
      </c>
    </row>
    <row r="57" spans="1:9" ht="16.5">
      <c r="A57" s="617">
        <v>50</v>
      </c>
      <c r="B57" s="744">
        <v>18</v>
      </c>
      <c r="C57" s="790"/>
      <c r="D57" s="730"/>
      <c r="E57" s="730"/>
      <c r="F57" s="753" t="s">
        <v>857</v>
      </c>
      <c r="G57" s="48">
        <v>450000</v>
      </c>
      <c r="H57" s="48">
        <v>0</v>
      </c>
      <c r="I57" s="47"/>
    </row>
    <row r="58" spans="1:9" ht="16.5">
      <c r="A58" s="617">
        <v>51</v>
      </c>
      <c r="B58" s="744">
        <v>18</v>
      </c>
      <c r="C58" s="730"/>
      <c r="D58" s="730"/>
      <c r="E58" s="730"/>
      <c r="F58" s="753" t="s">
        <v>498</v>
      </c>
      <c r="G58" s="48"/>
      <c r="H58" s="48"/>
      <c r="I58" s="47"/>
    </row>
    <row r="59" spans="1:9" s="747" customFormat="1" ht="30" customHeight="1">
      <c r="A59" s="613">
        <v>52</v>
      </c>
      <c r="B59" s="748"/>
      <c r="C59" s="745"/>
      <c r="D59" s="730"/>
      <c r="E59" s="730"/>
      <c r="F59" s="746" t="s">
        <v>0</v>
      </c>
      <c r="G59" s="768">
        <f>SUM(G60:G61)</f>
        <v>650000</v>
      </c>
      <c r="H59" s="768">
        <f>SUM(H60:H61)</f>
        <v>650000</v>
      </c>
      <c r="I59" s="769">
        <f>SUM(I60:I61)</f>
        <v>650000</v>
      </c>
    </row>
    <row r="60" spans="1:9" s="750" customFormat="1" ht="17.25">
      <c r="A60" s="617">
        <v>53</v>
      </c>
      <c r="B60" s="791" t="s">
        <v>666</v>
      </c>
      <c r="C60" s="730"/>
      <c r="D60" s="730"/>
      <c r="E60" s="730"/>
      <c r="F60" s="792" t="s">
        <v>554</v>
      </c>
      <c r="G60" s="48"/>
      <c r="H60" s="48"/>
      <c r="I60" s="47"/>
    </row>
    <row r="61" spans="1:9" s="750" customFormat="1" ht="17.25">
      <c r="A61" s="617">
        <v>54</v>
      </c>
      <c r="B61" s="744">
        <v>18</v>
      </c>
      <c r="C61" s="730"/>
      <c r="D61" s="730"/>
      <c r="E61" s="730"/>
      <c r="F61" s="792" t="s">
        <v>857</v>
      </c>
      <c r="G61" s="48">
        <v>650000</v>
      </c>
      <c r="H61" s="48">
        <v>650000</v>
      </c>
      <c r="I61" s="47">
        <v>650000</v>
      </c>
    </row>
    <row r="62" spans="1:9" s="774" customFormat="1" ht="36" customHeight="1">
      <c r="A62" s="617">
        <v>55</v>
      </c>
      <c r="B62" s="789"/>
      <c r="C62" s="771"/>
      <c r="D62" s="772"/>
      <c r="E62" s="772"/>
      <c r="F62" s="773" t="s">
        <v>1187</v>
      </c>
      <c r="G62" s="90">
        <f>SUM(G63:G65)</f>
        <v>0</v>
      </c>
      <c r="H62" s="90">
        <f>SUM(H63:H65)</f>
        <v>590653</v>
      </c>
      <c r="I62" s="91">
        <f>SUM(I63:I65)</f>
        <v>490628</v>
      </c>
    </row>
    <row r="63" spans="1:9" s="747" customFormat="1" ht="30" customHeight="1">
      <c r="A63" s="613">
        <v>56</v>
      </c>
      <c r="B63" s="748">
        <v>18</v>
      </c>
      <c r="C63" s="745"/>
      <c r="D63" s="730"/>
      <c r="E63" s="730"/>
      <c r="F63" s="746" t="s">
        <v>555</v>
      </c>
      <c r="G63" s="768"/>
      <c r="H63" s="768"/>
      <c r="I63" s="769"/>
    </row>
    <row r="64" spans="1:9" ht="16.5">
      <c r="A64" s="617">
        <v>57</v>
      </c>
      <c r="B64" s="744"/>
      <c r="C64" s="730"/>
      <c r="D64" s="730"/>
      <c r="E64" s="730"/>
      <c r="F64" s="753" t="s">
        <v>555</v>
      </c>
      <c r="G64" s="48"/>
      <c r="H64" s="48">
        <v>0</v>
      </c>
      <c r="I64" s="47"/>
    </row>
    <row r="65" spans="1:9" ht="16.5">
      <c r="A65" s="617">
        <v>58</v>
      </c>
      <c r="B65" s="744"/>
      <c r="C65" s="730"/>
      <c r="D65" s="730"/>
      <c r="E65" s="730"/>
      <c r="F65" s="793" t="s">
        <v>556</v>
      </c>
      <c r="G65" s="84"/>
      <c r="H65" s="84">
        <v>590653</v>
      </c>
      <c r="I65" s="49">
        <v>490628</v>
      </c>
    </row>
    <row r="66" spans="1:9" s="774" customFormat="1" ht="36" customHeight="1" thickBot="1">
      <c r="A66" s="617">
        <v>59</v>
      </c>
      <c r="B66" s="794"/>
      <c r="C66" s="795"/>
      <c r="D66" s="796"/>
      <c r="E66" s="796"/>
      <c r="F66" s="797" t="s">
        <v>557</v>
      </c>
      <c r="G66" s="92">
        <f>SUM(G48,G50)</f>
        <v>13948778</v>
      </c>
      <c r="H66" s="92">
        <f>SUM(H48,H50)</f>
        <v>18011398</v>
      </c>
      <c r="I66" s="93">
        <f>SUM(I48,I50)</f>
        <v>18117513</v>
      </c>
    </row>
  </sheetData>
  <sheetProtection/>
  <mergeCells count="3">
    <mergeCell ref="B1:G1"/>
    <mergeCell ref="B2:I2"/>
    <mergeCell ref="B3:I3"/>
  </mergeCells>
  <printOptions horizontalCentered="1"/>
  <pageMargins left="0.1968503937007874" right="0.1968503937007874" top="0.3937007874015748" bottom="0.5905511811023623" header="0.5118110236220472" footer="0.5118110236220472"/>
  <pageSetup fitToHeight="2" fitToWidth="1" horizontalDpi="600" verticalDpi="600" orientation="portrait" paperSize="9" scale="77" r:id="rId1"/>
  <rowBreaks count="1" manualBreakCount="1">
    <brk id="42" max="8" man="1"/>
  </rowBreaks>
</worksheet>
</file>

<file path=xl/worksheets/sheet10.xml><?xml version="1.0" encoding="utf-8"?>
<worksheet xmlns="http://schemas.openxmlformats.org/spreadsheetml/2006/main" xmlns:r="http://schemas.openxmlformats.org/officeDocument/2006/relationships">
  <dimension ref="A1:Q46"/>
  <sheetViews>
    <sheetView view="pageBreakPreview" zoomScale="90" zoomScaleSheetLayoutView="90" workbookViewId="0" topLeftCell="A1">
      <selection activeCell="B1" sqref="B1:M1"/>
    </sheetView>
  </sheetViews>
  <sheetFormatPr defaultColWidth="8.875" defaultRowHeight="12.75"/>
  <cols>
    <col min="1" max="1" width="3.375" style="803" bestFit="1" customWidth="1"/>
    <col min="2" max="2" width="4.25390625" style="803" bestFit="1" customWidth="1"/>
    <col min="3" max="3" width="27.875" style="803" bestFit="1" customWidth="1"/>
    <col min="4" max="4" width="7.375" style="803" bestFit="1" customWidth="1"/>
    <col min="5" max="5" width="11.00390625" style="803" customWidth="1"/>
    <col min="6" max="6" width="6.625" style="803" bestFit="1" customWidth="1"/>
    <col min="7" max="7" width="11.125" style="803" bestFit="1" customWidth="1"/>
    <col min="8" max="8" width="10.75390625" style="803" bestFit="1" customWidth="1"/>
    <col min="9" max="9" width="9.75390625" style="803" bestFit="1" customWidth="1"/>
    <col min="10" max="10" width="12.00390625" style="803" bestFit="1" customWidth="1"/>
    <col min="11" max="11" width="6.125" style="803" bestFit="1" customWidth="1"/>
    <col min="12" max="12" width="6.25390625" style="803" bestFit="1" customWidth="1"/>
    <col min="13" max="13" width="12.125" style="803" bestFit="1" customWidth="1"/>
    <col min="14" max="14" width="11.75390625" style="803" bestFit="1" customWidth="1"/>
    <col min="15" max="15" width="8.25390625" style="803" bestFit="1" customWidth="1"/>
    <col min="16" max="16" width="8.00390625" style="803" bestFit="1" customWidth="1"/>
    <col min="17" max="17" width="10.125" style="803" bestFit="1" customWidth="1"/>
    <col min="18" max="16384" width="8.875" style="803" customWidth="1"/>
  </cols>
  <sheetData>
    <row r="1" spans="1:17" ht="16.5">
      <c r="A1" s="802"/>
      <c r="B1" s="1557" t="s">
        <v>1641</v>
      </c>
      <c r="C1" s="1557"/>
      <c r="D1" s="1557"/>
      <c r="E1" s="1557"/>
      <c r="F1" s="1557"/>
      <c r="G1" s="1557"/>
      <c r="H1" s="1557"/>
      <c r="I1" s="1557"/>
      <c r="J1" s="1557"/>
      <c r="K1" s="1557"/>
      <c r="L1" s="1557"/>
      <c r="M1" s="1557"/>
      <c r="N1" s="1558"/>
      <c r="O1" s="1558"/>
      <c r="P1" s="1558"/>
      <c r="Q1" s="1558"/>
    </row>
    <row r="2" spans="1:17" s="1307" customFormat="1" ht="30" customHeight="1">
      <c r="A2" s="232"/>
      <c r="B2" s="1559" t="s">
        <v>1200</v>
      </c>
      <c r="C2" s="1559"/>
      <c r="D2" s="1559"/>
      <c r="E2" s="1559"/>
      <c r="F2" s="1559"/>
      <c r="G2" s="1559"/>
      <c r="H2" s="1559"/>
      <c r="I2" s="1559"/>
      <c r="J2" s="1559"/>
      <c r="K2" s="1559"/>
      <c r="L2" s="1559"/>
      <c r="M2" s="1559"/>
      <c r="N2" s="1559"/>
      <c r="O2" s="1559"/>
      <c r="P2" s="1559"/>
      <c r="Q2" s="1559"/>
    </row>
    <row r="3" spans="1:17" s="1391" customFormat="1" ht="30" customHeight="1">
      <c r="A3" s="802"/>
      <c r="B3" s="1560" t="s">
        <v>1201</v>
      </c>
      <c r="C3" s="1560"/>
      <c r="D3" s="1560"/>
      <c r="E3" s="1560"/>
      <c r="F3" s="1560"/>
      <c r="G3" s="1560"/>
      <c r="H3" s="1560"/>
      <c r="I3" s="1560"/>
      <c r="J3" s="1560"/>
      <c r="K3" s="1560"/>
      <c r="L3" s="1560"/>
      <c r="M3" s="1560"/>
      <c r="N3" s="1560"/>
      <c r="O3" s="1560"/>
      <c r="P3" s="1560"/>
      <c r="Q3" s="1560"/>
    </row>
    <row r="4" spans="1:17" s="1390" customFormat="1" ht="14.25">
      <c r="A4" s="232"/>
      <c r="B4" s="1388"/>
      <c r="C4" s="1389"/>
      <c r="D4" s="992"/>
      <c r="E4" s="992"/>
      <c r="F4" s="992"/>
      <c r="G4" s="992"/>
      <c r="H4" s="992"/>
      <c r="I4" s="992"/>
      <c r="J4" s="992"/>
      <c r="K4" s="992"/>
      <c r="L4" s="992"/>
      <c r="M4" s="992"/>
      <c r="N4" s="992"/>
      <c r="O4" s="1555" t="s">
        <v>496</v>
      </c>
      <c r="P4" s="1555"/>
      <c r="Q4" s="1555"/>
    </row>
    <row r="5" spans="1:17" s="1390" customFormat="1" ht="15" thickBot="1">
      <c r="A5" s="232"/>
      <c r="B5" s="1556" t="s">
        <v>504</v>
      </c>
      <c r="C5" s="1556"/>
      <c r="D5" s="232" t="s">
        <v>505</v>
      </c>
      <c r="E5" s="232" t="s">
        <v>506</v>
      </c>
      <c r="F5" s="232" t="s">
        <v>507</v>
      </c>
      <c r="G5" s="232" t="s">
        <v>508</v>
      </c>
      <c r="H5" s="232" t="s">
        <v>509</v>
      </c>
      <c r="I5" s="232" t="s">
        <v>510</v>
      </c>
      <c r="J5" s="232" t="s">
        <v>394</v>
      </c>
      <c r="K5" s="232" t="s">
        <v>395</v>
      </c>
      <c r="L5" s="232" t="s">
        <v>814</v>
      </c>
      <c r="M5" s="232" t="s">
        <v>815</v>
      </c>
      <c r="N5" s="232" t="s">
        <v>816</v>
      </c>
      <c r="O5" s="232" t="s">
        <v>817</v>
      </c>
      <c r="P5" s="232" t="s">
        <v>818</v>
      </c>
      <c r="Q5" s="232" t="s">
        <v>845</v>
      </c>
    </row>
    <row r="6" spans="1:17" ht="18" thickBot="1">
      <c r="A6" s="1563"/>
      <c r="B6" s="1564" t="s">
        <v>600</v>
      </c>
      <c r="C6" s="1565"/>
      <c r="D6" s="1561" t="s">
        <v>601</v>
      </c>
      <c r="E6" s="1568" t="s">
        <v>602</v>
      </c>
      <c r="F6" s="228" t="s">
        <v>603</v>
      </c>
      <c r="G6" s="1561" t="s">
        <v>604</v>
      </c>
      <c r="H6" s="227" t="s">
        <v>605</v>
      </c>
      <c r="I6" s="227" t="s">
        <v>606</v>
      </c>
      <c r="J6" s="227" t="s">
        <v>607</v>
      </c>
      <c r="K6" s="227" t="s">
        <v>608</v>
      </c>
      <c r="L6" s="227" t="s">
        <v>609</v>
      </c>
      <c r="M6" s="227" t="s">
        <v>610</v>
      </c>
      <c r="N6" s="228" t="s">
        <v>611</v>
      </c>
      <c r="O6" s="1570" t="s">
        <v>612</v>
      </c>
      <c r="P6" s="1571"/>
      <c r="Q6" s="1561" t="s">
        <v>495</v>
      </c>
    </row>
    <row r="7" spans="1:17" ht="35.25" thickBot="1">
      <c r="A7" s="1563"/>
      <c r="B7" s="1566"/>
      <c r="C7" s="1567"/>
      <c r="D7" s="1562"/>
      <c r="E7" s="1569"/>
      <c r="F7" s="230" t="s">
        <v>613</v>
      </c>
      <c r="G7" s="1562"/>
      <c r="H7" s="229" t="s">
        <v>614</v>
      </c>
      <c r="I7" s="229" t="s">
        <v>615</v>
      </c>
      <c r="J7" s="229" t="s">
        <v>616</v>
      </c>
      <c r="K7" s="229" t="s">
        <v>617</v>
      </c>
      <c r="L7" s="229"/>
      <c r="M7" s="229" t="s">
        <v>618</v>
      </c>
      <c r="N7" s="230" t="s">
        <v>619</v>
      </c>
      <c r="O7" s="231" t="s">
        <v>620</v>
      </c>
      <c r="P7" s="231" t="s">
        <v>621</v>
      </c>
      <c r="Q7" s="1562"/>
    </row>
    <row r="8" spans="1:17" ht="33" customHeight="1">
      <c r="A8" s="232">
        <v>1</v>
      </c>
      <c r="B8" s="805" t="s">
        <v>622</v>
      </c>
      <c r="C8" s="233" t="s">
        <v>580</v>
      </c>
      <c r="D8" s="234"/>
      <c r="E8" s="234"/>
      <c r="F8" s="234"/>
      <c r="G8" s="234"/>
      <c r="H8" s="234"/>
      <c r="I8" s="234"/>
      <c r="J8" s="234"/>
      <c r="K8" s="234"/>
      <c r="L8" s="234"/>
      <c r="M8" s="234"/>
      <c r="N8" s="234"/>
      <c r="O8" s="234">
        <v>2000</v>
      </c>
      <c r="P8" s="234">
        <v>205</v>
      </c>
      <c r="Q8" s="377">
        <f aca="true" t="shared" si="0" ref="Q8:Q43">SUM(D8:P8)</f>
        <v>2205</v>
      </c>
    </row>
    <row r="9" spans="1:17" ht="18" customHeight="1">
      <c r="A9" s="232">
        <v>2</v>
      </c>
      <c r="B9" s="806"/>
      <c r="C9" s="235" t="s">
        <v>581</v>
      </c>
      <c r="D9" s="236"/>
      <c r="E9" s="236"/>
      <c r="F9" s="236"/>
      <c r="G9" s="236"/>
      <c r="H9" s="236"/>
      <c r="I9" s="236">
        <v>260</v>
      </c>
      <c r="J9" s="236"/>
      <c r="K9" s="236">
        <v>100</v>
      </c>
      <c r="L9" s="236"/>
      <c r="M9" s="236">
        <v>800</v>
      </c>
      <c r="N9" s="236">
        <v>790</v>
      </c>
      <c r="O9" s="236">
        <v>255</v>
      </c>
      <c r="P9" s="236"/>
      <c r="Q9" s="241">
        <f t="shared" si="0"/>
        <v>2205</v>
      </c>
    </row>
    <row r="10" spans="1:17" ht="18" customHeight="1">
      <c r="A10" s="232">
        <v>3</v>
      </c>
      <c r="B10" s="806"/>
      <c r="C10" s="807" t="s">
        <v>579</v>
      </c>
      <c r="D10" s="237"/>
      <c r="E10" s="237"/>
      <c r="F10" s="237"/>
      <c r="G10" s="237"/>
      <c r="H10" s="237"/>
      <c r="I10" s="237">
        <v>110</v>
      </c>
      <c r="J10" s="237"/>
      <c r="K10" s="237">
        <v>53</v>
      </c>
      <c r="L10" s="237"/>
      <c r="M10" s="237">
        <v>800</v>
      </c>
      <c r="N10" s="237">
        <v>790</v>
      </c>
      <c r="O10" s="237"/>
      <c r="P10" s="237"/>
      <c r="Q10" s="378">
        <f t="shared" si="0"/>
        <v>1753</v>
      </c>
    </row>
    <row r="11" spans="1:17" ht="33" customHeight="1">
      <c r="A11" s="232">
        <v>4</v>
      </c>
      <c r="B11" s="805" t="s">
        <v>772</v>
      </c>
      <c r="C11" s="233" t="s">
        <v>580</v>
      </c>
      <c r="D11" s="234"/>
      <c r="E11" s="234"/>
      <c r="F11" s="234"/>
      <c r="G11" s="234"/>
      <c r="H11" s="234"/>
      <c r="I11" s="234"/>
      <c r="J11" s="234"/>
      <c r="K11" s="234"/>
      <c r="L11" s="234"/>
      <c r="M11" s="234"/>
      <c r="N11" s="234"/>
      <c r="O11" s="234">
        <v>2000</v>
      </c>
      <c r="P11" s="234">
        <v>377</v>
      </c>
      <c r="Q11" s="377">
        <f t="shared" si="0"/>
        <v>2377</v>
      </c>
    </row>
    <row r="12" spans="1:17" ht="18" customHeight="1">
      <c r="A12" s="232">
        <v>5</v>
      </c>
      <c r="B12" s="806"/>
      <c r="C12" s="235" t="s">
        <v>581</v>
      </c>
      <c r="D12" s="236">
        <v>842</v>
      </c>
      <c r="E12" s="236"/>
      <c r="F12" s="236"/>
      <c r="G12" s="236">
        <v>267</v>
      </c>
      <c r="H12" s="236"/>
      <c r="I12" s="236"/>
      <c r="J12" s="236"/>
      <c r="K12" s="236"/>
      <c r="L12" s="236"/>
      <c r="M12" s="236">
        <v>795</v>
      </c>
      <c r="N12" s="236"/>
      <c r="O12" s="236">
        <v>473</v>
      </c>
      <c r="P12" s="236"/>
      <c r="Q12" s="241">
        <f t="shared" si="0"/>
        <v>2377</v>
      </c>
    </row>
    <row r="13" spans="1:17" ht="18" customHeight="1">
      <c r="A13" s="232">
        <v>6</v>
      </c>
      <c r="B13" s="806"/>
      <c r="C13" s="807" t="s">
        <v>579</v>
      </c>
      <c r="D13" s="237">
        <v>149</v>
      </c>
      <c r="E13" s="237"/>
      <c r="F13" s="237"/>
      <c r="G13" s="237">
        <v>296</v>
      </c>
      <c r="H13" s="237"/>
      <c r="I13" s="237"/>
      <c r="J13" s="237"/>
      <c r="K13" s="237"/>
      <c r="L13" s="237"/>
      <c r="M13" s="237">
        <v>795</v>
      </c>
      <c r="N13" s="237"/>
      <c r="O13" s="237"/>
      <c r="P13" s="237"/>
      <c r="Q13" s="378">
        <f t="shared" si="0"/>
        <v>1240</v>
      </c>
    </row>
    <row r="14" spans="1:17" ht="33" customHeight="1">
      <c r="A14" s="232">
        <v>7</v>
      </c>
      <c r="B14" s="805" t="s">
        <v>623</v>
      </c>
      <c r="C14" s="233" t="s">
        <v>580</v>
      </c>
      <c r="D14" s="234"/>
      <c r="E14" s="234"/>
      <c r="F14" s="234"/>
      <c r="G14" s="234"/>
      <c r="H14" s="234"/>
      <c r="I14" s="234"/>
      <c r="J14" s="234"/>
      <c r="K14" s="234"/>
      <c r="L14" s="234"/>
      <c r="M14" s="234"/>
      <c r="N14" s="234"/>
      <c r="O14" s="234">
        <v>2000</v>
      </c>
      <c r="P14" s="234">
        <v>116</v>
      </c>
      <c r="Q14" s="377">
        <f t="shared" si="0"/>
        <v>2116</v>
      </c>
    </row>
    <row r="15" spans="1:17" ht="18" customHeight="1">
      <c r="A15" s="232">
        <v>8</v>
      </c>
      <c r="B15" s="806"/>
      <c r="C15" s="235" t="s">
        <v>581</v>
      </c>
      <c r="D15" s="236">
        <v>250</v>
      </c>
      <c r="E15" s="236"/>
      <c r="F15" s="236"/>
      <c r="G15" s="236">
        <v>200</v>
      </c>
      <c r="H15" s="236"/>
      <c r="I15" s="236">
        <v>240</v>
      </c>
      <c r="J15" s="236"/>
      <c r="K15" s="236"/>
      <c r="L15" s="236"/>
      <c r="M15" s="236">
        <v>800</v>
      </c>
      <c r="N15" s="236">
        <v>150</v>
      </c>
      <c r="O15" s="236">
        <v>476</v>
      </c>
      <c r="P15" s="236"/>
      <c r="Q15" s="241">
        <f t="shared" si="0"/>
        <v>2116</v>
      </c>
    </row>
    <row r="16" spans="1:17" ht="18" customHeight="1">
      <c r="A16" s="232">
        <v>9</v>
      </c>
      <c r="B16" s="806"/>
      <c r="C16" s="807" t="s">
        <v>579</v>
      </c>
      <c r="D16" s="237">
        <v>199</v>
      </c>
      <c r="E16" s="237"/>
      <c r="F16" s="237"/>
      <c r="G16" s="237">
        <v>200</v>
      </c>
      <c r="H16" s="237"/>
      <c r="I16" s="237">
        <v>240</v>
      </c>
      <c r="J16" s="237"/>
      <c r="K16" s="237"/>
      <c r="L16" s="237"/>
      <c r="M16" s="237">
        <v>800</v>
      </c>
      <c r="N16" s="237">
        <v>150</v>
      </c>
      <c r="O16" s="237"/>
      <c r="P16" s="237"/>
      <c r="Q16" s="378">
        <f t="shared" si="0"/>
        <v>1589</v>
      </c>
    </row>
    <row r="17" spans="1:17" ht="33" customHeight="1">
      <c r="A17" s="232">
        <v>10</v>
      </c>
      <c r="B17" s="805" t="s">
        <v>624</v>
      </c>
      <c r="C17" s="233" t="s">
        <v>580</v>
      </c>
      <c r="D17" s="234"/>
      <c r="E17" s="234"/>
      <c r="F17" s="234"/>
      <c r="G17" s="234"/>
      <c r="H17" s="234"/>
      <c r="I17" s="234"/>
      <c r="J17" s="234"/>
      <c r="K17" s="234"/>
      <c r="L17" s="234"/>
      <c r="M17" s="234"/>
      <c r="N17" s="234"/>
      <c r="O17" s="234">
        <v>2000</v>
      </c>
      <c r="P17" s="234">
        <v>1135</v>
      </c>
      <c r="Q17" s="377">
        <f t="shared" si="0"/>
        <v>3135</v>
      </c>
    </row>
    <row r="18" spans="1:17" ht="18" customHeight="1">
      <c r="A18" s="232">
        <v>11</v>
      </c>
      <c r="B18" s="806"/>
      <c r="C18" s="235" t="s">
        <v>581</v>
      </c>
      <c r="D18" s="236">
        <v>1032</v>
      </c>
      <c r="E18" s="236"/>
      <c r="F18" s="236"/>
      <c r="G18" s="236">
        <v>372</v>
      </c>
      <c r="H18" s="236"/>
      <c r="I18" s="236">
        <v>90</v>
      </c>
      <c r="J18" s="236"/>
      <c r="K18" s="236"/>
      <c r="L18" s="236"/>
      <c r="M18" s="236">
        <v>635</v>
      </c>
      <c r="N18" s="236">
        <v>380</v>
      </c>
      <c r="O18" s="236">
        <v>626</v>
      </c>
      <c r="P18" s="236"/>
      <c r="Q18" s="241">
        <f t="shared" si="0"/>
        <v>3135</v>
      </c>
    </row>
    <row r="19" spans="1:17" ht="18" customHeight="1">
      <c r="A19" s="232">
        <v>12</v>
      </c>
      <c r="B19" s="806"/>
      <c r="C19" s="807" t="s">
        <v>579</v>
      </c>
      <c r="D19" s="237">
        <v>340</v>
      </c>
      <c r="E19" s="237"/>
      <c r="F19" s="237"/>
      <c r="G19" s="237">
        <v>352</v>
      </c>
      <c r="H19" s="237"/>
      <c r="I19" s="237">
        <v>90</v>
      </c>
      <c r="J19" s="237"/>
      <c r="K19" s="237"/>
      <c r="L19" s="237"/>
      <c r="M19" s="237">
        <v>585</v>
      </c>
      <c r="N19" s="237">
        <v>380</v>
      </c>
      <c r="O19" s="237"/>
      <c r="P19" s="237"/>
      <c r="Q19" s="378">
        <f t="shared" si="0"/>
        <v>1747</v>
      </c>
    </row>
    <row r="20" spans="1:17" ht="33" customHeight="1">
      <c r="A20" s="232">
        <v>13</v>
      </c>
      <c r="B20" s="805" t="s">
        <v>625</v>
      </c>
      <c r="C20" s="233" t="s">
        <v>580</v>
      </c>
      <c r="D20" s="234"/>
      <c r="E20" s="234"/>
      <c r="F20" s="234"/>
      <c r="G20" s="234"/>
      <c r="H20" s="234"/>
      <c r="I20" s="234"/>
      <c r="J20" s="234"/>
      <c r="K20" s="234"/>
      <c r="L20" s="234"/>
      <c r="M20" s="234"/>
      <c r="N20" s="234"/>
      <c r="O20" s="234">
        <v>2000</v>
      </c>
      <c r="P20" s="234">
        <v>817</v>
      </c>
      <c r="Q20" s="377">
        <f t="shared" si="0"/>
        <v>2817</v>
      </c>
    </row>
    <row r="21" spans="1:17" ht="18" customHeight="1">
      <c r="A21" s="232">
        <v>14</v>
      </c>
      <c r="B21" s="806"/>
      <c r="C21" s="235" t="s">
        <v>581</v>
      </c>
      <c r="D21" s="236">
        <v>650</v>
      </c>
      <c r="E21" s="236"/>
      <c r="F21" s="236"/>
      <c r="G21" s="236">
        <v>221</v>
      </c>
      <c r="H21" s="236">
        <v>424</v>
      </c>
      <c r="I21" s="236"/>
      <c r="J21" s="236"/>
      <c r="K21" s="236"/>
      <c r="L21" s="236"/>
      <c r="M21" s="236">
        <v>455</v>
      </c>
      <c r="N21" s="236">
        <v>650</v>
      </c>
      <c r="O21" s="236">
        <v>417</v>
      </c>
      <c r="P21" s="236"/>
      <c r="Q21" s="241">
        <f t="shared" si="0"/>
        <v>2817</v>
      </c>
    </row>
    <row r="22" spans="1:17" ht="18" customHeight="1">
      <c r="A22" s="232">
        <v>15</v>
      </c>
      <c r="B22" s="806"/>
      <c r="C22" s="807" t="s">
        <v>579</v>
      </c>
      <c r="D22" s="237"/>
      <c r="E22" s="237"/>
      <c r="F22" s="237"/>
      <c r="G22" s="237">
        <v>221</v>
      </c>
      <c r="H22" s="237">
        <v>424</v>
      </c>
      <c r="I22" s="237"/>
      <c r="J22" s="237"/>
      <c r="K22" s="237"/>
      <c r="L22" s="237"/>
      <c r="M22" s="237">
        <v>455</v>
      </c>
      <c r="N22" s="237">
        <v>650</v>
      </c>
      <c r="O22" s="237"/>
      <c r="P22" s="237"/>
      <c r="Q22" s="378">
        <f t="shared" si="0"/>
        <v>1750</v>
      </c>
    </row>
    <row r="23" spans="1:17" ht="33" customHeight="1">
      <c r="A23" s="232">
        <v>16</v>
      </c>
      <c r="B23" s="805" t="s">
        <v>626</v>
      </c>
      <c r="C23" s="233" t="s">
        <v>580</v>
      </c>
      <c r="D23" s="234"/>
      <c r="E23" s="234"/>
      <c r="F23" s="234"/>
      <c r="G23" s="234"/>
      <c r="H23" s="234"/>
      <c r="I23" s="234"/>
      <c r="J23" s="234"/>
      <c r="K23" s="234"/>
      <c r="L23" s="234"/>
      <c r="M23" s="234"/>
      <c r="N23" s="234"/>
      <c r="O23" s="234">
        <v>2000</v>
      </c>
      <c r="P23" s="234">
        <v>636</v>
      </c>
      <c r="Q23" s="377">
        <f t="shared" si="0"/>
        <v>2636</v>
      </c>
    </row>
    <row r="24" spans="1:17" ht="18" customHeight="1">
      <c r="A24" s="232">
        <v>17</v>
      </c>
      <c r="B24" s="806"/>
      <c r="C24" s="235" t="s">
        <v>581</v>
      </c>
      <c r="D24" s="236">
        <v>600</v>
      </c>
      <c r="E24" s="236"/>
      <c r="F24" s="236"/>
      <c r="G24" s="236">
        <v>343</v>
      </c>
      <c r="H24" s="236">
        <v>150</v>
      </c>
      <c r="I24" s="236"/>
      <c r="J24" s="236"/>
      <c r="K24" s="236"/>
      <c r="L24" s="236"/>
      <c r="M24" s="236">
        <v>845</v>
      </c>
      <c r="N24" s="236">
        <v>235</v>
      </c>
      <c r="O24" s="236">
        <v>463</v>
      </c>
      <c r="P24" s="236"/>
      <c r="Q24" s="241">
        <f t="shared" si="0"/>
        <v>2636</v>
      </c>
    </row>
    <row r="25" spans="1:17" ht="18" customHeight="1">
      <c r="A25" s="232">
        <v>18</v>
      </c>
      <c r="B25" s="806"/>
      <c r="C25" s="807" t="s">
        <v>579</v>
      </c>
      <c r="D25" s="237"/>
      <c r="E25" s="237"/>
      <c r="F25" s="237"/>
      <c r="G25" s="237">
        <v>50</v>
      </c>
      <c r="H25" s="237"/>
      <c r="I25" s="237"/>
      <c r="J25" s="237"/>
      <c r="K25" s="237"/>
      <c r="L25" s="237"/>
      <c r="M25" s="237">
        <v>745</v>
      </c>
      <c r="N25" s="237">
        <v>235</v>
      </c>
      <c r="O25" s="237"/>
      <c r="P25" s="237"/>
      <c r="Q25" s="378">
        <f t="shared" si="0"/>
        <v>1030</v>
      </c>
    </row>
    <row r="26" spans="1:17" ht="33" customHeight="1">
      <c r="A26" s="232">
        <v>19</v>
      </c>
      <c r="B26" s="805" t="s">
        <v>627</v>
      </c>
      <c r="C26" s="233" t="s">
        <v>580</v>
      </c>
      <c r="D26" s="234"/>
      <c r="E26" s="234"/>
      <c r="F26" s="234"/>
      <c r="G26" s="234"/>
      <c r="H26" s="234"/>
      <c r="I26" s="234"/>
      <c r="J26" s="234"/>
      <c r="K26" s="234"/>
      <c r="L26" s="234"/>
      <c r="M26" s="234"/>
      <c r="N26" s="234"/>
      <c r="O26" s="234">
        <v>2000</v>
      </c>
      <c r="P26" s="234">
        <v>1458</v>
      </c>
      <c r="Q26" s="377">
        <f t="shared" si="0"/>
        <v>3458</v>
      </c>
    </row>
    <row r="27" spans="1:17" ht="18" customHeight="1">
      <c r="A27" s="232">
        <v>20</v>
      </c>
      <c r="B27" s="806"/>
      <c r="C27" s="235" t="s">
        <v>581</v>
      </c>
      <c r="D27" s="236">
        <v>143</v>
      </c>
      <c r="E27" s="236"/>
      <c r="F27" s="236"/>
      <c r="G27" s="236">
        <v>463</v>
      </c>
      <c r="H27" s="236">
        <v>150</v>
      </c>
      <c r="I27" s="236">
        <v>226</v>
      </c>
      <c r="J27" s="236"/>
      <c r="K27" s="236"/>
      <c r="L27" s="236"/>
      <c r="M27" s="236">
        <v>1095</v>
      </c>
      <c r="N27" s="236">
        <v>710</v>
      </c>
      <c r="O27" s="236">
        <v>671</v>
      </c>
      <c r="P27" s="236"/>
      <c r="Q27" s="241">
        <f t="shared" si="0"/>
        <v>3458</v>
      </c>
    </row>
    <row r="28" spans="1:17" ht="18" customHeight="1">
      <c r="A28" s="232">
        <v>21</v>
      </c>
      <c r="B28" s="806"/>
      <c r="C28" s="807" t="s">
        <v>579</v>
      </c>
      <c r="D28" s="237"/>
      <c r="E28" s="237"/>
      <c r="F28" s="237"/>
      <c r="G28" s="237">
        <v>322</v>
      </c>
      <c r="H28" s="237">
        <v>150</v>
      </c>
      <c r="I28" s="237">
        <v>226</v>
      </c>
      <c r="J28" s="237"/>
      <c r="K28" s="237"/>
      <c r="L28" s="237"/>
      <c r="M28" s="237">
        <v>1095</v>
      </c>
      <c r="N28" s="237">
        <v>710</v>
      </c>
      <c r="O28" s="237"/>
      <c r="P28" s="237"/>
      <c r="Q28" s="378">
        <f t="shared" si="0"/>
        <v>2503</v>
      </c>
    </row>
    <row r="29" spans="1:17" ht="33" customHeight="1">
      <c r="A29" s="232">
        <v>22</v>
      </c>
      <c r="B29" s="805" t="s">
        <v>628</v>
      </c>
      <c r="C29" s="233" t="s">
        <v>580</v>
      </c>
      <c r="D29" s="234"/>
      <c r="E29" s="234"/>
      <c r="F29" s="234"/>
      <c r="G29" s="234"/>
      <c r="H29" s="234"/>
      <c r="I29" s="234"/>
      <c r="J29" s="234"/>
      <c r="K29" s="234"/>
      <c r="L29" s="234"/>
      <c r="M29" s="234"/>
      <c r="N29" s="234"/>
      <c r="O29" s="234">
        <v>2000</v>
      </c>
      <c r="P29" s="234">
        <v>108</v>
      </c>
      <c r="Q29" s="377">
        <f t="shared" si="0"/>
        <v>2108</v>
      </c>
    </row>
    <row r="30" spans="1:17" ht="18" customHeight="1">
      <c r="A30" s="232">
        <v>23</v>
      </c>
      <c r="B30" s="806"/>
      <c r="C30" s="235" t="s">
        <v>581</v>
      </c>
      <c r="D30" s="236">
        <v>325</v>
      </c>
      <c r="E30" s="236"/>
      <c r="F30" s="236"/>
      <c r="G30" s="236">
        <v>240</v>
      </c>
      <c r="H30" s="236">
        <v>200</v>
      </c>
      <c r="I30" s="236"/>
      <c r="J30" s="236"/>
      <c r="K30" s="236">
        <v>100</v>
      </c>
      <c r="L30" s="236"/>
      <c r="M30" s="236">
        <v>627</v>
      </c>
      <c r="N30" s="236">
        <v>330</v>
      </c>
      <c r="O30" s="236">
        <v>286</v>
      </c>
      <c r="P30" s="236"/>
      <c r="Q30" s="241">
        <f t="shared" si="0"/>
        <v>2108</v>
      </c>
    </row>
    <row r="31" spans="1:17" ht="18" customHeight="1">
      <c r="A31" s="232">
        <v>24</v>
      </c>
      <c r="B31" s="806"/>
      <c r="C31" s="807" t="s">
        <v>579</v>
      </c>
      <c r="D31" s="237">
        <v>266</v>
      </c>
      <c r="E31" s="237"/>
      <c r="F31" s="237"/>
      <c r="G31" s="237">
        <v>150</v>
      </c>
      <c r="H31" s="237">
        <v>200</v>
      </c>
      <c r="I31" s="237"/>
      <c r="J31" s="237"/>
      <c r="K31" s="237">
        <v>100</v>
      </c>
      <c r="L31" s="237"/>
      <c r="M31" s="237">
        <v>627</v>
      </c>
      <c r="N31" s="237">
        <v>330</v>
      </c>
      <c r="O31" s="237"/>
      <c r="P31" s="237"/>
      <c r="Q31" s="378">
        <f t="shared" si="0"/>
        <v>1673</v>
      </c>
    </row>
    <row r="32" spans="1:17" ht="33" customHeight="1">
      <c r="A32" s="232">
        <v>25</v>
      </c>
      <c r="B32" s="805" t="s">
        <v>629</v>
      </c>
      <c r="C32" s="233" t="s">
        <v>580</v>
      </c>
      <c r="D32" s="234"/>
      <c r="E32" s="234"/>
      <c r="F32" s="234"/>
      <c r="G32" s="234"/>
      <c r="H32" s="234"/>
      <c r="I32" s="234"/>
      <c r="J32" s="234"/>
      <c r="K32" s="234"/>
      <c r="L32" s="234"/>
      <c r="M32" s="234"/>
      <c r="N32" s="234"/>
      <c r="O32" s="234">
        <v>2000</v>
      </c>
      <c r="P32" s="234">
        <v>74</v>
      </c>
      <c r="Q32" s="377">
        <f t="shared" si="0"/>
        <v>2074</v>
      </c>
    </row>
    <row r="33" spans="1:17" ht="18" customHeight="1">
      <c r="A33" s="232">
        <v>26</v>
      </c>
      <c r="B33" s="806"/>
      <c r="C33" s="235" t="s">
        <v>581</v>
      </c>
      <c r="D33" s="236">
        <v>835</v>
      </c>
      <c r="E33" s="236"/>
      <c r="F33" s="236"/>
      <c r="G33" s="236">
        <v>310</v>
      </c>
      <c r="H33" s="236"/>
      <c r="I33" s="236"/>
      <c r="J33" s="236"/>
      <c r="K33" s="236">
        <v>100</v>
      </c>
      <c r="L33" s="236"/>
      <c r="M33" s="236">
        <v>255</v>
      </c>
      <c r="N33" s="236">
        <v>520</v>
      </c>
      <c r="O33" s="236">
        <v>54</v>
      </c>
      <c r="P33" s="236"/>
      <c r="Q33" s="241">
        <f t="shared" si="0"/>
        <v>2074</v>
      </c>
    </row>
    <row r="34" spans="1:17" ht="18" customHeight="1">
      <c r="A34" s="232">
        <v>27</v>
      </c>
      <c r="B34" s="806"/>
      <c r="C34" s="807" t="s">
        <v>579</v>
      </c>
      <c r="D34" s="237">
        <v>647</v>
      </c>
      <c r="E34" s="237"/>
      <c r="F34" s="237"/>
      <c r="G34" s="237">
        <v>243</v>
      </c>
      <c r="H34" s="237"/>
      <c r="I34" s="237"/>
      <c r="J34" s="237"/>
      <c r="K34" s="237">
        <v>100</v>
      </c>
      <c r="L34" s="237"/>
      <c r="M34" s="237">
        <v>255</v>
      </c>
      <c r="N34" s="237">
        <v>520</v>
      </c>
      <c r="O34" s="237"/>
      <c r="P34" s="237"/>
      <c r="Q34" s="378">
        <f t="shared" si="0"/>
        <v>1765</v>
      </c>
    </row>
    <row r="35" spans="1:17" ht="33" customHeight="1">
      <c r="A35" s="232">
        <v>28</v>
      </c>
      <c r="B35" s="805" t="s">
        <v>630</v>
      </c>
      <c r="C35" s="233" t="s">
        <v>580</v>
      </c>
      <c r="D35" s="234"/>
      <c r="E35" s="234"/>
      <c r="F35" s="234"/>
      <c r="G35" s="234"/>
      <c r="H35" s="234"/>
      <c r="I35" s="234"/>
      <c r="J35" s="234"/>
      <c r="K35" s="234"/>
      <c r="L35" s="234"/>
      <c r="M35" s="234"/>
      <c r="N35" s="234"/>
      <c r="O35" s="234">
        <v>2000</v>
      </c>
      <c r="P35" s="234">
        <v>1007</v>
      </c>
      <c r="Q35" s="377">
        <f t="shared" si="0"/>
        <v>3007</v>
      </c>
    </row>
    <row r="36" spans="1:17" ht="18" customHeight="1">
      <c r="A36" s="232">
        <v>29</v>
      </c>
      <c r="B36" s="806"/>
      <c r="C36" s="235" t="s">
        <v>581</v>
      </c>
      <c r="D36" s="236">
        <v>1000</v>
      </c>
      <c r="E36" s="236"/>
      <c r="F36" s="236"/>
      <c r="G36" s="236">
        <v>100</v>
      </c>
      <c r="H36" s="236">
        <v>246</v>
      </c>
      <c r="I36" s="236">
        <v>220</v>
      </c>
      <c r="J36" s="236"/>
      <c r="K36" s="236"/>
      <c r="L36" s="236"/>
      <c r="M36" s="236">
        <v>276</v>
      </c>
      <c r="N36" s="236">
        <v>490</v>
      </c>
      <c r="O36" s="236">
        <v>675</v>
      </c>
      <c r="P36" s="236"/>
      <c r="Q36" s="241">
        <f t="shared" si="0"/>
        <v>3007</v>
      </c>
    </row>
    <row r="37" spans="1:17" ht="18" customHeight="1">
      <c r="A37" s="232">
        <v>30</v>
      </c>
      <c r="B37" s="806"/>
      <c r="C37" s="807" t="s">
        <v>579</v>
      </c>
      <c r="D37" s="237">
        <v>1000</v>
      </c>
      <c r="E37" s="237"/>
      <c r="F37" s="237"/>
      <c r="G37" s="237">
        <v>100</v>
      </c>
      <c r="H37" s="237">
        <v>246</v>
      </c>
      <c r="I37" s="237">
        <v>127</v>
      </c>
      <c r="J37" s="237"/>
      <c r="K37" s="237"/>
      <c r="L37" s="237"/>
      <c r="M37" s="237">
        <f>276+50</f>
        <v>326</v>
      </c>
      <c r="N37" s="237">
        <v>490</v>
      </c>
      <c r="O37" s="237"/>
      <c r="P37" s="237"/>
      <c r="Q37" s="378">
        <f t="shared" si="0"/>
        <v>2289</v>
      </c>
    </row>
    <row r="38" spans="1:17" ht="33" customHeight="1">
      <c r="A38" s="232">
        <v>31</v>
      </c>
      <c r="B38" s="805" t="s">
        <v>784</v>
      </c>
      <c r="C38" s="233" t="s">
        <v>580</v>
      </c>
      <c r="D38" s="234"/>
      <c r="E38" s="234"/>
      <c r="F38" s="234"/>
      <c r="G38" s="234"/>
      <c r="H38" s="234"/>
      <c r="I38" s="234"/>
      <c r="J38" s="234"/>
      <c r="K38" s="234"/>
      <c r="L38" s="234"/>
      <c r="M38" s="234"/>
      <c r="N38" s="234"/>
      <c r="O38" s="234">
        <v>2000</v>
      </c>
      <c r="P38" s="234">
        <v>1661</v>
      </c>
      <c r="Q38" s="377">
        <f t="shared" si="0"/>
        <v>3661</v>
      </c>
    </row>
    <row r="39" spans="1:17" ht="18" customHeight="1">
      <c r="A39" s="232">
        <v>32</v>
      </c>
      <c r="B39" s="806"/>
      <c r="C39" s="235" t="s">
        <v>581</v>
      </c>
      <c r="D39" s="236">
        <v>387</v>
      </c>
      <c r="E39" s="236"/>
      <c r="F39" s="236"/>
      <c r="G39" s="236">
        <v>141</v>
      </c>
      <c r="H39" s="236">
        <v>300</v>
      </c>
      <c r="I39" s="236">
        <v>155</v>
      </c>
      <c r="J39" s="236"/>
      <c r="K39" s="236"/>
      <c r="L39" s="236"/>
      <c r="M39" s="236">
        <v>805</v>
      </c>
      <c r="N39" s="236">
        <v>270</v>
      </c>
      <c r="O39" s="236">
        <v>1603</v>
      </c>
      <c r="P39" s="236"/>
      <c r="Q39" s="241">
        <f t="shared" si="0"/>
        <v>3661</v>
      </c>
    </row>
    <row r="40" spans="1:17" ht="18" customHeight="1">
      <c r="A40" s="232">
        <v>33</v>
      </c>
      <c r="B40" s="806"/>
      <c r="C40" s="807" t="s">
        <v>579</v>
      </c>
      <c r="D40" s="237"/>
      <c r="E40" s="237"/>
      <c r="F40" s="237"/>
      <c r="G40" s="237">
        <v>141</v>
      </c>
      <c r="H40" s="237">
        <v>300</v>
      </c>
      <c r="I40" s="237">
        <v>127</v>
      </c>
      <c r="J40" s="237"/>
      <c r="K40" s="237"/>
      <c r="L40" s="237"/>
      <c r="M40" s="237">
        <v>805</v>
      </c>
      <c r="N40" s="237">
        <v>270</v>
      </c>
      <c r="O40" s="237"/>
      <c r="P40" s="237"/>
      <c r="Q40" s="378">
        <f t="shared" si="0"/>
        <v>1643</v>
      </c>
    </row>
    <row r="41" spans="1:17" ht="33" customHeight="1">
      <c r="A41" s="232">
        <v>34</v>
      </c>
      <c r="B41" s="805" t="s">
        <v>785</v>
      </c>
      <c r="C41" s="233" t="s">
        <v>580</v>
      </c>
      <c r="D41" s="234"/>
      <c r="E41" s="234"/>
      <c r="F41" s="234"/>
      <c r="G41" s="234"/>
      <c r="H41" s="234"/>
      <c r="I41" s="234"/>
      <c r="J41" s="234"/>
      <c r="K41" s="234"/>
      <c r="L41" s="234"/>
      <c r="M41" s="234"/>
      <c r="N41" s="234"/>
      <c r="O41" s="234">
        <v>2000</v>
      </c>
      <c r="P41" s="234">
        <v>1</v>
      </c>
      <c r="Q41" s="377">
        <f t="shared" si="0"/>
        <v>2001</v>
      </c>
    </row>
    <row r="42" spans="1:17" ht="18" customHeight="1">
      <c r="A42" s="232">
        <v>35</v>
      </c>
      <c r="B42" s="806"/>
      <c r="C42" s="235" t="s">
        <v>581</v>
      </c>
      <c r="D42" s="236"/>
      <c r="E42" s="236"/>
      <c r="F42" s="236"/>
      <c r="G42" s="236">
        <v>105</v>
      </c>
      <c r="H42" s="236"/>
      <c r="I42" s="236">
        <v>20</v>
      </c>
      <c r="J42" s="236"/>
      <c r="K42" s="236"/>
      <c r="L42" s="236"/>
      <c r="M42" s="236">
        <v>625</v>
      </c>
      <c r="N42" s="236">
        <v>690</v>
      </c>
      <c r="O42" s="236">
        <v>561</v>
      </c>
      <c r="P42" s="236"/>
      <c r="Q42" s="241">
        <f t="shared" si="0"/>
        <v>2001</v>
      </c>
    </row>
    <row r="43" spans="1:17" s="1391" customFormat="1" ht="25.5" customHeight="1" thickBot="1">
      <c r="A43" s="802">
        <v>36</v>
      </c>
      <c r="B43" s="808"/>
      <c r="C43" s="809" t="s">
        <v>579</v>
      </c>
      <c r="D43" s="1392"/>
      <c r="E43" s="1392"/>
      <c r="F43" s="1392"/>
      <c r="G43" s="1392">
        <v>105</v>
      </c>
      <c r="H43" s="1392"/>
      <c r="I43" s="1392">
        <v>20</v>
      </c>
      <c r="J43" s="1392"/>
      <c r="K43" s="1392"/>
      <c r="L43" s="1392"/>
      <c r="M43" s="1392">
        <v>625</v>
      </c>
      <c r="N43" s="1392">
        <v>690</v>
      </c>
      <c r="O43" s="1392"/>
      <c r="P43" s="1392"/>
      <c r="Q43" s="1393">
        <f t="shared" si="0"/>
        <v>1440</v>
      </c>
    </row>
    <row r="44" spans="1:17" ht="19.5" customHeight="1">
      <c r="A44" s="232">
        <v>37</v>
      </c>
      <c r="B44" s="810"/>
      <c r="C44" s="238" t="s">
        <v>580</v>
      </c>
      <c r="D44" s="239">
        <f aca="true" t="shared" si="1" ref="D44:P45">SUM(D41,D38,D35,D32,D29,D26,D23,D20,D17,D14,D11,D8)</f>
        <v>0</v>
      </c>
      <c r="E44" s="239">
        <f t="shared" si="1"/>
        <v>0</v>
      </c>
      <c r="F44" s="239">
        <f t="shared" si="1"/>
        <v>0</v>
      </c>
      <c r="G44" s="239">
        <f t="shared" si="1"/>
        <v>0</v>
      </c>
      <c r="H44" s="239">
        <f t="shared" si="1"/>
        <v>0</v>
      </c>
      <c r="I44" s="239">
        <f t="shared" si="1"/>
        <v>0</v>
      </c>
      <c r="J44" s="239">
        <f t="shared" si="1"/>
        <v>0</v>
      </c>
      <c r="K44" s="239">
        <f t="shared" si="1"/>
        <v>0</v>
      </c>
      <c r="L44" s="239">
        <f t="shared" si="1"/>
        <v>0</v>
      </c>
      <c r="M44" s="239">
        <f t="shared" si="1"/>
        <v>0</v>
      </c>
      <c r="N44" s="239">
        <f t="shared" si="1"/>
        <v>0</v>
      </c>
      <c r="O44" s="239">
        <f t="shared" si="1"/>
        <v>24000</v>
      </c>
      <c r="P44" s="239">
        <f t="shared" si="1"/>
        <v>7595</v>
      </c>
      <c r="Q44" s="240">
        <f>SUM(D44:P44)</f>
        <v>31595</v>
      </c>
    </row>
    <row r="45" spans="1:17" ht="19.5" customHeight="1">
      <c r="A45" s="232">
        <v>38</v>
      </c>
      <c r="B45" s="806"/>
      <c r="C45" s="235" t="s">
        <v>581</v>
      </c>
      <c r="D45" s="236">
        <f t="shared" si="1"/>
        <v>6064</v>
      </c>
      <c r="E45" s="236">
        <f t="shared" si="1"/>
        <v>0</v>
      </c>
      <c r="F45" s="236">
        <f t="shared" si="1"/>
        <v>0</v>
      </c>
      <c r="G45" s="236">
        <f t="shared" si="1"/>
        <v>2762</v>
      </c>
      <c r="H45" s="236">
        <f t="shared" si="1"/>
        <v>1470</v>
      </c>
      <c r="I45" s="236">
        <f t="shared" si="1"/>
        <v>1211</v>
      </c>
      <c r="J45" s="236">
        <f t="shared" si="1"/>
        <v>0</v>
      </c>
      <c r="K45" s="236">
        <f t="shared" si="1"/>
        <v>300</v>
      </c>
      <c r="L45" s="236">
        <f t="shared" si="1"/>
        <v>0</v>
      </c>
      <c r="M45" s="236">
        <f t="shared" si="1"/>
        <v>8013</v>
      </c>
      <c r="N45" s="236">
        <f t="shared" si="1"/>
        <v>5215</v>
      </c>
      <c r="O45" s="236">
        <f t="shared" si="1"/>
        <v>6560</v>
      </c>
      <c r="P45" s="236">
        <f t="shared" si="1"/>
        <v>0</v>
      </c>
      <c r="Q45" s="241">
        <f>SUM(D45:P45)</f>
        <v>31595</v>
      </c>
    </row>
    <row r="46" spans="1:17" ht="19.5" customHeight="1" thickBot="1">
      <c r="A46" s="232">
        <v>39</v>
      </c>
      <c r="B46" s="811"/>
      <c r="C46" s="812" t="s">
        <v>579</v>
      </c>
      <c r="D46" s="813">
        <f>D43+D40+D37+D34+D31+D28+D25+D22+D19+D16+D13+D10</f>
        <v>2601</v>
      </c>
      <c r="E46" s="813">
        <f aca="true" t="shared" si="2" ref="E46:Q46">E43+E40+E37+E34+E31+E28+E25+E22+E19+E16+E13+E10</f>
        <v>0</v>
      </c>
      <c r="F46" s="813">
        <f t="shared" si="2"/>
        <v>0</v>
      </c>
      <c r="G46" s="813">
        <f t="shared" si="2"/>
        <v>2180</v>
      </c>
      <c r="H46" s="813">
        <f t="shared" si="2"/>
        <v>1320</v>
      </c>
      <c r="I46" s="813">
        <f t="shared" si="2"/>
        <v>940</v>
      </c>
      <c r="J46" s="813">
        <f t="shared" si="2"/>
        <v>0</v>
      </c>
      <c r="K46" s="813">
        <f t="shared" si="2"/>
        <v>253</v>
      </c>
      <c r="L46" s="813">
        <f t="shared" si="2"/>
        <v>0</v>
      </c>
      <c r="M46" s="813">
        <f t="shared" si="2"/>
        <v>7913</v>
      </c>
      <c r="N46" s="813">
        <f t="shared" si="2"/>
        <v>5215</v>
      </c>
      <c r="O46" s="813">
        <f t="shared" si="2"/>
        <v>0</v>
      </c>
      <c r="P46" s="813">
        <f t="shared" si="2"/>
        <v>0</v>
      </c>
      <c r="Q46" s="814">
        <f t="shared" si="2"/>
        <v>20422</v>
      </c>
    </row>
  </sheetData>
  <sheetProtection/>
  <mergeCells count="13">
    <mergeCell ref="Q6:Q7"/>
    <mergeCell ref="A6:A7"/>
    <mergeCell ref="B6:C7"/>
    <mergeCell ref="D6:D7"/>
    <mergeCell ref="E6:E7"/>
    <mergeCell ref="G6:G7"/>
    <mergeCell ref="O6:P6"/>
    <mergeCell ref="O4:Q4"/>
    <mergeCell ref="B5:C5"/>
    <mergeCell ref="B1:M1"/>
    <mergeCell ref="N1:Q1"/>
    <mergeCell ref="B2:Q2"/>
    <mergeCell ref="B3:Q3"/>
  </mergeCells>
  <printOptions/>
  <pageMargins left="0.5118110236220472" right="0.5118110236220472" top="0.7480314960629921" bottom="0.7480314960629921"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IV34"/>
  <sheetViews>
    <sheetView view="pageBreakPreview" zoomScaleSheetLayoutView="100" zoomScalePageLayoutView="0" workbookViewId="0" topLeftCell="A1">
      <selection activeCell="B1" sqref="B1"/>
    </sheetView>
  </sheetViews>
  <sheetFormatPr defaultColWidth="9.00390625" defaultRowHeight="12.75"/>
  <cols>
    <col min="1" max="1" width="4.75390625" style="1437" customWidth="1"/>
    <col min="2" max="2" width="40.75390625" style="1308" customWidth="1"/>
    <col min="3" max="3" width="12.75390625" style="942" customWidth="1"/>
    <col min="4" max="4" width="11.75390625" style="942" customWidth="1"/>
    <col min="5" max="5" width="14.75390625" style="942" customWidth="1"/>
    <col min="6" max="6" width="11.75390625" style="942" customWidth="1"/>
    <col min="7" max="11" width="11.75390625" style="943" customWidth="1"/>
    <col min="12" max="248" width="9.125" style="943" customWidth="1"/>
    <col min="249" max="16384" width="9.125" style="803" customWidth="1"/>
  </cols>
  <sheetData>
    <row r="1" spans="1:256" ht="15">
      <c r="A1" s="1435"/>
      <c r="B1" s="941" t="s">
        <v>1642</v>
      </c>
      <c r="C1" s="957"/>
      <c r="D1" s="957"/>
      <c r="E1" s="1596"/>
      <c r="F1" s="1596"/>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960"/>
      <c r="BA1" s="960"/>
      <c r="BB1" s="960"/>
      <c r="BC1" s="960"/>
      <c r="BD1" s="960"/>
      <c r="BE1" s="960"/>
      <c r="BF1" s="960"/>
      <c r="BG1" s="960"/>
      <c r="BH1" s="960"/>
      <c r="BI1" s="960"/>
      <c r="BJ1" s="960"/>
      <c r="BK1" s="960"/>
      <c r="BL1" s="960"/>
      <c r="BM1" s="960"/>
      <c r="BN1" s="960"/>
      <c r="BO1" s="960"/>
      <c r="BP1" s="960"/>
      <c r="BQ1" s="960"/>
      <c r="BR1" s="960"/>
      <c r="BS1" s="960"/>
      <c r="BT1" s="960"/>
      <c r="BU1" s="960"/>
      <c r="BV1" s="960"/>
      <c r="BW1" s="960"/>
      <c r="BX1" s="960"/>
      <c r="BY1" s="960"/>
      <c r="BZ1" s="960"/>
      <c r="CA1" s="960"/>
      <c r="CB1" s="960"/>
      <c r="CC1" s="960"/>
      <c r="CD1" s="960"/>
      <c r="CE1" s="960"/>
      <c r="CF1" s="960"/>
      <c r="CG1" s="960"/>
      <c r="CH1" s="960"/>
      <c r="CI1" s="960"/>
      <c r="CJ1" s="960"/>
      <c r="CK1" s="960"/>
      <c r="CL1" s="960"/>
      <c r="CM1" s="960"/>
      <c r="CN1" s="960"/>
      <c r="CO1" s="960"/>
      <c r="CP1" s="960"/>
      <c r="CQ1" s="960"/>
      <c r="CR1" s="960"/>
      <c r="CS1" s="960"/>
      <c r="CT1" s="960"/>
      <c r="CU1" s="960"/>
      <c r="CV1" s="960"/>
      <c r="CW1" s="960"/>
      <c r="CX1" s="960"/>
      <c r="CY1" s="960"/>
      <c r="CZ1" s="960"/>
      <c r="DA1" s="960"/>
      <c r="DB1" s="960"/>
      <c r="DC1" s="960"/>
      <c r="DD1" s="960"/>
      <c r="DE1" s="960"/>
      <c r="DF1" s="960"/>
      <c r="DG1" s="960"/>
      <c r="DH1" s="960"/>
      <c r="DI1" s="960"/>
      <c r="DJ1" s="960"/>
      <c r="DK1" s="960"/>
      <c r="DL1" s="960"/>
      <c r="DM1" s="960"/>
      <c r="DN1" s="960"/>
      <c r="DO1" s="960"/>
      <c r="DP1" s="960"/>
      <c r="DQ1" s="960"/>
      <c r="DR1" s="960"/>
      <c r="DS1" s="960"/>
      <c r="DT1" s="960"/>
      <c r="DU1" s="960"/>
      <c r="DV1" s="960"/>
      <c r="DW1" s="960"/>
      <c r="DX1" s="960"/>
      <c r="DY1" s="960"/>
      <c r="DZ1" s="960"/>
      <c r="EA1" s="960"/>
      <c r="EB1" s="960"/>
      <c r="EC1" s="960"/>
      <c r="ED1" s="960"/>
      <c r="EE1" s="960"/>
      <c r="EF1" s="960"/>
      <c r="EG1" s="960"/>
      <c r="EH1" s="960"/>
      <c r="EI1" s="960"/>
      <c r="EJ1" s="960"/>
      <c r="EK1" s="960"/>
      <c r="EL1" s="960"/>
      <c r="EM1" s="960"/>
      <c r="EN1" s="960"/>
      <c r="EO1" s="960"/>
      <c r="EP1" s="960"/>
      <c r="EQ1" s="960"/>
      <c r="ER1" s="960"/>
      <c r="ES1" s="960"/>
      <c r="ET1" s="960"/>
      <c r="EU1" s="960"/>
      <c r="EV1" s="960"/>
      <c r="EW1" s="960"/>
      <c r="EX1" s="960"/>
      <c r="EY1" s="960"/>
      <c r="EZ1" s="960"/>
      <c r="FA1" s="960"/>
      <c r="FB1" s="960"/>
      <c r="FC1" s="960"/>
      <c r="FD1" s="960"/>
      <c r="FE1" s="960"/>
      <c r="FF1" s="960"/>
      <c r="FG1" s="960"/>
      <c r="FH1" s="960"/>
      <c r="FI1" s="960"/>
      <c r="FJ1" s="960"/>
      <c r="FK1" s="960"/>
      <c r="FL1" s="960"/>
      <c r="FM1" s="960"/>
      <c r="FN1" s="960"/>
      <c r="FO1" s="960"/>
      <c r="FP1" s="960"/>
      <c r="FQ1" s="960"/>
      <c r="FR1" s="960"/>
      <c r="FS1" s="960"/>
      <c r="FT1" s="960"/>
      <c r="FU1" s="960"/>
      <c r="FV1" s="960"/>
      <c r="FW1" s="960"/>
      <c r="FX1" s="960"/>
      <c r="FY1" s="960"/>
      <c r="FZ1" s="960"/>
      <c r="GA1" s="960"/>
      <c r="GB1" s="960"/>
      <c r="GC1" s="960"/>
      <c r="GD1" s="960"/>
      <c r="GE1" s="960"/>
      <c r="GF1" s="960"/>
      <c r="GG1" s="960"/>
      <c r="GH1" s="960"/>
      <c r="GI1" s="960"/>
      <c r="GJ1" s="960"/>
      <c r="GK1" s="960"/>
      <c r="GL1" s="960"/>
      <c r="GM1" s="960"/>
      <c r="GN1" s="960"/>
      <c r="GO1" s="960"/>
      <c r="GP1" s="960"/>
      <c r="GQ1" s="960"/>
      <c r="GR1" s="960"/>
      <c r="GS1" s="960"/>
      <c r="GT1" s="960"/>
      <c r="GU1" s="960"/>
      <c r="GV1" s="960"/>
      <c r="GW1" s="960"/>
      <c r="GX1" s="960"/>
      <c r="GY1" s="960"/>
      <c r="GZ1" s="960"/>
      <c r="HA1" s="960"/>
      <c r="HB1" s="960"/>
      <c r="HC1" s="960"/>
      <c r="HD1" s="960"/>
      <c r="HE1" s="960"/>
      <c r="HF1" s="960"/>
      <c r="HG1" s="960"/>
      <c r="HH1" s="960"/>
      <c r="HI1" s="960"/>
      <c r="HJ1" s="960"/>
      <c r="HK1" s="960"/>
      <c r="HL1" s="960"/>
      <c r="HM1" s="960"/>
      <c r="HN1" s="960"/>
      <c r="HO1" s="960"/>
      <c r="HP1" s="960"/>
      <c r="HQ1" s="960"/>
      <c r="HR1" s="960"/>
      <c r="HS1" s="960"/>
      <c r="HT1" s="960"/>
      <c r="HU1" s="960"/>
      <c r="HV1" s="960"/>
      <c r="HW1" s="960"/>
      <c r="HX1" s="960"/>
      <c r="HY1" s="960"/>
      <c r="HZ1" s="960"/>
      <c r="IA1" s="960"/>
      <c r="IB1" s="960"/>
      <c r="IC1" s="960"/>
      <c r="ID1" s="960"/>
      <c r="IE1" s="960"/>
      <c r="IF1" s="960"/>
      <c r="IG1" s="960"/>
      <c r="IH1" s="960"/>
      <c r="II1" s="960"/>
      <c r="IJ1" s="960"/>
      <c r="IK1" s="960"/>
      <c r="IL1" s="960"/>
      <c r="IM1" s="960"/>
      <c r="IN1" s="960"/>
      <c r="IO1" s="959"/>
      <c r="IP1" s="959"/>
      <c r="IQ1" s="959"/>
      <c r="IR1" s="959"/>
      <c r="IS1" s="959"/>
      <c r="IT1" s="959"/>
      <c r="IU1" s="959"/>
      <c r="IV1" s="959"/>
    </row>
    <row r="2" spans="1:248" ht="18">
      <c r="A2" s="1597" t="s">
        <v>265</v>
      </c>
      <c r="B2" s="1597"/>
      <c r="C2" s="1597"/>
      <c r="D2" s="1597"/>
      <c r="E2" s="1597"/>
      <c r="F2" s="1597"/>
      <c r="G2" s="1597"/>
      <c r="H2" s="1597"/>
      <c r="I2" s="1597"/>
      <c r="J2" s="1597"/>
      <c r="K2" s="1597"/>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4"/>
      <c r="AL2" s="944"/>
      <c r="AM2" s="944"/>
      <c r="AN2" s="944"/>
      <c r="AO2" s="944"/>
      <c r="AP2" s="944"/>
      <c r="AQ2" s="944"/>
      <c r="AR2" s="944"/>
      <c r="AS2" s="944"/>
      <c r="AT2" s="944"/>
      <c r="AU2" s="944"/>
      <c r="AV2" s="944"/>
      <c r="AW2" s="944"/>
      <c r="AX2" s="944"/>
      <c r="AY2" s="944"/>
      <c r="AZ2" s="944"/>
      <c r="BA2" s="944"/>
      <c r="BB2" s="944"/>
      <c r="BC2" s="944"/>
      <c r="BD2" s="944"/>
      <c r="BE2" s="944"/>
      <c r="BF2" s="944"/>
      <c r="BG2" s="944"/>
      <c r="BH2" s="944"/>
      <c r="BI2" s="944"/>
      <c r="BJ2" s="944"/>
      <c r="BK2" s="944"/>
      <c r="BL2" s="944"/>
      <c r="BM2" s="944"/>
      <c r="BN2" s="944"/>
      <c r="BO2" s="944"/>
      <c r="BP2" s="944"/>
      <c r="BQ2" s="944"/>
      <c r="BR2" s="944"/>
      <c r="BS2" s="944"/>
      <c r="BT2" s="944"/>
      <c r="BU2" s="944"/>
      <c r="BV2" s="944"/>
      <c r="BW2" s="944"/>
      <c r="BX2" s="944"/>
      <c r="BY2" s="944"/>
      <c r="BZ2" s="944"/>
      <c r="CA2" s="944"/>
      <c r="CB2" s="944"/>
      <c r="CC2" s="944"/>
      <c r="CD2" s="944"/>
      <c r="CE2" s="944"/>
      <c r="CF2" s="944"/>
      <c r="CG2" s="944"/>
      <c r="CH2" s="944"/>
      <c r="CI2" s="944"/>
      <c r="CJ2" s="944"/>
      <c r="CK2" s="944"/>
      <c r="CL2" s="944"/>
      <c r="CM2" s="944"/>
      <c r="CN2" s="944"/>
      <c r="CO2" s="944"/>
      <c r="CP2" s="944"/>
      <c r="CQ2" s="944"/>
      <c r="CR2" s="944"/>
      <c r="CS2" s="944"/>
      <c r="CT2" s="944"/>
      <c r="CU2" s="944"/>
      <c r="CV2" s="944"/>
      <c r="CW2" s="944"/>
      <c r="CX2" s="944"/>
      <c r="CY2" s="944"/>
      <c r="CZ2" s="944"/>
      <c r="DA2" s="944"/>
      <c r="DB2" s="944"/>
      <c r="DC2" s="944"/>
      <c r="DD2" s="944"/>
      <c r="DE2" s="944"/>
      <c r="DF2" s="944"/>
      <c r="DG2" s="944"/>
      <c r="DH2" s="944"/>
      <c r="DI2" s="944"/>
      <c r="DJ2" s="944"/>
      <c r="DK2" s="944"/>
      <c r="DL2" s="944"/>
      <c r="DM2" s="944"/>
      <c r="DN2" s="944"/>
      <c r="DO2" s="944"/>
      <c r="DP2" s="944"/>
      <c r="DQ2" s="944"/>
      <c r="DR2" s="944"/>
      <c r="DS2" s="944"/>
      <c r="DT2" s="944"/>
      <c r="DU2" s="944"/>
      <c r="DV2" s="944"/>
      <c r="DW2" s="944"/>
      <c r="DX2" s="944"/>
      <c r="DY2" s="944"/>
      <c r="DZ2" s="944"/>
      <c r="EA2" s="944"/>
      <c r="EB2" s="944"/>
      <c r="EC2" s="944"/>
      <c r="ED2" s="944"/>
      <c r="EE2" s="944"/>
      <c r="EF2" s="944"/>
      <c r="EG2" s="944"/>
      <c r="EH2" s="944"/>
      <c r="EI2" s="944"/>
      <c r="EJ2" s="944"/>
      <c r="EK2" s="944"/>
      <c r="EL2" s="944"/>
      <c r="EM2" s="944"/>
      <c r="EN2" s="944"/>
      <c r="EO2" s="944"/>
      <c r="EP2" s="944"/>
      <c r="EQ2" s="944"/>
      <c r="ER2" s="944"/>
      <c r="ES2" s="944"/>
      <c r="ET2" s="944"/>
      <c r="EU2" s="944"/>
      <c r="EV2" s="944"/>
      <c r="EW2" s="944"/>
      <c r="EX2" s="944"/>
      <c r="EY2" s="944"/>
      <c r="EZ2" s="944"/>
      <c r="FA2" s="944"/>
      <c r="FB2" s="944"/>
      <c r="FC2" s="944"/>
      <c r="FD2" s="944"/>
      <c r="FE2" s="944"/>
      <c r="FF2" s="944"/>
      <c r="FG2" s="944"/>
      <c r="FH2" s="944"/>
      <c r="FI2" s="944"/>
      <c r="FJ2" s="944"/>
      <c r="FK2" s="944"/>
      <c r="FL2" s="944"/>
      <c r="FM2" s="944"/>
      <c r="FN2" s="944"/>
      <c r="FO2" s="944"/>
      <c r="FP2" s="944"/>
      <c r="FQ2" s="944"/>
      <c r="FR2" s="944"/>
      <c r="FS2" s="944"/>
      <c r="FT2" s="944"/>
      <c r="FU2" s="944"/>
      <c r="FV2" s="944"/>
      <c r="FW2" s="944"/>
      <c r="FX2" s="944"/>
      <c r="FY2" s="944"/>
      <c r="FZ2" s="944"/>
      <c r="GA2" s="944"/>
      <c r="GB2" s="944"/>
      <c r="GC2" s="944"/>
      <c r="GD2" s="944"/>
      <c r="GE2" s="944"/>
      <c r="GF2" s="944"/>
      <c r="GG2" s="944"/>
      <c r="GH2" s="944"/>
      <c r="GI2" s="944"/>
      <c r="GJ2" s="944"/>
      <c r="GK2" s="944"/>
      <c r="GL2" s="944"/>
      <c r="GM2" s="944"/>
      <c r="GN2" s="944"/>
      <c r="GO2" s="944"/>
      <c r="GP2" s="944"/>
      <c r="GQ2" s="944"/>
      <c r="GR2" s="944"/>
      <c r="GS2" s="944"/>
      <c r="GT2" s="944"/>
      <c r="GU2" s="944"/>
      <c r="GV2" s="944"/>
      <c r="GW2" s="944"/>
      <c r="GX2" s="944"/>
      <c r="GY2" s="944"/>
      <c r="GZ2" s="944"/>
      <c r="HA2" s="944"/>
      <c r="HB2" s="944"/>
      <c r="HC2" s="944"/>
      <c r="HD2" s="944"/>
      <c r="HE2" s="944"/>
      <c r="HF2" s="944"/>
      <c r="HG2" s="944"/>
      <c r="HH2" s="944"/>
      <c r="HI2" s="944"/>
      <c r="HJ2" s="944"/>
      <c r="HK2" s="944"/>
      <c r="HL2" s="944"/>
      <c r="HM2" s="944"/>
      <c r="HN2" s="944"/>
      <c r="HO2" s="944"/>
      <c r="HP2" s="944"/>
      <c r="HQ2" s="944"/>
      <c r="HR2" s="944"/>
      <c r="HS2" s="944"/>
      <c r="HT2" s="944"/>
      <c r="HU2" s="944"/>
      <c r="HV2" s="944"/>
      <c r="HW2" s="944"/>
      <c r="HX2" s="944"/>
      <c r="HY2" s="944"/>
      <c r="HZ2" s="944"/>
      <c r="IA2" s="944"/>
      <c r="IB2" s="944"/>
      <c r="IC2" s="944"/>
      <c r="ID2" s="944"/>
      <c r="IE2" s="944"/>
      <c r="IF2" s="944"/>
      <c r="IG2" s="944"/>
      <c r="IH2" s="944"/>
      <c r="II2" s="944"/>
      <c r="IJ2" s="944"/>
      <c r="IK2" s="944"/>
      <c r="IL2" s="944"/>
      <c r="IM2" s="944"/>
      <c r="IN2" s="944"/>
    </row>
    <row r="3" spans="1:248" ht="33" customHeight="1">
      <c r="A3" s="1598" t="s">
        <v>255</v>
      </c>
      <c r="B3" s="1598"/>
      <c r="C3" s="1598"/>
      <c r="D3" s="1598"/>
      <c r="E3" s="1598"/>
      <c r="F3" s="1598"/>
      <c r="G3" s="1598"/>
      <c r="H3" s="1598"/>
      <c r="I3" s="1598"/>
      <c r="J3" s="1598"/>
      <c r="K3" s="1598"/>
      <c r="L3" s="944"/>
      <c r="M3" s="944"/>
      <c r="N3" s="944"/>
      <c r="O3" s="944"/>
      <c r="P3" s="944"/>
      <c r="Q3" s="944"/>
      <c r="R3" s="944"/>
      <c r="S3" s="944"/>
      <c r="T3" s="944"/>
      <c r="U3" s="944"/>
      <c r="V3" s="944"/>
      <c r="W3" s="944"/>
      <c r="X3" s="944"/>
      <c r="Y3" s="944"/>
      <c r="Z3" s="944"/>
      <c r="AA3" s="944"/>
      <c r="AB3" s="944"/>
      <c r="AC3" s="944"/>
      <c r="AD3" s="944"/>
      <c r="AE3" s="944"/>
      <c r="AF3" s="944"/>
      <c r="AG3" s="944"/>
      <c r="AH3" s="944"/>
      <c r="AI3" s="944"/>
      <c r="AJ3" s="944"/>
      <c r="AK3" s="944"/>
      <c r="AL3" s="944"/>
      <c r="AM3" s="944"/>
      <c r="AN3" s="944"/>
      <c r="AO3" s="944"/>
      <c r="AP3" s="944"/>
      <c r="AQ3" s="944"/>
      <c r="AR3" s="944"/>
      <c r="AS3" s="944"/>
      <c r="AT3" s="944"/>
      <c r="AU3" s="944"/>
      <c r="AV3" s="944"/>
      <c r="AW3" s="944"/>
      <c r="AX3" s="944"/>
      <c r="AY3" s="944"/>
      <c r="AZ3" s="944"/>
      <c r="BA3" s="944"/>
      <c r="BB3" s="944"/>
      <c r="BC3" s="944"/>
      <c r="BD3" s="944"/>
      <c r="BE3" s="944"/>
      <c r="BF3" s="944"/>
      <c r="BG3" s="944"/>
      <c r="BH3" s="944"/>
      <c r="BI3" s="944"/>
      <c r="BJ3" s="944"/>
      <c r="BK3" s="944"/>
      <c r="BL3" s="944"/>
      <c r="BM3" s="944"/>
      <c r="BN3" s="944"/>
      <c r="BO3" s="944"/>
      <c r="BP3" s="944"/>
      <c r="BQ3" s="944"/>
      <c r="BR3" s="944"/>
      <c r="BS3" s="944"/>
      <c r="BT3" s="944"/>
      <c r="BU3" s="944"/>
      <c r="BV3" s="944"/>
      <c r="BW3" s="944"/>
      <c r="BX3" s="944"/>
      <c r="BY3" s="944"/>
      <c r="BZ3" s="944"/>
      <c r="CA3" s="944"/>
      <c r="CB3" s="944"/>
      <c r="CC3" s="944"/>
      <c r="CD3" s="944"/>
      <c r="CE3" s="944"/>
      <c r="CF3" s="944"/>
      <c r="CG3" s="944"/>
      <c r="CH3" s="944"/>
      <c r="CI3" s="944"/>
      <c r="CJ3" s="944"/>
      <c r="CK3" s="944"/>
      <c r="CL3" s="944"/>
      <c r="CM3" s="944"/>
      <c r="CN3" s="944"/>
      <c r="CO3" s="944"/>
      <c r="CP3" s="944"/>
      <c r="CQ3" s="944"/>
      <c r="CR3" s="944"/>
      <c r="CS3" s="944"/>
      <c r="CT3" s="944"/>
      <c r="CU3" s="944"/>
      <c r="CV3" s="944"/>
      <c r="CW3" s="944"/>
      <c r="CX3" s="944"/>
      <c r="CY3" s="944"/>
      <c r="CZ3" s="944"/>
      <c r="DA3" s="944"/>
      <c r="DB3" s="944"/>
      <c r="DC3" s="944"/>
      <c r="DD3" s="944"/>
      <c r="DE3" s="944"/>
      <c r="DF3" s="944"/>
      <c r="DG3" s="944"/>
      <c r="DH3" s="944"/>
      <c r="DI3" s="944"/>
      <c r="DJ3" s="944"/>
      <c r="DK3" s="944"/>
      <c r="DL3" s="944"/>
      <c r="DM3" s="944"/>
      <c r="DN3" s="944"/>
      <c r="DO3" s="944"/>
      <c r="DP3" s="944"/>
      <c r="DQ3" s="944"/>
      <c r="DR3" s="944"/>
      <c r="DS3" s="944"/>
      <c r="DT3" s="944"/>
      <c r="DU3" s="944"/>
      <c r="DV3" s="944"/>
      <c r="DW3" s="944"/>
      <c r="DX3" s="944"/>
      <c r="DY3" s="944"/>
      <c r="DZ3" s="944"/>
      <c r="EA3" s="944"/>
      <c r="EB3" s="944"/>
      <c r="EC3" s="944"/>
      <c r="ED3" s="944"/>
      <c r="EE3" s="944"/>
      <c r="EF3" s="944"/>
      <c r="EG3" s="944"/>
      <c r="EH3" s="944"/>
      <c r="EI3" s="944"/>
      <c r="EJ3" s="944"/>
      <c r="EK3" s="944"/>
      <c r="EL3" s="944"/>
      <c r="EM3" s="944"/>
      <c r="EN3" s="944"/>
      <c r="EO3" s="944"/>
      <c r="EP3" s="944"/>
      <c r="EQ3" s="944"/>
      <c r="ER3" s="944"/>
      <c r="ES3" s="944"/>
      <c r="ET3" s="944"/>
      <c r="EU3" s="944"/>
      <c r="EV3" s="944"/>
      <c r="EW3" s="944"/>
      <c r="EX3" s="944"/>
      <c r="EY3" s="944"/>
      <c r="EZ3" s="944"/>
      <c r="FA3" s="944"/>
      <c r="FB3" s="944"/>
      <c r="FC3" s="944"/>
      <c r="FD3" s="944"/>
      <c r="FE3" s="944"/>
      <c r="FF3" s="944"/>
      <c r="FG3" s="944"/>
      <c r="FH3" s="944"/>
      <c r="FI3" s="944"/>
      <c r="FJ3" s="944"/>
      <c r="FK3" s="944"/>
      <c r="FL3" s="944"/>
      <c r="FM3" s="944"/>
      <c r="FN3" s="944"/>
      <c r="FO3" s="944"/>
      <c r="FP3" s="944"/>
      <c r="FQ3" s="944"/>
      <c r="FR3" s="944"/>
      <c r="FS3" s="944"/>
      <c r="FT3" s="944"/>
      <c r="FU3" s="944"/>
      <c r="FV3" s="944"/>
      <c r="FW3" s="944"/>
      <c r="FX3" s="944"/>
      <c r="FY3" s="944"/>
      <c r="FZ3" s="944"/>
      <c r="GA3" s="944"/>
      <c r="GB3" s="944"/>
      <c r="GC3" s="944"/>
      <c r="GD3" s="944"/>
      <c r="GE3" s="944"/>
      <c r="GF3" s="944"/>
      <c r="GG3" s="944"/>
      <c r="GH3" s="944"/>
      <c r="GI3" s="944"/>
      <c r="GJ3" s="944"/>
      <c r="GK3" s="944"/>
      <c r="GL3" s="944"/>
      <c r="GM3" s="944"/>
      <c r="GN3" s="944"/>
      <c r="GO3" s="944"/>
      <c r="GP3" s="944"/>
      <c r="GQ3" s="944"/>
      <c r="GR3" s="944"/>
      <c r="GS3" s="944"/>
      <c r="GT3" s="944"/>
      <c r="GU3" s="944"/>
      <c r="GV3" s="944"/>
      <c r="GW3" s="944"/>
      <c r="GX3" s="944"/>
      <c r="GY3" s="944"/>
      <c r="GZ3" s="944"/>
      <c r="HA3" s="944"/>
      <c r="HB3" s="944"/>
      <c r="HC3" s="944"/>
      <c r="HD3" s="944"/>
      <c r="HE3" s="944"/>
      <c r="HF3" s="944"/>
      <c r="HG3" s="944"/>
      <c r="HH3" s="944"/>
      <c r="HI3" s="944"/>
      <c r="HJ3" s="944"/>
      <c r="HK3" s="944"/>
      <c r="HL3" s="944"/>
      <c r="HM3" s="944"/>
      <c r="HN3" s="944"/>
      <c r="HO3" s="944"/>
      <c r="HP3" s="944"/>
      <c r="HQ3" s="944"/>
      <c r="HR3" s="944"/>
      <c r="HS3" s="944"/>
      <c r="HT3" s="944"/>
      <c r="HU3" s="944"/>
      <c r="HV3" s="944"/>
      <c r="HW3" s="944"/>
      <c r="HX3" s="944"/>
      <c r="HY3" s="944"/>
      <c r="HZ3" s="944"/>
      <c r="IA3" s="944"/>
      <c r="IB3" s="944"/>
      <c r="IC3" s="944"/>
      <c r="ID3" s="944"/>
      <c r="IE3" s="944"/>
      <c r="IF3" s="944"/>
      <c r="IG3" s="944"/>
      <c r="IH3" s="944"/>
      <c r="II3" s="944"/>
      <c r="IJ3" s="944"/>
      <c r="IK3" s="944"/>
      <c r="IL3" s="944"/>
      <c r="IM3" s="944"/>
      <c r="IN3" s="944"/>
    </row>
    <row r="4" spans="1:248" ht="18">
      <c r="A4" s="1597" t="s">
        <v>256</v>
      </c>
      <c r="B4" s="1597"/>
      <c r="C4" s="1597"/>
      <c r="D4" s="1597"/>
      <c r="E4" s="1597"/>
      <c r="F4" s="1597"/>
      <c r="G4" s="1597"/>
      <c r="H4" s="1597"/>
      <c r="I4" s="1597"/>
      <c r="J4" s="1597"/>
      <c r="K4" s="1597"/>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944"/>
      <c r="AX4" s="944"/>
      <c r="AY4" s="944"/>
      <c r="AZ4" s="944"/>
      <c r="BA4" s="944"/>
      <c r="BB4" s="944"/>
      <c r="BC4" s="944"/>
      <c r="BD4" s="944"/>
      <c r="BE4" s="944"/>
      <c r="BF4" s="944"/>
      <c r="BG4" s="944"/>
      <c r="BH4" s="944"/>
      <c r="BI4" s="944"/>
      <c r="BJ4" s="944"/>
      <c r="BK4" s="944"/>
      <c r="BL4" s="944"/>
      <c r="BM4" s="944"/>
      <c r="BN4" s="944"/>
      <c r="BO4" s="944"/>
      <c r="BP4" s="944"/>
      <c r="BQ4" s="944"/>
      <c r="BR4" s="944"/>
      <c r="BS4" s="944"/>
      <c r="BT4" s="944"/>
      <c r="BU4" s="944"/>
      <c r="BV4" s="944"/>
      <c r="BW4" s="944"/>
      <c r="BX4" s="944"/>
      <c r="BY4" s="944"/>
      <c r="BZ4" s="944"/>
      <c r="CA4" s="944"/>
      <c r="CB4" s="944"/>
      <c r="CC4" s="944"/>
      <c r="CD4" s="944"/>
      <c r="CE4" s="944"/>
      <c r="CF4" s="944"/>
      <c r="CG4" s="944"/>
      <c r="CH4" s="944"/>
      <c r="CI4" s="944"/>
      <c r="CJ4" s="944"/>
      <c r="CK4" s="944"/>
      <c r="CL4" s="944"/>
      <c r="CM4" s="944"/>
      <c r="CN4" s="944"/>
      <c r="CO4" s="944"/>
      <c r="CP4" s="944"/>
      <c r="CQ4" s="944"/>
      <c r="CR4" s="944"/>
      <c r="CS4" s="944"/>
      <c r="CT4" s="944"/>
      <c r="CU4" s="944"/>
      <c r="CV4" s="944"/>
      <c r="CW4" s="944"/>
      <c r="CX4" s="944"/>
      <c r="CY4" s="944"/>
      <c r="CZ4" s="944"/>
      <c r="DA4" s="944"/>
      <c r="DB4" s="944"/>
      <c r="DC4" s="944"/>
      <c r="DD4" s="944"/>
      <c r="DE4" s="944"/>
      <c r="DF4" s="944"/>
      <c r="DG4" s="944"/>
      <c r="DH4" s="944"/>
      <c r="DI4" s="944"/>
      <c r="DJ4" s="944"/>
      <c r="DK4" s="944"/>
      <c r="DL4" s="944"/>
      <c r="DM4" s="944"/>
      <c r="DN4" s="944"/>
      <c r="DO4" s="944"/>
      <c r="DP4" s="944"/>
      <c r="DQ4" s="944"/>
      <c r="DR4" s="944"/>
      <c r="DS4" s="944"/>
      <c r="DT4" s="944"/>
      <c r="DU4" s="944"/>
      <c r="DV4" s="944"/>
      <c r="DW4" s="944"/>
      <c r="DX4" s="944"/>
      <c r="DY4" s="944"/>
      <c r="DZ4" s="944"/>
      <c r="EA4" s="944"/>
      <c r="EB4" s="944"/>
      <c r="EC4" s="944"/>
      <c r="ED4" s="944"/>
      <c r="EE4" s="944"/>
      <c r="EF4" s="944"/>
      <c r="EG4" s="944"/>
      <c r="EH4" s="944"/>
      <c r="EI4" s="944"/>
      <c r="EJ4" s="944"/>
      <c r="EK4" s="944"/>
      <c r="EL4" s="944"/>
      <c r="EM4" s="944"/>
      <c r="EN4" s="944"/>
      <c r="EO4" s="944"/>
      <c r="EP4" s="944"/>
      <c r="EQ4" s="944"/>
      <c r="ER4" s="944"/>
      <c r="ES4" s="944"/>
      <c r="ET4" s="944"/>
      <c r="EU4" s="944"/>
      <c r="EV4" s="944"/>
      <c r="EW4" s="944"/>
      <c r="EX4" s="944"/>
      <c r="EY4" s="944"/>
      <c r="EZ4" s="944"/>
      <c r="FA4" s="944"/>
      <c r="FB4" s="944"/>
      <c r="FC4" s="944"/>
      <c r="FD4" s="944"/>
      <c r="FE4" s="944"/>
      <c r="FF4" s="944"/>
      <c r="FG4" s="944"/>
      <c r="FH4" s="944"/>
      <c r="FI4" s="944"/>
      <c r="FJ4" s="944"/>
      <c r="FK4" s="944"/>
      <c r="FL4" s="944"/>
      <c r="FM4" s="944"/>
      <c r="FN4" s="944"/>
      <c r="FO4" s="944"/>
      <c r="FP4" s="944"/>
      <c r="FQ4" s="944"/>
      <c r="FR4" s="944"/>
      <c r="FS4" s="944"/>
      <c r="FT4" s="944"/>
      <c r="FU4" s="944"/>
      <c r="FV4" s="944"/>
      <c r="FW4" s="944"/>
      <c r="FX4" s="944"/>
      <c r="FY4" s="944"/>
      <c r="FZ4" s="944"/>
      <c r="GA4" s="944"/>
      <c r="GB4" s="944"/>
      <c r="GC4" s="944"/>
      <c r="GD4" s="944"/>
      <c r="GE4" s="944"/>
      <c r="GF4" s="944"/>
      <c r="GG4" s="944"/>
      <c r="GH4" s="944"/>
      <c r="GI4" s="944"/>
      <c r="GJ4" s="944"/>
      <c r="GK4" s="944"/>
      <c r="GL4" s="944"/>
      <c r="GM4" s="944"/>
      <c r="GN4" s="944"/>
      <c r="GO4" s="944"/>
      <c r="GP4" s="944"/>
      <c r="GQ4" s="944"/>
      <c r="GR4" s="944"/>
      <c r="GS4" s="944"/>
      <c r="GT4" s="944"/>
      <c r="GU4" s="944"/>
      <c r="GV4" s="944"/>
      <c r="GW4" s="944"/>
      <c r="GX4" s="944"/>
      <c r="GY4" s="944"/>
      <c r="GZ4" s="944"/>
      <c r="HA4" s="944"/>
      <c r="HB4" s="944"/>
      <c r="HC4" s="944"/>
      <c r="HD4" s="944"/>
      <c r="HE4" s="944"/>
      <c r="HF4" s="944"/>
      <c r="HG4" s="944"/>
      <c r="HH4" s="944"/>
      <c r="HI4" s="944"/>
      <c r="HJ4" s="944"/>
      <c r="HK4" s="944"/>
      <c r="HL4" s="944"/>
      <c r="HM4" s="944"/>
      <c r="HN4" s="944"/>
      <c r="HO4" s="944"/>
      <c r="HP4" s="944"/>
      <c r="HQ4" s="944"/>
      <c r="HR4" s="944"/>
      <c r="HS4" s="944"/>
      <c r="HT4" s="944"/>
      <c r="HU4" s="944"/>
      <c r="HV4" s="944"/>
      <c r="HW4" s="944"/>
      <c r="HX4" s="944"/>
      <c r="HY4" s="944"/>
      <c r="HZ4" s="944"/>
      <c r="IA4" s="944"/>
      <c r="IB4" s="944"/>
      <c r="IC4" s="944"/>
      <c r="ID4" s="944"/>
      <c r="IE4" s="944"/>
      <c r="IF4" s="944"/>
      <c r="IG4" s="944"/>
      <c r="IH4" s="944"/>
      <c r="II4" s="944"/>
      <c r="IJ4" s="944"/>
      <c r="IK4" s="944"/>
      <c r="IL4" s="944"/>
      <c r="IM4" s="944"/>
      <c r="IN4" s="944"/>
    </row>
    <row r="5" spans="1:256" ht="15">
      <c r="A5" s="1436"/>
      <c r="B5" s="956"/>
      <c r="C5" s="956"/>
      <c r="D5" s="956"/>
      <c r="E5" s="957"/>
      <c r="F5" s="957"/>
      <c r="G5" s="958"/>
      <c r="H5" s="958"/>
      <c r="I5" s="958"/>
      <c r="J5" s="1599" t="s">
        <v>496</v>
      </c>
      <c r="K5" s="1599"/>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8"/>
      <c r="AT5" s="958"/>
      <c r="AU5" s="958"/>
      <c r="AV5" s="958"/>
      <c r="AW5" s="958"/>
      <c r="AX5" s="958"/>
      <c r="AY5" s="958"/>
      <c r="AZ5" s="958"/>
      <c r="BA5" s="958"/>
      <c r="BB5" s="958"/>
      <c r="BC5" s="958"/>
      <c r="BD5" s="958"/>
      <c r="BE5" s="958"/>
      <c r="BF5" s="958"/>
      <c r="BG5" s="958"/>
      <c r="BH5" s="958"/>
      <c r="BI5" s="958"/>
      <c r="BJ5" s="958"/>
      <c r="BK5" s="958"/>
      <c r="BL5" s="958"/>
      <c r="BM5" s="958"/>
      <c r="BN5" s="958"/>
      <c r="BO5" s="958"/>
      <c r="BP5" s="958"/>
      <c r="BQ5" s="958"/>
      <c r="BR5" s="958"/>
      <c r="BS5" s="958"/>
      <c r="BT5" s="958"/>
      <c r="BU5" s="958"/>
      <c r="BV5" s="958"/>
      <c r="BW5" s="958"/>
      <c r="BX5" s="958"/>
      <c r="BY5" s="958"/>
      <c r="BZ5" s="958"/>
      <c r="CA5" s="958"/>
      <c r="CB5" s="958"/>
      <c r="CC5" s="958"/>
      <c r="CD5" s="958"/>
      <c r="CE5" s="958"/>
      <c r="CF5" s="958"/>
      <c r="CG5" s="958"/>
      <c r="CH5" s="958"/>
      <c r="CI5" s="958"/>
      <c r="CJ5" s="958"/>
      <c r="CK5" s="958"/>
      <c r="CL5" s="958"/>
      <c r="CM5" s="958"/>
      <c r="CN5" s="958"/>
      <c r="CO5" s="958"/>
      <c r="CP5" s="958"/>
      <c r="CQ5" s="958"/>
      <c r="CR5" s="958"/>
      <c r="CS5" s="958"/>
      <c r="CT5" s="958"/>
      <c r="CU5" s="958"/>
      <c r="CV5" s="958"/>
      <c r="CW5" s="958"/>
      <c r="CX5" s="958"/>
      <c r="CY5" s="958"/>
      <c r="CZ5" s="958"/>
      <c r="DA5" s="958"/>
      <c r="DB5" s="958"/>
      <c r="DC5" s="958"/>
      <c r="DD5" s="958"/>
      <c r="DE5" s="958"/>
      <c r="DF5" s="958"/>
      <c r="DG5" s="958"/>
      <c r="DH5" s="958"/>
      <c r="DI5" s="958"/>
      <c r="DJ5" s="958"/>
      <c r="DK5" s="958"/>
      <c r="DL5" s="958"/>
      <c r="DM5" s="958"/>
      <c r="DN5" s="958"/>
      <c r="DO5" s="958"/>
      <c r="DP5" s="958"/>
      <c r="DQ5" s="958"/>
      <c r="DR5" s="958"/>
      <c r="DS5" s="958"/>
      <c r="DT5" s="958"/>
      <c r="DU5" s="958"/>
      <c r="DV5" s="958"/>
      <c r="DW5" s="958"/>
      <c r="DX5" s="958"/>
      <c r="DY5" s="958"/>
      <c r="DZ5" s="958"/>
      <c r="EA5" s="958"/>
      <c r="EB5" s="958"/>
      <c r="EC5" s="958"/>
      <c r="ED5" s="958"/>
      <c r="EE5" s="958"/>
      <c r="EF5" s="958"/>
      <c r="EG5" s="958"/>
      <c r="EH5" s="958"/>
      <c r="EI5" s="958"/>
      <c r="EJ5" s="958"/>
      <c r="EK5" s="958"/>
      <c r="EL5" s="958"/>
      <c r="EM5" s="958"/>
      <c r="EN5" s="958"/>
      <c r="EO5" s="958"/>
      <c r="EP5" s="958"/>
      <c r="EQ5" s="958"/>
      <c r="ER5" s="958"/>
      <c r="ES5" s="958"/>
      <c r="ET5" s="958"/>
      <c r="EU5" s="958"/>
      <c r="EV5" s="958"/>
      <c r="EW5" s="958"/>
      <c r="EX5" s="958"/>
      <c r="EY5" s="958"/>
      <c r="EZ5" s="958"/>
      <c r="FA5" s="958"/>
      <c r="FB5" s="958"/>
      <c r="FC5" s="958"/>
      <c r="FD5" s="958"/>
      <c r="FE5" s="958"/>
      <c r="FF5" s="958"/>
      <c r="FG5" s="958"/>
      <c r="FH5" s="958"/>
      <c r="FI5" s="958"/>
      <c r="FJ5" s="958"/>
      <c r="FK5" s="958"/>
      <c r="FL5" s="958"/>
      <c r="FM5" s="958"/>
      <c r="FN5" s="958"/>
      <c r="FO5" s="958"/>
      <c r="FP5" s="958"/>
      <c r="FQ5" s="958"/>
      <c r="FR5" s="958"/>
      <c r="FS5" s="958"/>
      <c r="FT5" s="958"/>
      <c r="FU5" s="958"/>
      <c r="FV5" s="958"/>
      <c r="FW5" s="958"/>
      <c r="FX5" s="958"/>
      <c r="FY5" s="958"/>
      <c r="FZ5" s="958"/>
      <c r="GA5" s="958"/>
      <c r="GB5" s="958"/>
      <c r="GC5" s="958"/>
      <c r="GD5" s="958"/>
      <c r="GE5" s="958"/>
      <c r="GF5" s="958"/>
      <c r="GG5" s="958"/>
      <c r="GH5" s="958"/>
      <c r="GI5" s="958"/>
      <c r="GJ5" s="958"/>
      <c r="GK5" s="958"/>
      <c r="GL5" s="958"/>
      <c r="GM5" s="958"/>
      <c r="GN5" s="958"/>
      <c r="GO5" s="958"/>
      <c r="GP5" s="958"/>
      <c r="GQ5" s="958"/>
      <c r="GR5" s="958"/>
      <c r="GS5" s="958"/>
      <c r="GT5" s="958"/>
      <c r="GU5" s="958"/>
      <c r="GV5" s="958"/>
      <c r="GW5" s="958"/>
      <c r="GX5" s="958"/>
      <c r="GY5" s="958"/>
      <c r="GZ5" s="958"/>
      <c r="HA5" s="958"/>
      <c r="HB5" s="958"/>
      <c r="HC5" s="958"/>
      <c r="HD5" s="958"/>
      <c r="HE5" s="958"/>
      <c r="HF5" s="958"/>
      <c r="HG5" s="958"/>
      <c r="HH5" s="958"/>
      <c r="HI5" s="958"/>
      <c r="HJ5" s="958"/>
      <c r="HK5" s="958"/>
      <c r="HL5" s="958"/>
      <c r="HM5" s="958"/>
      <c r="HN5" s="958"/>
      <c r="HO5" s="958"/>
      <c r="HP5" s="958"/>
      <c r="HQ5" s="958"/>
      <c r="HR5" s="958"/>
      <c r="HS5" s="958"/>
      <c r="HT5" s="958"/>
      <c r="HU5" s="958"/>
      <c r="HV5" s="958"/>
      <c r="HW5" s="958"/>
      <c r="HX5" s="958"/>
      <c r="HY5" s="958"/>
      <c r="HZ5" s="958"/>
      <c r="IA5" s="958"/>
      <c r="IB5" s="958"/>
      <c r="IC5" s="958"/>
      <c r="ID5" s="958"/>
      <c r="IE5" s="958"/>
      <c r="IF5" s="958"/>
      <c r="IG5" s="958"/>
      <c r="IH5" s="958"/>
      <c r="II5" s="958"/>
      <c r="IJ5" s="958"/>
      <c r="IK5" s="958"/>
      <c r="IL5" s="958"/>
      <c r="IM5" s="958"/>
      <c r="IN5" s="958"/>
      <c r="IO5" s="959"/>
      <c r="IP5" s="959"/>
      <c r="IQ5" s="959"/>
      <c r="IR5" s="959"/>
      <c r="IS5" s="959"/>
      <c r="IT5" s="959"/>
      <c r="IU5" s="959"/>
      <c r="IV5" s="959"/>
    </row>
    <row r="6" spans="1:256" ht="15.75" thickBot="1">
      <c r="A6" s="1600" t="s">
        <v>504</v>
      </c>
      <c r="B6" s="1600"/>
      <c r="C6" s="946" t="s">
        <v>505</v>
      </c>
      <c r="D6" s="946" t="s">
        <v>506</v>
      </c>
      <c r="E6" s="947" t="s">
        <v>507</v>
      </c>
      <c r="F6" s="946" t="s">
        <v>508</v>
      </c>
      <c r="G6" s="946" t="s">
        <v>509</v>
      </c>
      <c r="H6" s="947" t="s">
        <v>510</v>
      </c>
      <c r="I6" s="946" t="s">
        <v>394</v>
      </c>
      <c r="J6" s="946" t="s">
        <v>395</v>
      </c>
      <c r="K6" s="947" t="s">
        <v>814</v>
      </c>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8"/>
      <c r="AY6" s="948"/>
      <c r="AZ6" s="948"/>
      <c r="BA6" s="948"/>
      <c r="BB6" s="948"/>
      <c r="BC6" s="948"/>
      <c r="BD6" s="948"/>
      <c r="BE6" s="948"/>
      <c r="BF6" s="948"/>
      <c r="BG6" s="948"/>
      <c r="BH6" s="948"/>
      <c r="BI6" s="948"/>
      <c r="BJ6" s="948"/>
      <c r="BK6" s="948"/>
      <c r="BL6" s="948"/>
      <c r="BM6" s="948"/>
      <c r="BN6" s="948"/>
      <c r="BO6" s="948"/>
      <c r="BP6" s="948"/>
      <c r="BQ6" s="948"/>
      <c r="BR6" s="948"/>
      <c r="BS6" s="948"/>
      <c r="BT6" s="948"/>
      <c r="BU6" s="948"/>
      <c r="BV6" s="948"/>
      <c r="BW6" s="948"/>
      <c r="BX6" s="948"/>
      <c r="BY6" s="948"/>
      <c r="BZ6" s="948"/>
      <c r="CA6" s="948"/>
      <c r="CB6" s="948"/>
      <c r="CC6" s="948"/>
      <c r="CD6" s="948"/>
      <c r="CE6" s="948"/>
      <c r="CF6" s="948"/>
      <c r="CG6" s="948"/>
      <c r="CH6" s="948"/>
      <c r="CI6" s="948"/>
      <c r="CJ6" s="948"/>
      <c r="CK6" s="948"/>
      <c r="CL6" s="948"/>
      <c r="CM6" s="948"/>
      <c r="CN6" s="948"/>
      <c r="CO6" s="948"/>
      <c r="CP6" s="948"/>
      <c r="CQ6" s="948"/>
      <c r="CR6" s="948"/>
      <c r="CS6" s="948"/>
      <c r="CT6" s="948"/>
      <c r="CU6" s="948"/>
      <c r="CV6" s="948"/>
      <c r="CW6" s="948"/>
      <c r="CX6" s="948"/>
      <c r="CY6" s="948"/>
      <c r="CZ6" s="948"/>
      <c r="DA6" s="948"/>
      <c r="DB6" s="948"/>
      <c r="DC6" s="948"/>
      <c r="DD6" s="948"/>
      <c r="DE6" s="948"/>
      <c r="DF6" s="948"/>
      <c r="DG6" s="948"/>
      <c r="DH6" s="948"/>
      <c r="DI6" s="948"/>
      <c r="DJ6" s="948"/>
      <c r="DK6" s="948"/>
      <c r="DL6" s="948"/>
      <c r="DM6" s="948"/>
      <c r="DN6" s="948"/>
      <c r="DO6" s="948"/>
      <c r="DP6" s="948"/>
      <c r="DQ6" s="948"/>
      <c r="DR6" s="948"/>
      <c r="DS6" s="948"/>
      <c r="DT6" s="948"/>
      <c r="DU6" s="948"/>
      <c r="DV6" s="948"/>
      <c r="DW6" s="948"/>
      <c r="DX6" s="948"/>
      <c r="DY6" s="948"/>
      <c r="DZ6" s="948"/>
      <c r="EA6" s="948"/>
      <c r="EB6" s="948"/>
      <c r="EC6" s="948"/>
      <c r="ED6" s="948"/>
      <c r="EE6" s="948"/>
      <c r="EF6" s="948"/>
      <c r="EG6" s="948"/>
      <c r="EH6" s="948"/>
      <c r="EI6" s="948"/>
      <c r="EJ6" s="948"/>
      <c r="EK6" s="948"/>
      <c r="EL6" s="948"/>
      <c r="EM6" s="948"/>
      <c r="EN6" s="948"/>
      <c r="EO6" s="948"/>
      <c r="EP6" s="948"/>
      <c r="EQ6" s="948"/>
      <c r="ER6" s="948"/>
      <c r="ES6" s="948"/>
      <c r="ET6" s="948"/>
      <c r="EU6" s="948"/>
      <c r="EV6" s="948"/>
      <c r="EW6" s="948"/>
      <c r="EX6" s="948"/>
      <c r="EY6" s="948"/>
      <c r="EZ6" s="948"/>
      <c r="FA6" s="948"/>
      <c r="FB6" s="948"/>
      <c r="FC6" s="948"/>
      <c r="FD6" s="948"/>
      <c r="FE6" s="948"/>
      <c r="FF6" s="948"/>
      <c r="FG6" s="948"/>
      <c r="FH6" s="948"/>
      <c r="FI6" s="948"/>
      <c r="FJ6" s="948"/>
      <c r="FK6" s="948"/>
      <c r="FL6" s="948"/>
      <c r="FM6" s="948"/>
      <c r="FN6" s="948"/>
      <c r="FO6" s="948"/>
      <c r="FP6" s="948"/>
      <c r="FQ6" s="948"/>
      <c r="FR6" s="948"/>
      <c r="FS6" s="948"/>
      <c r="FT6" s="948"/>
      <c r="FU6" s="948"/>
      <c r="FV6" s="948"/>
      <c r="FW6" s="948"/>
      <c r="FX6" s="948"/>
      <c r="FY6" s="948"/>
      <c r="FZ6" s="948"/>
      <c r="GA6" s="948"/>
      <c r="GB6" s="948"/>
      <c r="GC6" s="948"/>
      <c r="GD6" s="948"/>
      <c r="GE6" s="948"/>
      <c r="GF6" s="948"/>
      <c r="GG6" s="948"/>
      <c r="GH6" s="948"/>
      <c r="GI6" s="948"/>
      <c r="GJ6" s="948"/>
      <c r="GK6" s="948"/>
      <c r="GL6" s="948"/>
      <c r="GM6" s="948"/>
      <c r="GN6" s="948"/>
      <c r="GO6" s="948"/>
      <c r="GP6" s="948"/>
      <c r="GQ6" s="948"/>
      <c r="GR6" s="948"/>
      <c r="GS6" s="948"/>
      <c r="GT6" s="948"/>
      <c r="GU6" s="948"/>
      <c r="GV6" s="948"/>
      <c r="GW6" s="948"/>
      <c r="GX6" s="948"/>
      <c r="GY6" s="948"/>
      <c r="GZ6" s="948"/>
      <c r="HA6" s="948"/>
      <c r="HB6" s="948"/>
      <c r="HC6" s="948"/>
      <c r="HD6" s="948"/>
      <c r="HE6" s="948"/>
      <c r="HF6" s="948"/>
      <c r="HG6" s="948"/>
      <c r="HH6" s="948"/>
      <c r="HI6" s="948"/>
      <c r="HJ6" s="948"/>
      <c r="HK6" s="948"/>
      <c r="HL6" s="948"/>
      <c r="HM6" s="948"/>
      <c r="HN6" s="948"/>
      <c r="HO6" s="948"/>
      <c r="HP6" s="948"/>
      <c r="HQ6" s="948"/>
      <c r="HR6" s="948"/>
      <c r="HS6" s="948"/>
      <c r="HT6" s="948"/>
      <c r="HU6" s="948"/>
      <c r="HV6" s="948"/>
      <c r="HW6" s="948"/>
      <c r="HX6" s="948"/>
      <c r="HY6" s="948"/>
      <c r="HZ6" s="948"/>
      <c r="IA6" s="948"/>
      <c r="IB6" s="948"/>
      <c r="IC6" s="948"/>
      <c r="ID6" s="948"/>
      <c r="IE6" s="948"/>
      <c r="IF6" s="948"/>
      <c r="IG6" s="948"/>
      <c r="IH6" s="948"/>
      <c r="II6" s="948"/>
      <c r="IJ6" s="948"/>
      <c r="IK6" s="948"/>
      <c r="IL6" s="948"/>
      <c r="IM6" s="948"/>
      <c r="IN6" s="948"/>
      <c r="IO6" s="959"/>
      <c r="IP6" s="959"/>
      <c r="IQ6" s="959"/>
      <c r="IR6" s="959"/>
      <c r="IS6" s="959"/>
      <c r="IT6" s="959"/>
      <c r="IU6" s="959"/>
      <c r="IV6" s="959"/>
    </row>
    <row r="7" spans="1:248" ht="21.75" customHeight="1">
      <c r="A7" s="1575" t="s">
        <v>257</v>
      </c>
      <c r="B7" s="1578" t="s">
        <v>258</v>
      </c>
      <c r="C7" s="1581" t="s">
        <v>45</v>
      </c>
      <c r="D7" s="1582"/>
      <c r="E7" s="1583"/>
      <c r="F7" s="1581" t="s">
        <v>154</v>
      </c>
      <c r="G7" s="1582"/>
      <c r="H7" s="1583"/>
      <c r="I7" s="1584" t="s">
        <v>1199</v>
      </c>
      <c r="J7" s="1582"/>
      <c r="K7" s="1585"/>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49"/>
      <c r="AZ7" s="949"/>
      <c r="BA7" s="949"/>
      <c r="BB7" s="949"/>
      <c r="BC7" s="949"/>
      <c r="BD7" s="949"/>
      <c r="BE7" s="949"/>
      <c r="BF7" s="949"/>
      <c r="BG7" s="949"/>
      <c r="BH7" s="949"/>
      <c r="BI7" s="949"/>
      <c r="BJ7" s="949"/>
      <c r="BK7" s="949"/>
      <c r="BL7" s="949"/>
      <c r="BM7" s="949"/>
      <c r="BN7" s="949"/>
      <c r="BO7" s="949"/>
      <c r="BP7" s="949"/>
      <c r="BQ7" s="949"/>
      <c r="BR7" s="949"/>
      <c r="BS7" s="949"/>
      <c r="BT7" s="949"/>
      <c r="BU7" s="949"/>
      <c r="BV7" s="949"/>
      <c r="BW7" s="949"/>
      <c r="BX7" s="949"/>
      <c r="BY7" s="949"/>
      <c r="BZ7" s="949"/>
      <c r="CA7" s="949"/>
      <c r="CB7" s="949"/>
      <c r="CC7" s="949"/>
      <c r="CD7" s="949"/>
      <c r="CE7" s="949"/>
      <c r="CF7" s="949"/>
      <c r="CG7" s="949"/>
      <c r="CH7" s="949"/>
      <c r="CI7" s="949"/>
      <c r="CJ7" s="949"/>
      <c r="CK7" s="949"/>
      <c r="CL7" s="949"/>
      <c r="CM7" s="949"/>
      <c r="CN7" s="949"/>
      <c r="CO7" s="949"/>
      <c r="CP7" s="949"/>
      <c r="CQ7" s="949"/>
      <c r="CR7" s="949"/>
      <c r="CS7" s="949"/>
      <c r="CT7" s="949"/>
      <c r="CU7" s="949"/>
      <c r="CV7" s="949"/>
      <c r="CW7" s="949"/>
      <c r="CX7" s="949"/>
      <c r="CY7" s="949"/>
      <c r="CZ7" s="949"/>
      <c r="DA7" s="949"/>
      <c r="DB7" s="949"/>
      <c r="DC7" s="949"/>
      <c r="DD7" s="949"/>
      <c r="DE7" s="949"/>
      <c r="DF7" s="949"/>
      <c r="DG7" s="949"/>
      <c r="DH7" s="949"/>
      <c r="DI7" s="949"/>
      <c r="DJ7" s="949"/>
      <c r="DK7" s="949"/>
      <c r="DL7" s="949"/>
      <c r="DM7" s="949"/>
      <c r="DN7" s="949"/>
      <c r="DO7" s="949"/>
      <c r="DP7" s="949"/>
      <c r="DQ7" s="949"/>
      <c r="DR7" s="949"/>
      <c r="DS7" s="949"/>
      <c r="DT7" s="949"/>
      <c r="DU7" s="949"/>
      <c r="DV7" s="949"/>
      <c r="DW7" s="949"/>
      <c r="DX7" s="949"/>
      <c r="DY7" s="949"/>
      <c r="DZ7" s="949"/>
      <c r="EA7" s="949"/>
      <c r="EB7" s="949"/>
      <c r="EC7" s="949"/>
      <c r="ED7" s="949"/>
      <c r="EE7" s="949"/>
      <c r="EF7" s="949"/>
      <c r="EG7" s="949"/>
      <c r="EH7" s="949"/>
      <c r="EI7" s="949"/>
      <c r="EJ7" s="949"/>
      <c r="EK7" s="949"/>
      <c r="EL7" s="949"/>
      <c r="EM7" s="949"/>
      <c r="EN7" s="949"/>
      <c r="EO7" s="949"/>
      <c r="EP7" s="949"/>
      <c r="EQ7" s="949"/>
      <c r="ER7" s="949"/>
      <c r="ES7" s="949"/>
      <c r="ET7" s="949"/>
      <c r="EU7" s="949"/>
      <c r="EV7" s="949"/>
      <c r="EW7" s="949"/>
      <c r="EX7" s="949"/>
      <c r="EY7" s="949"/>
      <c r="EZ7" s="949"/>
      <c r="FA7" s="949"/>
      <c r="FB7" s="949"/>
      <c r="FC7" s="949"/>
      <c r="FD7" s="949"/>
      <c r="FE7" s="949"/>
      <c r="FF7" s="949"/>
      <c r="FG7" s="949"/>
      <c r="FH7" s="949"/>
      <c r="FI7" s="949"/>
      <c r="FJ7" s="949"/>
      <c r="FK7" s="949"/>
      <c r="FL7" s="949"/>
      <c r="FM7" s="949"/>
      <c r="FN7" s="949"/>
      <c r="FO7" s="949"/>
      <c r="FP7" s="949"/>
      <c r="FQ7" s="949"/>
      <c r="FR7" s="949"/>
      <c r="FS7" s="949"/>
      <c r="FT7" s="949"/>
      <c r="FU7" s="949"/>
      <c r="FV7" s="949"/>
      <c r="FW7" s="949"/>
      <c r="FX7" s="949"/>
      <c r="FY7" s="949"/>
      <c r="FZ7" s="949"/>
      <c r="GA7" s="949"/>
      <c r="GB7" s="949"/>
      <c r="GC7" s="949"/>
      <c r="GD7" s="949"/>
      <c r="GE7" s="949"/>
      <c r="GF7" s="949"/>
      <c r="GG7" s="949"/>
      <c r="GH7" s="949"/>
      <c r="GI7" s="949"/>
      <c r="GJ7" s="949"/>
      <c r="GK7" s="949"/>
      <c r="GL7" s="949"/>
      <c r="GM7" s="949"/>
      <c r="GN7" s="949"/>
      <c r="GO7" s="949"/>
      <c r="GP7" s="949"/>
      <c r="GQ7" s="949"/>
      <c r="GR7" s="949"/>
      <c r="GS7" s="949"/>
      <c r="GT7" s="949"/>
      <c r="GU7" s="949"/>
      <c r="GV7" s="949"/>
      <c r="GW7" s="949"/>
      <c r="GX7" s="949"/>
      <c r="GY7" s="949"/>
      <c r="GZ7" s="949"/>
      <c r="HA7" s="949"/>
      <c r="HB7" s="949"/>
      <c r="HC7" s="949"/>
      <c r="HD7" s="949"/>
      <c r="HE7" s="949"/>
      <c r="HF7" s="949"/>
      <c r="HG7" s="949"/>
      <c r="HH7" s="949"/>
      <c r="HI7" s="949"/>
      <c r="HJ7" s="949"/>
      <c r="HK7" s="949"/>
      <c r="HL7" s="949"/>
      <c r="HM7" s="949"/>
      <c r="HN7" s="949"/>
      <c r="HO7" s="949"/>
      <c r="HP7" s="949"/>
      <c r="HQ7" s="949"/>
      <c r="HR7" s="949"/>
      <c r="HS7" s="949"/>
      <c r="HT7" s="949"/>
      <c r="HU7" s="949"/>
      <c r="HV7" s="949"/>
      <c r="HW7" s="949"/>
      <c r="HX7" s="949"/>
      <c r="HY7" s="949"/>
      <c r="HZ7" s="949"/>
      <c r="IA7" s="949"/>
      <c r="IB7" s="949"/>
      <c r="IC7" s="949"/>
      <c r="ID7" s="949"/>
      <c r="IE7" s="949"/>
      <c r="IF7" s="949"/>
      <c r="IG7" s="949"/>
      <c r="IH7" s="949"/>
      <c r="II7" s="949"/>
      <c r="IJ7" s="949"/>
      <c r="IK7" s="949"/>
      <c r="IL7" s="949"/>
      <c r="IM7" s="949"/>
      <c r="IN7" s="949"/>
    </row>
    <row r="8" spans="1:248" ht="16.5">
      <c r="A8" s="1576"/>
      <c r="B8" s="1579"/>
      <c r="C8" s="1586" t="s">
        <v>259</v>
      </c>
      <c r="D8" s="1588" t="s">
        <v>260</v>
      </c>
      <c r="E8" s="1590" t="s">
        <v>495</v>
      </c>
      <c r="F8" s="1586" t="s">
        <v>259</v>
      </c>
      <c r="G8" s="1588" t="s">
        <v>260</v>
      </c>
      <c r="H8" s="1590" t="s">
        <v>495</v>
      </c>
      <c r="I8" s="1592" t="s">
        <v>259</v>
      </c>
      <c r="J8" s="1588" t="s">
        <v>260</v>
      </c>
      <c r="K8" s="1594" t="s">
        <v>495</v>
      </c>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49"/>
      <c r="AZ8" s="949"/>
      <c r="BA8" s="949"/>
      <c r="BB8" s="949"/>
      <c r="BC8" s="949"/>
      <c r="BD8" s="949"/>
      <c r="BE8" s="949"/>
      <c r="BF8" s="949"/>
      <c r="BG8" s="949"/>
      <c r="BH8" s="949"/>
      <c r="BI8" s="949"/>
      <c r="BJ8" s="949"/>
      <c r="BK8" s="949"/>
      <c r="BL8" s="949"/>
      <c r="BM8" s="949"/>
      <c r="BN8" s="949"/>
      <c r="BO8" s="949"/>
      <c r="BP8" s="949"/>
      <c r="BQ8" s="949"/>
      <c r="BR8" s="949"/>
      <c r="BS8" s="949"/>
      <c r="BT8" s="949"/>
      <c r="BU8" s="949"/>
      <c r="BV8" s="949"/>
      <c r="BW8" s="949"/>
      <c r="BX8" s="949"/>
      <c r="BY8" s="949"/>
      <c r="BZ8" s="949"/>
      <c r="CA8" s="949"/>
      <c r="CB8" s="949"/>
      <c r="CC8" s="949"/>
      <c r="CD8" s="949"/>
      <c r="CE8" s="949"/>
      <c r="CF8" s="949"/>
      <c r="CG8" s="949"/>
      <c r="CH8" s="949"/>
      <c r="CI8" s="949"/>
      <c r="CJ8" s="949"/>
      <c r="CK8" s="949"/>
      <c r="CL8" s="949"/>
      <c r="CM8" s="949"/>
      <c r="CN8" s="949"/>
      <c r="CO8" s="949"/>
      <c r="CP8" s="949"/>
      <c r="CQ8" s="949"/>
      <c r="CR8" s="949"/>
      <c r="CS8" s="949"/>
      <c r="CT8" s="949"/>
      <c r="CU8" s="949"/>
      <c r="CV8" s="949"/>
      <c r="CW8" s="949"/>
      <c r="CX8" s="949"/>
      <c r="CY8" s="949"/>
      <c r="CZ8" s="949"/>
      <c r="DA8" s="949"/>
      <c r="DB8" s="949"/>
      <c r="DC8" s="949"/>
      <c r="DD8" s="949"/>
      <c r="DE8" s="949"/>
      <c r="DF8" s="949"/>
      <c r="DG8" s="949"/>
      <c r="DH8" s="949"/>
      <c r="DI8" s="949"/>
      <c r="DJ8" s="949"/>
      <c r="DK8" s="949"/>
      <c r="DL8" s="949"/>
      <c r="DM8" s="949"/>
      <c r="DN8" s="949"/>
      <c r="DO8" s="949"/>
      <c r="DP8" s="949"/>
      <c r="DQ8" s="949"/>
      <c r="DR8" s="949"/>
      <c r="DS8" s="949"/>
      <c r="DT8" s="949"/>
      <c r="DU8" s="949"/>
      <c r="DV8" s="949"/>
      <c r="DW8" s="949"/>
      <c r="DX8" s="949"/>
      <c r="DY8" s="949"/>
      <c r="DZ8" s="949"/>
      <c r="EA8" s="949"/>
      <c r="EB8" s="949"/>
      <c r="EC8" s="949"/>
      <c r="ED8" s="949"/>
      <c r="EE8" s="949"/>
      <c r="EF8" s="949"/>
      <c r="EG8" s="949"/>
      <c r="EH8" s="949"/>
      <c r="EI8" s="949"/>
      <c r="EJ8" s="949"/>
      <c r="EK8" s="949"/>
      <c r="EL8" s="949"/>
      <c r="EM8" s="949"/>
      <c r="EN8" s="949"/>
      <c r="EO8" s="949"/>
      <c r="EP8" s="949"/>
      <c r="EQ8" s="949"/>
      <c r="ER8" s="949"/>
      <c r="ES8" s="949"/>
      <c r="ET8" s="949"/>
      <c r="EU8" s="949"/>
      <c r="EV8" s="949"/>
      <c r="EW8" s="949"/>
      <c r="EX8" s="949"/>
      <c r="EY8" s="949"/>
      <c r="EZ8" s="949"/>
      <c r="FA8" s="949"/>
      <c r="FB8" s="949"/>
      <c r="FC8" s="949"/>
      <c r="FD8" s="949"/>
      <c r="FE8" s="949"/>
      <c r="FF8" s="949"/>
      <c r="FG8" s="949"/>
      <c r="FH8" s="949"/>
      <c r="FI8" s="949"/>
      <c r="FJ8" s="949"/>
      <c r="FK8" s="949"/>
      <c r="FL8" s="949"/>
      <c r="FM8" s="949"/>
      <c r="FN8" s="949"/>
      <c r="FO8" s="949"/>
      <c r="FP8" s="949"/>
      <c r="FQ8" s="949"/>
      <c r="FR8" s="949"/>
      <c r="FS8" s="949"/>
      <c r="FT8" s="949"/>
      <c r="FU8" s="949"/>
      <c r="FV8" s="949"/>
      <c r="FW8" s="949"/>
      <c r="FX8" s="949"/>
      <c r="FY8" s="949"/>
      <c r="FZ8" s="949"/>
      <c r="GA8" s="949"/>
      <c r="GB8" s="949"/>
      <c r="GC8" s="949"/>
      <c r="GD8" s="949"/>
      <c r="GE8" s="949"/>
      <c r="GF8" s="949"/>
      <c r="GG8" s="949"/>
      <c r="GH8" s="949"/>
      <c r="GI8" s="949"/>
      <c r="GJ8" s="949"/>
      <c r="GK8" s="949"/>
      <c r="GL8" s="949"/>
      <c r="GM8" s="949"/>
      <c r="GN8" s="949"/>
      <c r="GO8" s="949"/>
      <c r="GP8" s="949"/>
      <c r="GQ8" s="949"/>
      <c r="GR8" s="949"/>
      <c r="GS8" s="949"/>
      <c r="GT8" s="949"/>
      <c r="GU8" s="949"/>
      <c r="GV8" s="949"/>
      <c r="GW8" s="949"/>
      <c r="GX8" s="949"/>
      <c r="GY8" s="949"/>
      <c r="GZ8" s="949"/>
      <c r="HA8" s="949"/>
      <c r="HB8" s="949"/>
      <c r="HC8" s="949"/>
      <c r="HD8" s="949"/>
      <c r="HE8" s="949"/>
      <c r="HF8" s="949"/>
      <c r="HG8" s="949"/>
      <c r="HH8" s="949"/>
      <c r="HI8" s="949"/>
      <c r="HJ8" s="949"/>
      <c r="HK8" s="949"/>
      <c r="HL8" s="949"/>
      <c r="HM8" s="949"/>
      <c r="HN8" s="949"/>
      <c r="HO8" s="949"/>
      <c r="HP8" s="949"/>
      <c r="HQ8" s="949"/>
      <c r="HR8" s="949"/>
      <c r="HS8" s="949"/>
      <c r="HT8" s="949"/>
      <c r="HU8" s="949"/>
      <c r="HV8" s="949"/>
      <c r="HW8" s="949"/>
      <c r="HX8" s="949"/>
      <c r="HY8" s="949"/>
      <c r="HZ8" s="949"/>
      <c r="IA8" s="949"/>
      <c r="IB8" s="949"/>
      <c r="IC8" s="949"/>
      <c r="ID8" s="949"/>
      <c r="IE8" s="949"/>
      <c r="IF8" s="949"/>
      <c r="IG8" s="949"/>
      <c r="IH8" s="949"/>
      <c r="II8" s="949"/>
      <c r="IJ8" s="949"/>
      <c r="IK8" s="949"/>
      <c r="IL8" s="949"/>
      <c r="IM8" s="949"/>
      <c r="IN8" s="949"/>
    </row>
    <row r="9" spans="1:248" ht="17.25" thickBot="1">
      <c r="A9" s="1577"/>
      <c r="B9" s="1580"/>
      <c r="C9" s="1587"/>
      <c r="D9" s="1589"/>
      <c r="E9" s="1591"/>
      <c r="F9" s="1587"/>
      <c r="G9" s="1589"/>
      <c r="H9" s="1591"/>
      <c r="I9" s="1593"/>
      <c r="J9" s="1589"/>
      <c r="K9" s="1595"/>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49"/>
      <c r="AY9" s="949"/>
      <c r="AZ9" s="949"/>
      <c r="BA9" s="949"/>
      <c r="BB9" s="949"/>
      <c r="BC9" s="949"/>
      <c r="BD9" s="949"/>
      <c r="BE9" s="949"/>
      <c r="BF9" s="949"/>
      <c r="BG9" s="949"/>
      <c r="BH9" s="949"/>
      <c r="BI9" s="949"/>
      <c r="BJ9" s="949"/>
      <c r="BK9" s="949"/>
      <c r="BL9" s="949"/>
      <c r="BM9" s="949"/>
      <c r="BN9" s="949"/>
      <c r="BO9" s="949"/>
      <c r="BP9" s="949"/>
      <c r="BQ9" s="949"/>
      <c r="BR9" s="949"/>
      <c r="BS9" s="949"/>
      <c r="BT9" s="949"/>
      <c r="BU9" s="949"/>
      <c r="BV9" s="949"/>
      <c r="BW9" s="949"/>
      <c r="BX9" s="949"/>
      <c r="BY9" s="949"/>
      <c r="BZ9" s="949"/>
      <c r="CA9" s="949"/>
      <c r="CB9" s="949"/>
      <c r="CC9" s="949"/>
      <c r="CD9" s="949"/>
      <c r="CE9" s="949"/>
      <c r="CF9" s="949"/>
      <c r="CG9" s="949"/>
      <c r="CH9" s="949"/>
      <c r="CI9" s="949"/>
      <c r="CJ9" s="949"/>
      <c r="CK9" s="949"/>
      <c r="CL9" s="949"/>
      <c r="CM9" s="949"/>
      <c r="CN9" s="949"/>
      <c r="CO9" s="949"/>
      <c r="CP9" s="949"/>
      <c r="CQ9" s="949"/>
      <c r="CR9" s="949"/>
      <c r="CS9" s="949"/>
      <c r="CT9" s="949"/>
      <c r="CU9" s="949"/>
      <c r="CV9" s="949"/>
      <c r="CW9" s="949"/>
      <c r="CX9" s="949"/>
      <c r="CY9" s="949"/>
      <c r="CZ9" s="949"/>
      <c r="DA9" s="949"/>
      <c r="DB9" s="949"/>
      <c r="DC9" s="949"/>
      <c r="DD9" s="949"/>
      <c r="DE9" s="949"/>
      <c r="DF9" s="949"/>
      <c r="DG9" s="949"/>
      <c r="DH9" s="949"/>
      <c r="DI9" s="949"/>
      <c r="DJ9" s="949"/>
      <c r="DK9" s="949"/>
      <c r="DL9" s="949"/>
      <c r="DM9" s="949"/>
      <c r="DN9" s="949"/>
      <c r="DO9" s="949"/>
      <c r="DP9" s="949"/>
      <c r="DQ9" s="949"/>
      <c r="DR9" s="949"/>
      <c r="DS9" s="949"/>
      <c r="DT9" s="949"/>
      <c r="DU9" s="949"/>
      <c r="DV9" s="949"/>
      <c r="DW9" s="949"/>
      <c r="DX9" s="949"/>
      <c r="DY9" s="949"/>
      <c r="DZ9" s="949"/>
      <c r="EA9" s="949"/>
      <c r="EB9" s="949"/>
      <c r="EC9" s="949"/>
      <c r="ED9" s="949"/>
      <c r="EE9" s="949"/>
      <c r="EF9" s="949"/>
      <c r="EG9" s="949"/>
      <c r="EH9" s="949"/>
      <c r="EI9" s="949"/>
      <c r="EJ9" s="949"/>
      <c r="EK9" s="949"/>
      <c r="EL9" s="949"/>
      <c r="EM9" s="949"/>
      <c r="EN9" s="949"/>
      <c r="EO9" s="949"/>
      <c r="EP9" s="949"/>
      <c r="EQ9" s="949"/>
      <c r="ER9" s="949"/>
      <c r="ES9" s="949"/>
      <c r="ET9" s="949"/>
      <c r="EU9" s="949"/>
      <c r="EV9" s="949"/>
      <c r="EW9" s="949"/>
      <c r="EX9" s="949"/>
      <c r="EY9" s="949"/>
      <c r="EZ9" s="949"/>
      <c r="FA9" s="949"/>
      <c r="FB9" s="949"/>
      <c r="FC9" s="949"/>
      <c r="FD9" s="949"/>
      <c r="FE9" s="949"/>
      <c r="FF9" s="949"/>
      <c r="FG9" s="949"/>
      <c r="FH9" s="949"/>
      <c r="FI9" s="949"/>
      <c r="FJ9" s="949"/>
      <c r="FK9" s="949"/>
      <c r="FL9" s="949"/>
      <c r="FM9" s="949"/>
      <c r="FN9" s="949"/>
      <c r="FO9" s="949"/>
      <c r="FP9" s="949"/>
      <c r="FQ9" s="949"/>
      <c r="FR9" s="949"/>
      <c r="FS9" s="949"/>
      <c r="FT9" s="949"/>
      <c r="FU9" s="949"/>
      <c r="FV9" s="949"/>
      <c r="FW9" s="949"/>
      <c r="FX9" s="949"/>
      <c r="FY9" s="949"/>
      <c r="FZ9" s="949"/>
      <c r="GA9" s="949"/>
      <c r="GB9" s="949"/>
      <c r="GC9" s="949"/>
      <c r="GD9" s="949"/>
      <c r="GE9" s="949"/>
      <c r="GF9" s="949"/>
      <c r="GG9" s="949"/>
      <c r="GH9" s="949"/>
      <c r="GI9" s="949"/>
      <c r="GJ9" s="949"/>
      <c r="GK9" s="949"/>
      <c r="GL9" s="949"/>
      <c r="GM9" s="949"/>
      <c r="GN9" s="949"/>
      <c r="GO9" s="949"/>
      <c r="GP9" s="949"/>
      <c r="GQ9" s="949"/>
      <c r="GR9" s="949"/>
      <c r="GS9" s="949"/>
      <c r="GT9" s="949"/>
      <c r="GU9" s="949"/>
      <c r="GV9" s="949"/>
      <c r="GW9" s="949"/>
      <c r="GX9" s="949"/>
      <c r="GY9" s="949"/>
      <c r="GZ9" s="949"/>
      <c r="HA9" s="949"/>
      <c r="HB9" s="949"/>
      <c r="HC9" s="949"/>
      <c r="HD9" s="949"/>
      <c r="HE9" s="949"/>
      <c r="HF9" s="949"/>
      <c r="HG9" s="949"/>
      <c r="HH9" s="949"/>
      <c r="HI9" s="949"/>
      <c r="HJ9" s="949"/>
      <c r="HK9" s="949"/>
      <c r="HL9" s="949"/>
      <c r="HM9" s="949"/>
      <c r="HN9" s="949"/>
      <c r="HO9" s="949"/>
      <c r="HP9" s="949"/>
      <c r="HQ9" s="949"/>
      <c r="HR9" s="949"/>
      <c r="HS9" s="949"/>
      <c r="HT9" s="949"/>
      <c r="HU9" s="949"/>
      <c r="HV9" s="949"/>
      <c r="HW9" s="949"/>
      <c r="HX9" s="949"/>
      <c r="HY9" s="949"/>
      <c r="HZ9" s="949"/>
      <c r="IA9" s="949"/>
      <c r="IB9" s="949"/>
      <c r="IC9" s="949"/>
      <c r="ID9" s="949"/>
      <c r="IE9" s="949"/>
      <c r="IF9" s="949"/>
      <c r="IG9" s="949"/>
      <c r="IH9" s="949"/>
      <c r="II9" s="949"/>
      <c r="IJ9" s="949"/>
      <c r="IK9" s="949"/>
      <c r="IL9" s="949"/>
      <c r="IM9" s="949"/>
      <c r="IN9" s="949"/>
    </row>
    <row r="10" spans="1:248" ht="45">
      <c r="A10" s="1434">
        <v>1</v>
      </c>
      <c r="B10" s="1303" t="s">
        <v>261</v>
      </c>
      <c r="C10" s="950">
        <f>+E10-D10</f>
        <v>35174</v>
      </c>
      <c r="D10" s="937"/>
      <c r="E10" s="939">
        <v>35174</v>
      </c>
      <c r="F10" s="950">
        <f>+H10-G10</f>
        <v>16434</v>
      </c>
      <c r="G10" s="937">
        <v>459011</v>
      </c>
      <c r="H10" s="939">
        <v>475445</v>
      </c>
      <c r="I10" s="937">
        <f>+K10-J10</f>
        <v>9578</v>
      </c>
      <c r="J10" s="937">
        <v>408667</v>
      </c>
      <c r="K10" s="940">
        <f>4093+33689+380463</f>
        <v>418245</v>
      </c>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4"/>
      <c r="AK10" s="944"/>
      <c r="AL10" s="944"/>
      <c r="AM10" s="944"/>
      <c r="AN10" s="944"/>
      <c r="AO10" s="944"/>
      <c r="AP10" s="944"/>
      <c r="AQ10" s="944"/>
      <c r="AR10" s="944"/>
      <c r="AS10" s="944"/>
      <c r="AT10" s="944"/>
      <c r="AU10" s="944"/>
      <c r="AV10" s="944"/>
      <c r="AW10" s="944"/>
      <c r="AX10" s="944"/>
      <c r="AY10" s="944"/>
      <c r="AZ10" s="944"/>
      <c r="BA10" s="944"/>
      <c r="BB10" s="944"/>
      <c r="BC10" s="944"/>
      <c r="BD10" s="944"/>
      <c r="BE10" s="944"/>
      <c r="BF10" s="944"/>
      <c r="BG10" s="944"/>
      <c r="BH10" s="944"/>
      <c r="BI10" s="944"/>
      <c r="BJ10" s="944"/>
      <c r="BK10" s="944"/>
      <c r="BL10" s="944"/>
      <c r="BM10" s="944"/>
      <c r="BN10" s="944"/>
      <c r="BO10" s="944"/>
      <c r="BP10" s="944"/>
      <c r="BQ10" s="944"/>
      <c r="BR10" s="944"/>
      <c r="BS10" s="944"/>
      <c r="BT10" s="944"/>
      <c r="BU10" s="944"/>
      <c r="BV10" s="944"/>
      <c r="BW10" s="944"/>
      <c r="BX10" s="944"/>
      <c r="BY10" s="944"/>
      <c r="BZ10" s="944"/>
      <c r="CA10" s="944"/>
      <c r="CB10" s="944"/>
      <c r="CC10" s="944"/>
      <c r="CD10" s="944"/>
      <c r="CE10" s="944"/>
      <c r="CF10" s="944"/>
      <c r="CG10" s="944"/>
      <c r="CH10" s="944"/>
      <c r="CI10" s="944"/>
      <c r="CJ10" s="944"/>
      <c r="CK10" s="944"/>
      <c r="CL10" s="944"/>
      <c r="CM10" s="944"/>
      <c r="CN10" s="944"/>
      <c r="CO10" s="944"/>
      <c r="CP10" s="944"/>
      <c r="CQ10" s="944"/>
      <c r="CR10" s="944"/>
      <c r="CS10" s="944"/>
      <c r="CT10" s="944"/>
      <c r="CU10" s="944"/>
      <c r="CV10" s="944"/>
      <c r="CW10" s="944"/>
      <c r="CX10" s="944"/>
      <c r="CY10" s="944"/>
      <c r="CZ10" s="944"/>
      <c r="DA10" s="944"/>
      <c r="DB10" s="944"/>
      <c r="DC10" s="944"/>
      <c r="DD10" s="944"/>
      <c r="DE10" s="944"/>
      <c r="DF10" s="944"/>
      <c r="DG10" s="944"/>
      <c r="DH10" s="944"/>
      <c r="DI10" s="944"/>
      <c r="DJ10" s="944"/>
      <c r="DK10" s="944"/>
      <c r="DL10" s="944"/>
      <c r="DM10" s="944"/>
      <c r="DN10" s="944"/>
      <c r="DO10" s="944"/>
      <c r="DP10" s="944"/>
      <c r="DQ10" s="944"/>
      <c r="DR10" s="944"/>
      <c r="DS10" s="944"/>
      <c r="DT10" s="944"/>
      <c r="DU10" s="944"/>
      <c r="DV10" s="944"/>
      <c r="DW10" s="944"/>
      <c r="DX10" s="944"/>
      <c r="DY10" s="944"/>
      <c r="DZ10" s="944"/>
      <c r="EA10" s="944"/>
      <c r="EB10" s="944"/>
      <c r="EC10" s="944"/>
      <c r="ED10" s="944"/>
      <c r="EE10" s="944"/>
      <c r="EF10" s="944"/>
      <c r="EG10" s="944"/>
      <c r="EH10" s="944"/>
      <c r="EI10" s="944"/>
      <c r="EJ10" s="944"/>
      <c r="EK10" s="944"/>
      <c r="EL10" s="944"/>
      <c r="EM10" s="944"/>
      <c r="EN10" s="944"/>
      <c r="EO10" s="944"/>
      <c r="EP10" s="944"/>
      <c r="EQ10" s="944"/>
      <c r="ER10" s="944"/>
      <c r="ES10" s="944"/>
      <c r="ET10" s="944"/>
      <c r="EU10" s="944"/>
      <c r="EV10" s="944"/>
      <c r="EW10" s="944"/>
      <c r="EX10" s="944"/>
      <c r="EY10" s="944"/>
      <c r="EZ10" s="944"/>
      <c r="FA10" s="944"/>
      <c r="FB10" s="944"/>
      <c r="FC10" s="944"/>
      <c r="FD10" s="944"/>
      <c r="FE10" s="944"/>
      <c r="FF10" s="944"/>
      <c r="FG10" s="944"/>
      <c r="FH10" s="944"/>
      <c r="FI10" s="944"/>
      <c r="FJ10" s="944"/>
      <c r="FK10" s="944"/>
      <c r="FL10" s="944"/>
      <c r="FM10" s="944"/>
      <c r="FN10" s="944"/>
      <c r="FO10" s="944"/>
      <c r="FP10" s="944"/>
      <c r="FQ10" s="944"/>
      <c r="FR10" s="944"/>
      <c r="FS10" s="944"/>
      <c r="FT10" s="944"/>
      <c r="FU10" s="944"/>
      <c r="FV10" s="944"/>
      <c r="FW10" s="944"/>
      <c r="FX10" s="944"/>
      <c r="FY10" s="944"/>
      <c r="FZ10" s="944"/>
      <c r="GA10" s="944"/>
      <c r="GB10" s="944"/>
      <c r="GC10" s="944"/>
      <c r="GD10" s="944"/>
      <c r="GE10" s="944"/>
      <c r="GF10" s="944"/>
      <c r="GG10" s="944"/>
      <c r="GH10" s="944"/>
      <c r="GI10" s="944"/>
      <c r="GJ10" s="944"/>
      <c r="GK10" s="944"/>
      <c r="GL10" s="944"/>
      <c r="GM10" s="944"/>
      <c r="GN10" s="944"/>
      <c r="GO10" s="944"/>
      <c r="GP10" s="944"/>
      <c r="GQ10" s="944"/>
      <c r="GR10" s="944"/>
      <c r="GS10" s="944"/>
      <c r="GT10" s="944"/>
      <c r="GU10" s="944"/>
      <c r="GV10" s="944"/>
      <c r="GW10" s="944"/>
      <c r="GX10" s="944"/>
      <c r="GY10" s="944"/>
      <c r="GZ10" s="944"/>
      <c r="HA10" s="944"/>
      <c r="HB10" s="944"/>
      <c r="HC10" s="944"/>
      <c r="HD10" s="944"/>
      <c r="HE10" s="944"/>
      <c r="HF10" s="944"/>
      <c r="HG10" s="944"/>
      <c r="HH10" s="944"/>
      <c r="HI10" s="944"/>
      <c r="HJ10" s="944"/>
      <c r="HK10" s="944"/>
      <c r="HL10" s="944"/>
      <c r="HM10" s="944"/>
      <c r="HN10" s="944"/>
      <c r="HO10" s="944"/>
      <c r="HP10" s="944"/>
      <c r="HQ10" s="944"/>
      <c r="HR10" s="944"/>
      <c r="HS10" s="944"/>
      <c r="HT10" s="944"/>
      <c r="HU10" s="944"/>
      <c r="HV10" s="944"/>
      <c r="HW10" s="944"/>
      <c r="HX10" s="944"/>
      <c r="HY10" s="944"/>
      <c r="HZ10" s="944"/>
      <c r="IA10" s="944"/>
      <c r="IB10" s="944"/>
      <c r="IC10" s="944"/>
      <c r="ID10" s="944"/>
      <c r="IE10" s="944"/>
      <c r="IF10" s="944"/>
      <c r="IG10" s="944"/>
      <c r="IH10" s="944"/>
      <c r="II10" s="944"/>
      <c r="IJ10" s="944"/>
      <c r="IK10" s="944"/>
      <c r="IL10" s="944"/>
      <c r="IM10" s="944"/>
      <c r="IN10" s="944"/>
    </row>
    <row r="11" spans="1:248" ht="45">
      <c r="A11" s="1434">
        <v>2</v>
      </c>
      <c r="B11" s="1303" t="s">
        <v>1384</v>
      </c>
      <c r="C11" s="950">
        <f>+E11-D11</f>
        <v>0</v>
      </c>
      <c r="D11" s="937"/>
      <c r="E11" s="939"/>
      <c r="F11" s="950">
        <f>+H11-G11</f>
        <v>66407</v>
      </c>
      <c r="G11" s="937">
        <v>283693</v>
      </c>
      <c r="H11" s="939">
        <v>350100</v>
      </c>
      <c r="I11" s="937">
        <f>+K11-J11</f>
        <v>46100</v>
      </c>
      <c r="J11" s="937">
        <v>271650</v>
      </c>
      <c r="K11" s="940">
        <f>7423+310327</f>
        <v>317750</v>
      </c>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944"/>
      <c r="BE11" s="944"/>
      <c r="BF11" s="944"/>
      <c r="BG11" s="944"/>
      <c r="BH11" s="944"/>
      <c r="BI11" s="944"/>
      <c r="BJ11" s="944"/>
      <c r="BK11" s="944"/>
      <c r="BL11" s="944"/>
      <c r="BM11" s="944"/>
      <c r="BN11" s="944"/>
      <c r="BO11" s="944"/>
      <c r="BP11" s="944"/>
      <c r="BQ11" s="944"/>
      <c r="BR11" s="944"/>
      <c r="BS11" s="944"/>
      <c r="BT11" s="944"/>
      <c r="BU11" s="944"/>
      <c r="BV11" s="944"/>
      <c r="BW11" s="944"/>
      <c r="BX11" s="944"/>
      <c r="BY11" s="944"/>
      <c r="BZ11" s="944"/>
      <c r="CA11" s="944"/>
      <c r="CB11" s="944"/>
      <c r="CC11" s="944"/>
      <c r="CD11" s="944"/>
      <c r="CE11" s="944"/>
      <c r="CF11" s="944"/>
      <c r="CG11" s="944"/>
      <c r="CH11" s="944"/>
      <c r="CI11" s="944"/>
      <c r="CJ11" s="944"/>
      <c r="CK11" s="944"/>
      <c r="CL11" s="944"/>
      <c r="CM11" s="944"/>
      <c r="CN11" s="944"/>
      <c r="CO11" s="944"/>
      <c r="CP11" s="944"/>
      <c r="CQ11" s="944"/>
      <c r="CR11" s="944"/>
      <c r="CS11" s="944"/>
      <c r="CT11" s="944"/>
      <c r="CU11" s="944"/>
      <c r="CV11" s="944"/>
      <c r="CW11" s="944"/>
      <c r="CX11" s="944"/>
      <c r="CY11" s="944"/>
      <c r="CZ11" s="944"/>
      <c r="DA11" s="944"/>
      <c r="DB11" s="944"/>
      <c r="DC11" s="944"/>
      <c r="DD11" s="944"/>
      <c r="DE11" s="944"/>
      <c r="DF11" s="944"/>
      <c r="DG11" s="944"/>
      <c r="DH11" s="944"/>
      <c r="DI11" s="944"/>
      <c r="DJ11" s="944"/>
      <c r="DK11" s="944"/>
      <c r="DL11" s="944"/>
      <c r="DM11" s="944"/>
      <c r="DN11" s="944"/>
      <c r="DO11" s="944"/>
      <c r="DP11" s="944"/>
      <c r="DQ11" s="944"/>
      <c r="DR11" s="944"/>
      <c r="DS11" s="944"/>
      <c r="DT11" s="944"/>
      <c r="DU11" s="944"/>
      <c r="DV11" s="944"/>
      <c r="DW11" s="944"/>
      <c r="DX11" s="944"/>
      <c r="DY11" s="944"/>
      <c r="DZ11" s="944"/>
      <c r="EA11" s="944"/>
      <c r="EB11" s="944"/>
      <c r="EC11" s="944"/>
      <c r="ED11" s="944"/>
      <c r="EE11" s="944"/>
      <c r="EF11" s="944"/>
      <c r="EG11" s="944"/>
      <c r="EH11" s="944"/>
      <c r="EI11" s="944"/>
      <c r="EJ11" s="944"/>
      <c r="EK11" s="944"/>
      <c r="EL11" s="944"/>
      <c r="EM11" s="944"/>
      <c r="EN11" s="944"/>
      <c r="EO11" s="944"/>
      <c r="EP11" s="944"/>
      <c r="EQ11" s="944"/>
      <c r="ER11" s="944"/>
      <c r="ES11" s="944"/>
      <c r="ET11" s="944"/>
      <c r="EU11" s="944"/>
      <c r="EV11" s="944"/>
      <c r="EW11" s="944"/>
      <c r="EX11" s="944"/>
      <c r="EY11" s="944"/>
      <c r="EZ11" s="944"/>
      <c r="FA11" s="944"/>
      <c r="FB11" s="944"/>
      <c r="FC11" s="944"/>
      <c r="FD11" s="944"/>
      <c r="FE11" s="944"/>
      <c r="FF11" s="944"/>
      <c r="FG11" s="944"/>
      <c r="FH11" s="944"/>
      <c r="FI11" s="944"/>
      <c r="FJ11" s="944"/>
      <c r="FK11" s="944"/>
      <c r="FL11" s="944"/>
      <c r="FM11" s="944"/>
      <c r="FN11" s="944"/>
      <c r="FO11" s="944"/>
      <c r="FP11" s="944"/>
      <c r="FQ11" s="944"/>
      <c r="FR11" s="944"/>
      <c r="FS11" s="944"/>
      <c r="FT11" s="944"/>
      <c r="FU11" s="944"/>
      <c r="FV11" s="944"/>
      <c r="FW11" s="944"/>
      <c r="FX11" s="944"/>
      <c r="FY11" s="944"/>
      <c r="FZ11" s="944"/>
      <c r="GA11" s="944"/>
      <c r="GB11" s="944"/>
      <c r="GC11" s="944"/>
      <c r="GD11" s="944"/>
      <c r="GE11" s="944"/>
      <c r="GF11" s="944"/>
      <c r="GG11" s="944"/>
      <c r="GH11" s="944"/>
      <c r="GI11" s="944"/>
      <c r="GJ11" s="944"/>
      <c r="GK11" s="944"/>
      <c r="GL11" s="944"/>
      <c r="GM11" s="944"/>
      <c r="GN11" s="944"/>
      <c r="GO11" s="944"/>
      <c r="GP11" s="944"/>
      <c r="GQ11" s="944"/>
      <c r="GR11" s="944"/>
      <c r="GS11" s="944"/>
      <c r="GT11" s="944"/>
      <c r="GU11" s="944"/>
      <c r="GV11" s="944"/>
      <c r="GW11" s="944"/>
      <c r="GX11" s="944"/>
      <c r="GY11" s="944"/>
      <c r="GZ11" s="944"/>
      <c r="HA11" s="944"/>
      <c r="HB11" s="944"/>
      <c r="HC11" s="944"/>
      <c r="HD11" s="944"/>
      <c r="HE11" s="944"/>
      <c r="HF11" s="944"/>
      <c r="HG11" s="944"/>
      <c r="HH11" s="944"/>
      <c r="HI11" s="944"/>
      <c r="HJ11" s="944"/>
      <c r="HK11" s="944"/>
      <c r="HL11" s="944"/>
      <c r="HM11" s="944"/>
      <c r="HN11" s="944"/>
      <c r="HO11" s="944"/>
      <c r="HP11" s="944"/>
      <c r="HQ11" s="944"/>
      <c r="HR11" s="944"/>
      <c r="HS11" s="944"/>
      <c r="HT11" s="944"/>
      <c r="HU11" s="944"/>
      <c r="HV11" s="944"/>
      <c r="HW11" s="944"/>
      <c r="HX11" s="944"/>
      <c r="HY11" s="944"/>
      <c r="HZ11" s="944"/>
      <c r="IA11" s="944"/>
      <c r="IB11" s="944"/>
      <c r="IC11" s="944"/>
      <c r="ID11" s="944"/>
      <c r="IE11" s="944"/>
      <c r="IF11" s="944"/>
      <c r="IG11" s="944"/>
      <c r="IH11" s="944"/>
      <c r="II11" s="944"/>
      <c r="IJ11" s="944"/>
      <c r="IK11" s="944"/>
      <c r="IL11" s="944"/>
      <c r="IM11" s="944"/>
      <c r="IN11" s="944"/>
    </row>
    <row r="12" spans="1:248" ht="60">
      <c r="A12" s="1434">
        <v>3</v>
      </c>
      <c r="B12" s="1303" t="s">
        <v>1385</v>
      </c>
      <c r="C12" s="950">
        <f>+E12-D12</f>
        <v>0</v>
      </c>
      <c r="D12" s="937"/>
      <c r="E12" s="939"/>
      <c r="F12" s="950">
        <f>+H12-G12</f>
        <v>39198</v>
      </c>
      <c r="G12" s="937"/>
      <c r="H12" s="939">
        <f>9450+29748</f>
        <v>39198</v>
      </c>
      <c r="I12" s="937">
        <f>+K12-J12</f>
        <v>2634</v>
      </c>
      <c r="J12" s="937"/>
      <c r="K12" s="940">
        <v>2634</v>
      </c>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4"/>
      <c r="AK12" s="944"/>
      <c r="AL12" s="944"/>
      <c r="AM12" s="944"/>
      <c r="AN12" s="944"/>
      <c r="AO12" s="944"/>
      <c r="AP12" s="944"/>
      <c r="AQ12" s="944"/>
      <c r="AR12" s="944"/>
      <c r="AS12" s="944"/>
      <c r="AT12" s="944"/>
      <c r="AU12" s="944"/>
      <c r="AV12" s="944"/>
      <c r="AW12" s="944"/>
      <c r="AX12" s="944"/>
      <c r="AY12" s="944"/>
      <c r="AZ12" s="944"/>
      <c r="BA12" s="944"/>
      <c r="BB12" s="944"/>
      <c r="BC12" s="944"/>
      <c r="BD12" s="944"/>
      <c r="BE12" s="944"/>
      <c r="BF12" s="944"/>
      <c r="BG12" s="944"/>
      <c r="BH12" s="944"/>
      <c r="BI12" s="944"/>
      <c r="BJ12" s="944"/>
      <c r="BK12" s="944"/>
      <c r="BL12" s="944"/>
      <c r="BM12" s="944"/>
      <c r="BN12" s="944"/>
      <c r="BO12" s="944"/>
      <c r="BP12" s="944"/>
      <c r="BQ12" s="944"/>
      <c r="BR12" s="944"/>
      <c r="BS12" s="944"/>
      <c r="BT12" s="944"/>
      <c r="BU12" s="944"/>
      <c r="BV12" s="944"/>
      <c r="BW12" s="944"/>
      <c r="BX12" s="944"/>
      <c r="BY12" s="944"/>
      <c r="BZ12" s="944"/>
      <c r="CA12" s="944"/>
      <c r="CB12" s="944"/>
      <c r="CC12" s="944"/>
      <c r="CD12" s="944"/>
      <c r="CE12" s="944"/>
      <c r="CF12" s="944"/>
      <c r="CG12" s="944"/>
      <c r="CH12" s="944"/>
      <c r="CI12" s="944"/>
      <c r="CJ12" s="944"/>
      <c r="CK12" s="944"/>
      <c r="CL12" s="944"/>
      <c r="CM12" s="944"/>
      <c r="CN12" s="944"/>
      <c r="CO12" s="944"/>
      <c r="CP12" s="944"/>
      <c r="CQ12" s="944"/>
      <c r="CR12" s="944"/>
      <c r="CS12" s="944"/>
      <c r="CT12" s="944"/>
      <c r="CU12" s="944"/>
      <c r="CV12" s="944"/>
      <c r="CW12" s="944"/>
      <c r="CX12" s="944"/>
      <c r="CY12" s="944"/>
      <c r="CZ12" s="944"/>
      <c r="DA12" s="944"/>
      <c r="DB12" s="944"/>
      <c r="DC12" s="944"/>
      <c r="DD12" s="944"/>
      <c r="DE12" s="944"/>
      <c r="DF12" s="944"/>
      <c r="DG12" s="944"/>
      <c r="DH12" s="944"/>
      <c r="DI12" s="944"/>
      <c r="DJ12" s="944"/>
      <c r="DK12" s="944"/>
      <c r="DL12" s="944"/>
      <c r="DM12" s="944"/>
      <c r="DN12" s="944"/>
      <c r="DO12" s="944"/>
      <c r="DP12" s="944"/>
      <c r="DQ12" s="944"/>
      <c r="DR12" s="944"/>
      <c r="DS12" s="944"/>
      <c r="DT12" s="944"/>
      <c r="DU12" s="944"/>
      <c r="DV12" s="944"/>
      <c r="DW12" s="944"/>
      <c r="DX12" s="944"/>
      <c r="DY12" s="944"/>
      <c r="DZ12" s="944"/>
      <c r="EA12" s="944"/>
      <c r="EB12" s="944"/>
      <c r="EC12" s="944"/>
      <c r="ED12" s="944"/>
      <c r="EE12" s="944"/>
      <c r="EF12" s="944"/>
      <c r="EG12" s="944"/>
      <c r="EH12" s="944"/>
      <c r="EI12" s="944"/>
      <c r="EJ12" s="944"/>
      <c r="EK12" s="944"/>
      <c r="EL12" s="944"/>
      <c r="EM12" s="944"/>
      <c r="EN12" s="944"/>
      <c r="EO12" s="944"/>
      <c r="EP12" s="944"/>
      <c r="EQ12" s="944"/>
      <c r="ER12" s="944"/>
      <c r="ES12" s="944"/>
      <c r="ET12" s="944"/>
      <c r="EU12" s="944"/>
      <c r="EV12" s="944"/>
      <c r="EW12" s="944"/>
      <c r="EX12" s="944"/>
      <c r="EY12" s="944"/>
      <c r="EZ12" s="944"/>
      <c r="FA12" s="944"/>
      <c r="FB12" s="944"/>
      <c r="FC12" s="944"/>
      <c r="FD12" s="944"/>
      <c r="FE12" s="944"/>
      <c r="FF12" s="944"/>
      <c r="FG12" s="944"/>
      <c r="FH12" s="944"/>
      <c r="FI12" s="944"/>
      <c r="FJ12" s="944"/>
      <c r="FK12" s="944"/>
      <c r="FL12" s="944"/>
      <c r="FM12" s="944"/>
      <c r="FN12" s="944"/>
      <c r="FO12" s="944"/>
      <c r="FP12" s="944"/>
      <c r="FQ12" s="944"/>
      <c r="FR12" s="944"/>
      <c r="FS12" s="944"/>
      <c r="FT12" s="944"/>
      <c r="FU12" s="944"/>
      <c r="FV12" s="944"/>
      <c r="FW12" s="944"/>
      <c r="FX12" s="944"/>
      <c r="FY12" s="944"/>
      <c r="FZ12" s="944"/>
      <c r="GA12" s="944"/>
      <c r="GB12" s="944"/>
      <c r="GC12" s="944"/>
      <c r="GD12" s="944"/>
      <c r="GE12" s="944"/>
      <c r="GF12" s="944"/>
      <c r="GG12" s="944"/>
      <c r="GH12" s="944"/>
      <c r="GI12" s="944"/>
      <c r="GJ12" s="944"/>
      <c r="GK12" s="944"/>
      <c r="GL12" s="944"/>
      <c r="GM12" s="944"/>
      <c r="GN12" s="944"/>
      <c r="GO12" s="944"/>
      <c r="GP12" s="944"/>
      <c r="GQ12" s="944"/>
      <c r="GR12" s="944"/>
      <c r="GS12" s="944"/>
      <c r="GT12" s="944"/>
      <c r="GU12" s="944"/>
      <c r="GV12" s="944"/>
      <c r="GW12" s="944"/>
      <c r="GX12" s="944"/>
      <c r="GY12" s="944"/>
      <c r="GZ12" s="944"/>
      <c r="HA12" s="944"/>
      <c r="HB12" s="944"/>
      <c r="HC12" s="944"/>
      <c r="HD12" s="944"/>
      <c r="HE12" s="944"/>
      <c r="HF12" s="944"/>
      <c r="HG12" s="944"/>
      <c r="HH12" s="944"/>
      <c r="HI12" s="944"/>
      <c r="HJ12" s="944"/>
      <c r="HK12" s="944"/>
      <c r="HL12" s="944"/>
      <c r="HM12" s="944"/>
      <c r="HN12" s="944"/>
      <c r="HO12" s="944"/>
      <c r="HP12" s="944"/>
      <c r="HQ12" s="944"/>
      <c r="HR12" s="944"/>
      <c r="HS12" s="944"/>
      <c r="HT12" s="944"/>
      <c r="HU12" s="944"/>
      <c r="HV12" s="944"/>
      <c r="HW12" s="944"/>
      <c r="HX12" s="944"/>
      <c r="HY12" s="944"/>
      <c r="HZ12" s="944"/>
      <c r="IA12" s="944"/>
      <c r="IB12" s="944"/>
      <c r="IC12" s="944"/>
      <c r="ID12" s="944"/>
      <c r="IE12" s="944"/>
      <c r="IF12" s="944"/>
      <c r="IG12" s="944"/>
      <c r="IH12" s="944"/>
      <c r="II12" s="944"/>
      <c r="IJ12" s="944"/>
      <c r="IK12" s="944"/>
      <c r="IL12" s="944"/>
      <c r="IM12" s="944"/>
      <c r="IN12" s="944"/>
    </row>
    <row r="13" spans="1:248" ht="60">
      <c r="A13" s="1434">
        <v>4</v>
      </c>
      <c r="B13" s="1303" t="s">
        <v>594</v>
      </c>
      <c r="C13" s="950">
        <f>+E13-D13</f>
        <v>0</v>
      </c>
      <c r="D13" s="937"/>
      <c r="E13" s="939"/>
      <c r="F13" s="950">
        <f>+H13-G13</f>
        <v>-13413</v>
      </c>
      <c r="G13" s="937">
        <v>244115</v>
      </c>
      <c r="H13" s="939">
        <v>230702</v>
      </c>
      <c r="I13" s="937">
        <f>+K13-J13</f>
        <v>-21965</v>
      </c>
      <c r="J13" s="937">
        <v>252679</v>
      </c>
      <c r="K13" s="940">
        <f>12+230702</f>
        <v>230714</v>
      </c>
      <c r="L13" s="944"/>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4"/>
      <c r="AK13" s="944"/>
      <c r="AL13" s="944"/>
      <c r="AM13" s="944"/>
      <c r="AN13" s="944"/>
      <c r="AO13" s="944"/>
      <c r="AP13" s="944"/>
      <c r="AQ13" s="944"/>
      <c r="AR13" s="944"/>
      <c r="AS13" s="944"/>
      <c r="AT13" s="944"/>
      <c r="AU13" s="944"/>
      <c r="AV13" s="944"/>
      <c r="AW13" s="944"/>
      <c r="AX13" s="944"/>
      <c r="AY13" s="944"/>
      <c r="AZ13" s="944"/>
      <c r="BA13" s="944"/>
      <c r="BB13" s="944"/>
      <c r="BC13" s="944"/>
      <c r="BD13" s="944"/>
      <c r="BE13" s="944"/>
      <c r="BF13" s="944"/>
      <c r="BG13" s="944"/>
      <c r="BH13" s="944"/>
      <c r="BI13" s="944"/>
      <c r="BJ13" s="944"/>
      <c r="BK13" s="944"/>
      <c r="BL13" s="944"/>
      <c r="BM13" s="944"/>
      <c r="BN13" s="944"/>
      <c r="BO13" s="944"/>
      <c r="BP13" s="944"/>
      <c r="BQ13" s="944"/>
      <c r="BR13" s="944"/>
      <c r="BS13" s="944"/>
      <c r="BT13" s="944"/>
      <c r="BU13" s="944"/>
      <c r="BV13" s="944"/>
      <c r="BW13" s="944"/>
      <c r="BX13" s="944"/>
      <c r="BY13" s="944"/>
      <c r="BZ13" s="944"/>
      <c r="CA13" s="944"/>
      <c r="CB13" s="944"/>
      <c r="CC13" s="944"/>
      <c r="CD13" s="944"/>
      <c r="CE13" s="944"/>
      <c r="CF13" s="944"/>
      <c r="CG13" s="944"/>
      <c r="CH13" s="944"/>
      <c r="CI13" s="944"/>
      <c r="CJ13" s="944"/>
      <c r="CK13" s="944"/>
      <c r="CL13" s="944"/>
      <c r="CM13" s="944"/>
      <c r="CN13" s="944"/>
      <c r="CO13" s="944"/>
      <c r="CP13" s="944"/>
      <c r="CQ13" s="944"/>
      <c r="CR13" s="944"/>
      <c r="CS13" s="944"/>
      <c r="CT13" s="944"/>
      <c r="CU13" s="944"/>
      <c r="CV13" s="944"/>
      <c r="CW13" s="944"/>
      <c r="CX13" s="944"/>
      <c r="CY13" s="944"/>
      <c r="CZ13" s="944"/>
      <c r="DA13" s="944"/>
      <c r="DB13" s="944"/>
      <c r="DC13" s="944"/>
      <c r="DD13" s="944"/>
      <c r="DE13" s="944"/>
      <c r="DF13" s="944"/>
      <c r="DG13" s="944"/>
      <c r="DH13" s="944"/>
      <c r="DI13" s="944"/>
      <c r="DJ13" s="944"/>
      <c r="DK13" s="944"/>
      <c r="DL13" s="944"/>
      <c r="DM13" s="944"/>
      <c r="DN13" s="944"/>
      <c r="DO13" s="944"/>
      <c r="DP13" s="944"/>
      <c r="DQ13" s="944"/>
      <c r="DR13" s="944"/>
      <c r="DS13" s="944"/>
      <c r="DT13" s="944"/>
      <c r="DU13" s="944"/>
      <c r="DV13" s="944"/>
      <c r="DW13" s="944"/>
      <c r="DX13" s="944"/>
      <c r="DY13" s="944"/>
      <c r="DZ13" s="944"/>
      <c r="EA13" s="944"/>
      <c r="EB13" s="944"/>
      <c r="EC13" s="944"/>
      <c r="ED13" s="944"/>
      <c r="EE13" s="944"/>
      <c r="EF13" s="944"/>
      <c r="EG13" s="944"/>
      <c r="EH13" s="944"/>
      <c r="EI13" s="944"/>
      <c r="EJ13" s="944"/>
      <c r="EK13" s="944"/>
      <c r="EL13" s="944"/>
      <c r="EM13" s="944"/>
      <c r="EN13" s="944"/>
      <c r="EO13" s="944"/>
      <c r="EP13" s="944"/>
      <c r="EQ13" s="944"/>
      <c r="ER13" s="944"/>
      <c r="ES13" s="944"/>
      <c r="ET13" s="944"/>
      <c r="EU13" s="944"/>
      <c r="EV13" s="944"/>
      <c r="EW13" s="944"/>
      <c r="EX13" s="944"/>
      <c r="EY13" s="944"/>
      <c r="EZ13" s="944"/>
      <c r="FA13" s="944"/>
      <c r="FB13" s="944"/>
      <c r="FC13" s="944"/>
      <c r="FD13" s="944"/>
      <c r="FE13" s="944"/>
      <c r="FF13" s="944"/>
      <c r="FG13" s="944"/>
      <c r="FH13" s="944"/>
      <c r="FI13" s="944"/>
      <c r="FJ13" s="944"/>
      <c r="FK13" s="944"/>
      <c r="FL13" s="944"/>
      <c r="FM13" s="944"/>
      <c r="FN13" s="944"/>
      <c r="FO13" s="944"/>
      <c r="FP13" s="944"/>
      <c r="FQ13" s="944"/>
      <c r="FR13" s="944"/>
      <c r="FS13" s="944"/>
      <c r="FT13" s="944"/>
      <c r="FU13" s="944"/>
      <c r="FV13" s="944"/>
      <c r="FW13" s="944"/>
      <c r="FX13" s="944"/>
      <c r="FY13" s="944"/>
      <c r="FZ13" s="944"/>
      <c r="GA13" s="944"/>
      <c r="GB13" s="944"/>
      <c r="GC13" s="944"/>
      <c r="GD13" s="944"/>
      <c r="GE13" s="944"/>
      <c r="GF13" s="944"/>
      <c r="GG13" s="944"/>
      <c r="GH13" s="944"/>
      <c r="GI13" s="944"/>
      <c r="GJ13" s="944"/>
      <c r="GK13" s="944"/>
      <c r="GL13" s="944"/>
      <c r="GM13" s="944"/>
      <c r="GN13" s="944"/>
      <c r="GO13" s="944"/>
      <c r="GP13" s="944"/>
      <c r="GQ13" s="944"/>
      <c r="GR13" s="944"/>
      <c r="GS13" s="944"/>
      <c r="GT13" s="944"/>
      <c r="GU13" s="944"/>
      <c r="GV13" s="944"/>
      <c r="GW13" s="944"/>
      <c r="GX13" s="944"/>
      <c r="GY13" s="944"/>
      <c r="GZ13" s="944"/>
      <c r="HA13" s="944"/>
      <c r="HB13" s="944"/>
      <c r="HC13" s="944"/>
      <c r="HD13" s="944"/>
      <c r="HE13" s="944"/>
      <c r="HF13" s="944"/>
      <c r="HG13" s="944"/>
      <c r="HH13" s="944"/>
      <c r="HI13" s="944"/>
      <c r="HJ13" s="944"/>
      <c r="HK13" s="944"/>
      <c r="HL13" s="944"/>
      <c r="HM13" s="944"/>
      <c r="HN13" s="944"/>
      <c r="HO13" s="944"/>
      <c r="HP13" s="944"/>
      <c r="HQ13" s="944"/>
      <c r="HR13" s="944"/>
      <c r="HS13" s="944"/>
      <c r="HT13" s="944"/>
      <c r="HU13" s="944"/>
      <c r="HV13" s="944"/>
      <c r="HW13" s="944"/>
      <c r="HX13" s="944"/>
      <c r="HY13" s="944"/>
      <c r="HZ13" s="944"/>
      <c r="IA13" s="944"/>
      <c r="IB13" s="944"/>
      <c r="IC13" s="944"/>
      <c r="ID13" s="944"/>
      <c r="IE13" s="944"/>
      <c r="IF13" s="944"/>
      <c r="IG13" s="944"/>
      <c r="IH13" s="944"/>
      <c r="II13" s="944"/>
      <c r="IJ13" s="944"/>
      <c r="IK13" s="944"/>
      <c r="IL13" s="944"/>
      <c r="IM13" s="944"/>
      <c r="IN13" s="944"/>
    </row>
    <row r="14" spans="1:248" ht="45">
      <c r="A14" s="1434">
        <v>5</v>
      </c>
      <c r="B14" s="1303" t="s">
        <v>668</v>
      </c>
      <c r="C14" s="950">
        <f aca="true" t="shared" si="0" ref="C14:C28">+E14-D14</f>
        <v>185</v>
      </c>
      <c r="D14" s="937">
        <v>164241</v>
      </c>
      <c r="E14" s="939">
        <v>164426</v>
      </c>
      <c r="F14" s="950">
        <f aca="true" t="shared" si="1" ref="F14:F28">+H14-G14</f>
        <v>30992</v>
      </c>
      <c r="G14" s="937">
        <v>592772</v>
      </c>
      <c r="H14" s="939">
        <f>10515+613249</f>
        <v>623764</v>
      </c>
      <c r="I14" s="937">
        <f aca="true" t="shared" si="2" ref="I14:I28">+K14-J14</f>
        <v>35</v>
      </c>
      <c r="J14" s="937">
        <v>582889</v>
      </c>
      <c r="K14" s="940">
        <f>10514+572410</f>
        <v>582924</v>
      </c>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4"/>
      <c r="AY14" s="944"/>
      <c r="AZ14" s="944"/>
      <c r="BA14" s="944"/>
      <c r="BB14" s="944"/>
      <c r="BC14" s="944"/>
      <c r="BD14" s="944"/>
      <c r="BE14" s="944"/>
      <c r="BF14" s="944"/>
      <c r="BG14" s="944"/>
      <c r="BH14" s="944"/>
      <c r="BI14" s="944"/>
      <c r="BJ14" s="944"/>
      <c r="BK14" s="944"/>
      <c r="BL14" s="944"/>
      <c r="BM14" s="944"/>
      <c r="BN14" s="944"/>
      <c r="BO14" s="944"/>
      <c r="BP14" s="944"/>
      <c r="BQ14" s="944"/>
      <c r="BR14" s="944"/>
      <c r="BS14" s="944"/>
      <c r="BT14" s="944"/>
      <c r="BU14" s="944"/>
      <c r="BV14" s="944"/>
      <c r="BW14" s="944"/>
      <c r="BX14" s="944"/>
      <c r="BY14" s="944"/>
      <c r="BZ14" s="944"/>
      <c r="CA14" s="944"/>
      <c r="CB14" s="944"/>
      <c r="CC14" s="944"/>
      <c r="CD14" s="944"/>
      <c r="CE14" s="944"/>
      <c r="CF14" s="944"/>
      <c r="CG14" s="944"/>
      <c r="CH14" s="944"/>
      <c r="CI14" s="944"/>
      <c r="CJ14" s="944"/>
      <c r="CK14" s="944"/>
      <c r="CL14" s="944"/>
      <c r="CM14" s="944"/>
      <c r="CN14" s="944"/>
      <c r="CO14" s="944"/>
      <c r="CP14" s="944"/>
      <c r="CQ14" s="944"/>
      <c r="CR14" s="944"/>
      <c r="CS14" s="944"/>
      <c r="CT14" s="944"/>
      <c r="CU14" s="944"/>
      <c r="CV14" s="944"/>
      <c r="CW14" s="944"/>
      <c r="CX14" s="944"/>
      <c r="CY14" s="944"/>
      <c r="CZ14" s="944"/>
      <c r="DA14" s="944"/>
      <c r="DB14" s="944"/>
      <c r="DC14" s="944"/>
      <c r="DD14" s="944"/>
      <c r="DE14" s="944"/>
      <c r="DF14" s="944"/>
      <c r="DG14" s="944"/>
      <c r="DH14" s="944"/>
      <c r="DI14" s="944"/>
      <c r="DJ14" s="944"/>
      <c r="DK14" s="944"/>
      <c r="DL14" s="944"/>
      <c r="DM14" s="944"/>
      <c r="DN14" s="944"/>
      <c r="DO14" s="944"/>
      <c r="DP14" s="944"/>
      <c r="DQ14" s="944"/>
      <c r="DR14" s="944"/>
      <c r="DS14" s="944"/>
      <c r="DT14" s="944"/>
      <c r="DU14" s="944"/>
      <c r="DV14" s="944"/>
      <c r="DW14" s="944"/>
      <c r="DX14" s="944"/>
      <c r="DY14" s="944"/>
      <c r="DZ14" s="944"/>
      <c r="EA14" s="944"/>
      <c r="EB14" s="944"/>
      <c r="EC14" s="944"/>
      <c r="ED14" s="944"/>
      <c r="EE14" s="944"/>
      <c r="EF14" s="944"/>
      <c r="EG14" s="944"/>
      <c r="EH14" s="944"/>
      <c r="EI14" s="944"/>
      <c r="EJ14" s="944"/>
      <c r="EK14" s="944"/>
      <c r="EL14" s="944"/>
      <c r="EM14" s="944"/>
      <c r="EN14" s="944"/>
      <c r="EO14" s="944"/>
      <c r="EP14" s="944"/>
      <c r="EQ14" s="944"/>
      <c r="ER14" s="944"/>
      <c r="ES14" s="944"/>
      <c r="ET14" s="944"/>
      <c r="EU14" s="944"/>
      <c r="EV14" s="944"/>
      <c r="EW14" s="944"/>
      <c r="EX14" s="944"/>
      <c r="EY14" s="944"/>
      <c r="EZ14" s="944"/>
      <c r="FA14" s="944"/>
      <c r="FB14" s="944"/>
      <c r="FC14" s="944"/>
      <c r="FD14" s="944"/>
      <c r="FE14" s="944"/>
      <c r="FF14" s="944"/>
      <c r="FG14" s="944"/>
      <c r="FH14" s="944"/>
      <c r="FI14" s="944"/>
      <c r="FJ14" s="944"/>
      <c r="FK14" s="944"/>
      <c r="FL14" s="944"/>
      <c r="FM14" s="944"/>
      <c r="FN14" s="944"/>
      <c r="FO14" s="944"/>
      <c r="FP14" s="944"/>
      <c r="FQ14" s="944"/>
      <c r="FR14" s="944"/>
      <c r="FS14" s="944"/>
      <c r="FT14" s="944"/>
      <c r="FU14" s="944"/>
      <c r="FV14" s="944"/>
      <c r="FW14" s="944"/>
      <c r="FX14" s="944"/>
      <c r="FY14" s="944"/>
      <c r="FZ14" s="944"/>
      <c r="GA14" s="944"/>
      <c r="GB14" s="944"/>
      <c r="GC14" s="944"/>
      <c r="GD14" s="944"/>
      <c r="GE14" s="944"/>
      <c r="GF14" s="944"/>
      <c r="GG14" s="944"/>
      <c r="GH14" s="944"/>
      <c r="GI14" s="944"/>
      <c r="GJ14" s="944"/>
      <c r="GK14" s="944"/>
      <c r="GL14" s="944"/>
      <c r="GM14" s="944"/>
      <c r="GN14" s="944"/>
      <c r="GO14" s="944"/>
      <c r="GP14" s="944"/>
      <c r="GQ14" s="944"/>
      <c r="GR14" s="944"/>
      <c r="GS14" s="944"/>
      <c r="GT14" s="944"/>
      <c r="GU14" s="944"/>
      <c r="GV14" s="944"/>
      <c r="GW14" s="944"/>
      <c r="GX14" s="944"/>
      <c r="GY14" s="944"/>
      <c r="GZ14" s="944"/>
      <c r="HA14" s="944"/>
      <c r="HB14" s="944"/>
      <c r="HC14" s="944"/>
      <c r="HD14" s="944"/>
      <c r="HE14" s="944"/>
      <c r="HF14" s="944"/>
      <c r="HG14" s="944"/>
      <c r="HH14" s="944"/>
      <c r="HI14" s="944"/>
      <c r="HJ14" s="944"/>
      <c r="HK14" s="944"/>
      <c r="HL14" s="944"/>
      <c r="HM14" s="944"/>
      <c r="HN14" s="944"/>
      <c r="HO14" s="944"/>
      <c r="HP14" s="944"/>
      <c r="HQ14" s="944"/>
      <c r="HR14" s="944"/>
      <c r="HS14" s="944"/>
      <c r="HT14" s="944"/>
      <c r="HU14" s="944"/>
      <c r="HV14" s="944"/>
      <c r="HW14" s="944"/>
      <c r="HX14" s="944"/>
      <c r="HY14" s="944"/>
      <c r="HZ14" s="944"/>
      <c r="IA14" s="944"/>
      <c r="IB14" s="944"/>
      <c r="IC14" s="944"/>
      <c r="ID14" s="944"/>
      <c r="IE14" s="944"/>
      <c r="IF14" s="944"/>
      <c r="IG14" s="944"/>
      <c r="IH14" s="944"/>
      <c r="II14" s="944"/>
      <c r="IJ14" s="944"/>
      <c r="IK14" s="944"/>
      <c r="IL14" s="944"/>
      <c r="IM14" s="944"/>
      <c r="IN14" s="944"/>
    </row>
    <row r="15" spans="1:248" ht="45">
      <c r="A15" s="1434">
        <v>6</v>
      </c>
      <c r="B15" s="1303" t="s">
        <v>534</v>
      </c>
      <c r="C15" s="950">
        <f t="shared" si="0"/>
        <v>0</v>
      </c>
      <c r="D15" s="937"/>
      <c r="E15" s="939"/>
      <c r="F15" s="950">
        <f t="shared" si="1"/>
        <v>1518</v>
      </c>
      <c r="G15" s="937">
        <v>925</v>
      </c>
      <c r="H15" s="939">
        <v>2443</v>
      </c>
      <c r="I15" s="937">
        <f t="shared" si="2"/>
        <v>2244</v>
      </c>
      <c r="J15" s="937">
        <v>69</v>
      </c>
      <c r="K15" s="940">
        <f>955+34+1324</f>
        <v>2313</v>
      </c>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4"/>
      <c r="AY15" s="944"/>
      <c r="AZ15" s="944"/>
      <c r="BA15" s="944"/>
      <c r="BB15" s="944"/>
      <c r="BC15" s="944"/>
      <c r="BD15" s="944"/>
      <c r="BE15" s="944"/>
      <c r="BF15" s="944"/>
      <c r="BG15" s="944"/>
      <c r="BH15" s="944"/>
      <c r="BI15" s="944"/>
      <c r="BJ15" s="944"/>
      <c r="BK15" s="944"/>
      <c r="BL15" s="944"/>
      <c r="BM15" s="944"/>
      <c r="BN15" s="944"/>
      <c r="BO15" s="944"/>
      <c r="BP15" s="944"/>
      <c r="BQ15" s="944"/>
      <c r="BR15" s="944"/>
      <c r="BS15" s="944"/>
      <c r="BT15" s="944"/>
      <c r="BU15" s="944"/>
      <c r="BV15" s="944"/>
      <c r="BW15" s="944"/>
      <c r="BX15" s="944"/>
      <c r="BY15" s="944"/>
      <c r="BZ15" s="944"/>
      <c r="CA15" s="944"/>
      <c r="CB15" s="944"/>
      <c r="CC15" s="944"/>
      <c r="CD15" s="944"/>
      <c r="CE15" s="944"/>
      <c r="CF15" s="944"/>
      <c r="CG15" s="944"/>
      <c r="CH15" s="944"/>
      <c r="CI15" s="944"/>
      <c r="CJ15" s="944"/>
      <c r="CK15" s="944"/>
      <c r="CL15" s="944"/>
      <c r="CM15" s="944"/>
      <c r="CN15" s="944"/>
      <c r="CO15" s="944"/>
      <c r="CP15" s="944"/>
      <c r="CQ15" s="944"/>
      <c r="CR15" s="944"/>
      <c r="CS15" s="944"/>
      <c r="CT15" s="944"/>
      <c r="CU15" s="944"/>
      <c r="CV15" s="944"/>
      <c r="CW15" s="944"/>
      <c r="CX15" s="944"/>
      <c r="CY15" s="944"/>
      <c r="CZ15" s="944"/>
      <c r="DA15" s="944"/>
      <c r="DB15" s="944"/>
      <c r="DC15" s="944"/>
      <c r="DD15" s="944"/>
      <c r="DE15" s="944"/>
      <c r="DF15" s="944"/>
      <c r="DG15" s="944"/>
      <c r="DH15" s="944"/>
      <c r="DI15" s="944"/>
      <c r="DJ15" s="944"/>
      <c r="DK15" s="944"/>
      <c r="DL15" s="944"/>
      <c r="DM15" s="944"/>
      <c r="DN15" s="944"/>
      <c r="DO15" s="944"/>
      <c r="DP15" s="944"/>
      <c r="DQ15" s="944"/>
      <c r="DR15" s="944"/>
      <c r="DS15" s="944"/>
      <c r="DT15" s="944"/>
      <c r="DU15" s="944"/>
      <c r="DV15" s="944"/>
      <c r="DW15" s="944"/>
      <c r="DX15" s="944"/>
      <c r="DY15" s="944"/>
      <c r="DZ15" s="944"/>
      <c r="EA15" s="944"/>
      <c r="EB15" s="944"/>
      <c r="EC15" s="944"/>
      <c r="ED15" s="944"/>
      <c r="EE15" s="944"/>
      <c r="EF15" s="944"/>
      <c r="EG15" s="944"/>
      <c r="EH15" s="944"/>
      <c r="EI15" s="944"/>
      <c r="EJ15" s="944"/>
      <c r="EK15" s="944"/>
      <c r="EL15" s="944"/>
      <c r="EM15" s="944"/>
      <c r="EN15" s="944"/>
      <c r="EO15" s="944"/>
      <c r="EP15" s="944"/>
      <c r="EQ15" s="944"/>
      <c r="ER15" s="944"/>
      <c r="ES15" s="944"/>
      <c r="ET15" s="944"/>
      <c r="EU15" s="944"/>
      <c r="EV15" s="944"/>
      <c r="EW15" s="944"/>
      <c r="EX15" s="944"/>
      <c r="EY15" s="944"/>
      <c r="EZ15" s="944"/>
      <c r="FA15" s="944"/>
      <c r="FB15" s="944"/>
      <c r="FC15" s="944"/>
      <c r="FD15" s="944"/>
      <c r="FE15" s="944"/>
      <c r="FF15" s="944"/>
      <c r="FG15" s="944"/>
      <c r="FH15" s="944"/>
      <c r="FI15" s="944"/>
      <c r="FJ15" s="944"/>
      <c r="FK15" s="944"/>
      <c r="FL15" s="944"/>
      <c r="FM15" s="944"/>
      <c r="FN15" s="944"/>
      <c r="FO15" s="944"/>
      <c r="FP15" s="944"/>
      <c r="FQ15" s="944"/>
      <c r="FR15" s="944"/>
      <c r="FS15" s="944"/>
      <c r="FT15" s="944"/>
      <c r="FU15" s="944"/>
      <c r="FV15" s="944"/>
      <c r="FW15" s="944"/>
      <c r="FX15" s="944"/>
      <c r="FY15" s="944"/>
      <c r="FZ15" s="944"/>
      <c r="GA15" s="944"/>
      <c r="GB15" s="944"/>
      <c r="GC15" s="944"/>
      <c r="GD15" s="944"/>
      <c r="GE15" s="944"/>
      <c r="GF15" s="944"/>
      <c r="GG15" s="944"/>
      <c r="GH15" s="944"/>
      <c r="GI15" s="944"/>
      <c r="GJ15" s="944"/>
      <c r="GK15" s="944"/>
      <c r="GL15" s="944"/>
      <c r="GM15" s="944"/>
      <c r="GN15" s="944"/>
      <c r="GO15" s="944"/>
      <c r="GP15" s="944"/>
      <c r="GQ15" s="944"/>
      <c r="GR15" s="944"/>
      <c r="GS15" s="944"/>
      <c r="GT15" s="944"/>
      <c r="GU15" s="944"/>
      <c r="GV15" s="944"/>
      <c r="GW15" s="944"/>
      <c r="GX15" s="944"/>
      <c r="GY15" s="944"/>
      <c r="GZ15" s="944"/>
      <c r="HA15" s="944"/>
      <c r="HB15" s="944"/>
      <c r="HC15" s="944"/>
      <c r="HD15" s="944"/>
      <c r="HE15" s="944"/>
      <c r="HF15" s="944"/>
      <c r="HG15" s="944"/>
      <c r="HH15" s="944"/>
      <c r="HI15" s="944"/>
      <c r="HJ15" s="944"/>
      <c r="HK15" s="944"/>
      <c r="HL15" s="944"/>
      <c r="HM15" s="944"/>
      <c r="HN15" s="944"/>
      <c r="HO15" s="944"/>
      <c r="HP15" s="944"/>
      <c r="HQ15" s="944"/>
      <c r="HR15" s="944"/>
      <c r="HS15" s="944"/>
      <c r="HT15" s="944"/>
      <c r="HU15" s="944"/>
      <c r="HV15" s="944"/>
      <c r="HW15" s="944"/>
      <c r="HX15" s="944"/>
      <c r="HY15" s="944"/>
      <c r="HZ15" s="944"/>
      <c r="IA15" s="944"/>
      <c r="IB15" s="944"/>
      <c r="IC15" s="944"/>
      <c r="ID15" s="944"/>
      <c r="IE15" s="944"/>
      <c r="IF15" s="944"/>
      <c r="IG15" s="944"/>
      <c r="IH15" s="944"/>
      <c r="II15" s="944"/>
      <c r="IJ15" s="944"/>
      <c r="IK15" s="944"/>
      <c r="IL15" s="944"/>
      <c r="IM15" s="944"/>
      <c r="IN15" s="944"/>
    </row>
    <row r="16" spans="1:248" ht="45">
      <c r="A16" s="1434">
        <v>7</v>
      </c>
      <c r="B16" s="1303" t="s">
        <v>704</v>
      </c>
      <c r="C16" s="950">
        <f t="shared" si="0"/>
        <v>0</v>
      </c>
      <c r="D16" s="937"/>
      <c r="E16" s="939"/>
      <c r="F16" s="950">
        <f t="shared" si="1"/>
        <v>0</v>
      </c>
      <c r="G16" s="937">
        <v>1207</v>
      </c>
      <c r="H16" s="939">
        <v>1207</v>
      </c>
      <c r="I16" s="937">
        <f t="shared" si="2"/>
        <v>-1947</v>
      </c>
      <c r="J16" s="937">
        <v>3158</v>
      </c>
      <c r="K16" s="940">
        <v>1211</v>
      </c>
      <c r="L16" s="944"/>
      <c r="M16" s="944"/>
      <c r="N16" s="944"/>
      <c r="O16" s="944"/>
      <c r="P16" s="944"/>
      <c r="Q16" s="944"/>
      <c r="R16" s="944"/>
      <c r="S16" s="944"/>
      <c r="T16" s="944"/>
      <c r="U16" s="944"/>
      <c r="V16" s="944"/>
      <c r="W16" s="944"/>
      <c r="X16" s="944"/>
      <c r="Y16" s="944"/>
      <c r="Z16" s="944"/>
      <c r="AA16" s="944"/>
      <c r="AB16" s="944"/>
      <c r="AC16" s="944"/>
      <c r="AD16" s="944"/>
      <c r="AE16" s="944"/>
      <c r="AF16" s="944"/>
      <c r="AG16" s="944"/>
      <c r="AH16" s="944"/>
      <c r="AI16" s="944"/>
      <c r="AJ16" s="944"/>
      <c r="AK16" s="944"/>
      <c r="AL16" s="944"/>
      <c r="AM16" s="944"/>
      <c r="AN16" s="944"/>
      <c r="AO16" s="944"/>
      <c r="AP16" s="944"/>
      <c r="AQ16" s="944"/>
      <c r="AR16" s="944"/>
      <c r="AS16" s="944"/>
      <c r="AT16" s="944"/>
      <c r="AU16" s="944"/>
      <c r="AV16" s="944"/>
      <c r="AW16" s="944"/>
      <c r="AX16" s="944"/>
      <c r="AY16" s="944"/>
      <c r="AZ16" s="944"/>
      <c r="BA16" s="944"/>
      <c r="BB16" s="944"/>
      <c r="BC16" s="944"/>
      <c r="BD16" s="944"/>
      <c r="BE16" s="944"/>
      <c r="BF16" s="944"/>
      <c r="BG16" s="944"/>
      <c r="BH16" s="944"/>
      <c r="BI16" s="944"/>
      <c r="BJ16" s="944"/>
      <c r="BK16" s="944"/>
      <c r="BL16" s="944"/>
      <c r="BM16" s="944"/>
      <c r="BN16" s="944"/>
      <c r="BO16" s="944"/>
      <c r="BP16" s="944"/>
      <c r="BQ16" s="944"/>
      <c r="BR16" s="944"/>
      <c r="BS16" s="944"/>
      <c r="BT16" s="944"/>
      <c r="BU16" s="944"/>
      <c r="BV16" s="944"/>
      <c r="BW16" s="944"/>
      <c r="BX16" s="944"/>
      <c r="BY16" s="944"/>
      <c r="BZ16" s="944"/>
      <c r="CA16" s="944"/>
      <c r="CB16" s="944"/>
      <c r="CC16" s="944"/>
      <c r="CD16" s="944"/>
      <c r="CE16" s="944"/>
      <c r="CF16" s="944"/>
      <c r="CG16" s="944"/>
      <c r="CH16" s="944"/>
      <c r="CI16" s="944"/>
      <c r="CJ16" s="944"/>
      <c r="CK16" s="944"/>
      <c r="CL16" s="944"/>
      <c r="CM16" s="944"/>
      <c r="CN16" s="944"/>
      <c r="CO16" s="944"/>
      <c r="CP16" s="944"/>
      <c r="CQ16" s="944"/>
      <c r="CR16" s="944"/>
      <c r="CS16" s="944"/>
      <c r="CT16" s="944"/>
      <c r="CU16" s="944"/>
      <c r="CV16" s="944"/>
      <c r="CW16" s="944"/>
      <c r="CX16" s="944"/>
      <c r="CY16" s="944"/>
      <c r="CZ16" s="944"/>
      <c r="DA16" s="944"/>
      <c r="DB16" s="944"/>
      <c r="DC16" s="944"/>
      <c r="DD16" s="944"/>
      <c r="DE16" s="944"/>
      <c r="DF16" s="944"/>
      <c r="DG16" s="944"/>
      <c r="DH16" s="944"/>
      <c r="DI16" s="944"/>
      <c r="DJ16" s="944"/>
      <c r="DK16" s="944"/>
      <c r="DL16" s="944"/>
      <c r="DM16" s="944"/>
      <c r="DN16" s="944"/>
      <c r="DO16" s="944"/>
      <c r="DP16" s="944"/>
      <c r="DQ16" s="944"/>
      <c r="DR16" s="944"/>
      <c r="DS16" s="944"/>
      <c r="DT16" s="944"/>
      <c r="DU16" s="944"/>
      <c r="DV16" s="944"/>
      <c r="DW16" s="944"/>
      <c r="DX16" s="944"/>
      <c r="DY16" s="944"/>
      <c r="DZ16" s="944"/>
      <c r="EA16" s="944"/>
      <c r="EB16" s="944"/>
      <c r="EC16" s="944"/>
      <c r="ED16" s="944"/>
      <c r="EE16" s="944"/>
      <c r="EF16" s="944"/>
      <c r="EG16" s="944"/>
      <c r="EH16" s="944"/>
      <c r="EI16" s="944"/>
      <c r="EJ16" s="944"/>
      <c r="EK16" s="944"/>
      <c r="EL16" s="944"/>
      <c r="EM16" s="944"/>
      <c r="EN16" s="944"/>
      <c r="EO16" s="944"/>
      <c r="EP16" s="944"/>
      <c r="EQ16" s="944"/>
      <c r="ER16" s="944"/>
      <c r="ES16" s="944"/>
      <c r="ET16" s="944"/>
      <c r="EU16" s="944"/>
      <c r="EV16" s="944"/>
      <c r="EW16" s="944"/>
      <c r="EX16" s="944"/>
      <c r="EY16" s="944"/>
      <c r="EZ16" s="944"/>
      <c r="FA16" s="944"/>
      <c r="FB16" s="944"/>
      <c r="FC16" s="944"/>
      <c r="FD16" s="944"/>
      <c r="FE16" s="944"/>
      <c r="FF16" s="944"/>
      <c r="FG16" s="944"/>
      <c r="FH16" s="944"/>
      <c r="FI16" s="944"/>
      <c r="FJ16" s="944"/>
      <c r="FK16" s="944"/>
      <c r="FL16" s="944"/>
      <c r="FM16" s="944"/>
      <c r="FN16" s="944"/>
      <c r="FO16" s="944"/>
      <c r="FP16" s="944"/>
      <c r="FQ16" s="944"/>
      <c r="FR16" s="944"/>
      <c r="FS16" s="944"/>
      <c r="FT16" s="944"/>
      <c r="FU16" s="944"/>
      <c r="FV16" s="944"/>
      <c r="FW16" s="944"/>
      <c r="FX16" s="944"/>
      <c r="FY16" s="944"/>
      <c r="FZ16" s="944"/>
      <c r="GA16" s="944"/>
      <c r="GB16" s="944"/>
      <c r="GC16" s="944"/>
      <c r="GD16" s="944"/>
      <c r="GE16" s="944"/>
      <c r="GF16" s="944"/>
      <c r="GG16" s="944"/>
      <c r="GH16" s="944"/>
      <c r="GI16" s="944"/>
      <c r="GJ16" s="944"/>
      <c r="GK16" s="944"/>
      <c r="GL16" s="944"/>
      <c r="GM16" s="944"/>
      <c r="GN16" s="944"/>
      <c r="GO16" s="944"/>
      <c r="GP16" s="944"/>
      <c r="GQ16" s="944"/>
      <c r="GR16" s="944"/>
      <c r="GS16" s="944"/>
      <c r="GT16" s="944"/>
      <c r="GU16" s="944"/>
      <c r="GV16" s="944"/>
      <c r="GW16" s="944"/>
      <c r="GX16" s="944"/>
      <c r="GY16" s="944"/>
      <c r="GZ16" s="944"/>
      <c r="HA16" s="944"/>
      <c r="HB16" s="944"/>
      <c r="HC16" s="944"/>
      <c r="HD16" s="944"/>
      <c r="HE16" s="944"/>
      <c r="HF16" s="944"/>
      <c r="HG16" s="944"/>
      <c r="HH16" s="944"/>
      <c r="HI16" s="944"/>
      <c r="HJ16" s="944"/>
      <c r="HK16" s="944"/>
      <c r="HL16" s="944"/>
      <c r="HM16" s="944"/>
      <c r="HN16" s="944"/>
      <c r="HO16" s="944"/>
      <c r="HP16" s="944"/>
      <c r="HQ16" s="944"/>
      <c r="HR16" s="944"/>
      <c r="HS16" s="944"/>
      <c r="HT16" s="944"/>
      <c r="HU16" s="944"/>
      <c r="HV16" s="944"/>
      <c r="HW16" s="944"/>
      <c r="HX16" s="944"/>
      <c r="HY16" s="944"/>
      <c r="HZ16" s="944"/>
      <c r="IA16" s="944"/>
      <c r="IB16" s="944"/>
      <c r="IC16" s="944"/>
      <c r="ID16" s="944"/>
      <c r="IE16" s="944"/>
      <c r="IF16" s="944"/>
      <c r="IG16" s="944"/>
      <c r="IH16" s="944"/>
      <c r="II16" s="944"/>
      <c r="IJ16" s="944"/>
      <c r="IK16" s="944"/>
      <c r="IL16" s="944"/>
      <c r="IM16" s="944"/>
      <c r="IN16" s="944"/>
    </row>
    <row r="17" spans="1:248" ht="60">
      <c r="A17" s="1434">
        <v>8</v>
      </c>
      <c r="B17" s="1303" t="s">
        <v>47</v>
      </c>
      <c r="C17" s="950">
        <f t="shared" si="0"/>
        <v>0</v>
      </c>
      <c r="D17" s="937"/>
      <c r="E17" s="939"/>
      <c r="F17" s="950">
        <f t="shared" si="1"/>
        <v>33259</v>
      </c>
      <c r="G17" s="937">
        <v>24651</v>
      </c>
      <c r="H17" s="939">
        <f>635+55256+2019</f>
        <v>57910</v>
      </c>
      <c r="I17" s="937">
        <f t="shared" si="2"/>
        <v>37082</v>
      </c>
      <c r="J17" s="937">
        <v>20778</v>
      </c>
      <c r="K17" s="940">
        <f>635+55206+2019</f>
        <v>57860</v>
      </c>
      <c r="L17" s="944"/>
      <c r="M17" s="944"/>
      <c r="N17" s="944"/>
      <c r="O17" s="944"/>
      <c r="P17" s="944"/>
      <c r="Q17" s="944"/>
      <c r="R17" s="944"/>
      <c r="S17" s="944"/>
      <c r="T17" s="944"/>
      <c r="U17" s="944"/>
      <c r="V17" s="944"/>
      <c r="W17" s="944"/>
      <c r="X17" s="944"/>
      <c r="Y17" s="944"/>
      <c r="Z17" s="944"/>
      <c r="AA17" s="944"/>
      <c r="AB17" s="944"/>
      <c r="AC17" s="944"/>
      <c r="AD17" s="944"/>
      <c r="AE17" s="944"/>
      <c r="AF17" s="944"/>
      <c r="AG17" s="944"/>
      <c r="AH17" s="944"/>
      <c r="AI17" s="944"/>
      <c r="AJ17" s="944"/>
      <c r="AK17" s="944"/>
      <c r="AL17" s="944"/>
      <c r="AM17" s="944"/>
      <c r="AN17" s="944"/>
      <c r="AO17" s="944"/>
      <c r="AP17" s="944"/>
      <c r="AQ17" s="944"/>
      <c r="AR17" s="944"/>
      <c r="AS17" s="944"/>
      <c r="AT17" s="944"/>
      <c r="AU17" s="944"/>
      <c r="AV17" s="944"/>
      <c r="AW17" s="944"/>
      <c r="AX17" s="944"/>
      <c r="AY17" s="944"/>
      <c r="AZ17" s="944"/>
      <c r="BA17" s="944"/>
      <c r="BB17" s="944"/>
      <c r="BC17" s="944"/>
      <c r="BD17" s="944"/>
      <c r="BE17" s="944"/>
      <c r="BF17" s="944"/>
      <c r="BG17" s="944"/>
      <c r="BH17" s="944"/>
      <c r="BI17" s="944"/>
      <c r="BJ17" s="944"/>
      <c r="BK17" s="944"/>
      <c r="BL17" s="944"/>
      <c r="BM17" s="944"/>
      <c r="BN17" s="944"/>
      <c r="BO17" s="944"/>
      <c r="BP17" s="944"/>
      <c r="BQ17" s="944"/>
      <c r="BR17" s="944"/>
      <c r="BS17" s="944"/>
      <c r="BT17" s="944"/>
      <c r="BU17" s="944"/>
      <c r="BV17" s="944"/>
      <c r="BW17" s="944"/>
      <c r="BX17" s="944"/>
      <c r="BY17" s="944"/>
      <c r="BZ17" s="944"/>
      <c r="CA17" s="944"/>
      <c r="CB17" s="944"/>
      <c r="CC17" s="944"/>
      <c r="CD17" s="944"/>
      <c r="CE17" s="944"/>
      <c r="CF17" s="944"/>
      <c r="CG17" s="944"/>
      <c r="CH17" s="944"/>
      <c r="CI17" s="944"/>
      <c r="CJ17" s="944"/>
      <c r="CK17" s="944"/>
      <c r="CL17" s="944"/>
      <c r="CM17" s="944"/>
      <c r="CN17" s="944"/>
      <c r="CO17" s="944"/>
      <c r="CP17" s="944"/>
      <c r="CQ17" s="944"/>
      <c r="CR17" s="944"/>
      <c r="CS17" s="944"/>
      <c r="CT17" s="944"/>
      <c r="CU17" s="944"/>
      <c r="CV17" s="944"/>
      <c r="CW17" s="944"/>
      <c r="CX17" s="944"/>
      <c r="CY17" s="944"/>
      <c r="CZ17" s="944"/>
      <c r="DA17" s="944"/>
      <c r="DB17" s="944"/>
      <c r="DC17" s="944"/>
      <c r="DD17" s="944"/>
      <c r="DE17" s="944"/>
      <c r="DF17" s="944"/>
      <c r="DG17" s="944"/>
      <c r="DH17" s="944"/>
      <c r="DI17" s="944"/>
      <c r="DJ17" s="944"/>
      <c r="DK17" s="944"/>
      <c r="DL17" s="944"/>
      <c r="DM17" s="944"/>
      <c r="DN17" s="944"/>
      <c r="DO17" s="944"/>
      <c r="DP17" s="944"/>
      <c r="DQ17" s="944"/>
      <c r="DR17" s="944"/>
      <c r="DS17" s="944"/>
      <c r="DT17" s="944"/>
      <c r="DU17" s="944"/>
      <c r="DV17" s="944"/>
      <c r="DW17" s="944"/>
      <c r="DX17" s="944"/>
      <c r="DY17" s="944"/>
      <c r="DZ17" s="944"/>
      <c r="EA17" s="944"/>
      <c r="EB17" s="944"/>
      <c r="EC17" s="944"/>
      <c r="ED17" s="944"/>
      <c r="EE17" s="944"/>
      <c r="EF17" s="944"/>
      <c r="EG17" s="944"/>
      <c r="EH17" s="944"/>
      <c r="EI17" s="944"/>
      <c r="EJ17" s="944"/>
      <c r="EK17" s="944"/>
      <c r="EL17" s="944"/>
      <c r="EM17" s="944"/>
      <c r="EN17" s="944"/>
      <c r="EO17" s="944"/>
      <c r="EP17" s="944"/>
      <c r="EQ17" s="944"/>
      <c r="ER17" s="944"/>
      <c r="ES17" s="944"/>
      <c r="ET17" s="944"/>
      <c r="EU17" s="944"/>
      <c r="EV17" s="944"/>
      <c r="EW17" s="944"/>
      <c r="EX17" s="944"/>
      <c r="EY17" s="944"/>
      <c r="EZ17" s="944"/>
      <c r="FA17" s="944"/>
      <c r="FB17" s="944"/>
      <c r="FC17" s="944"/>
      <c r="FD17" s="944"/>
      <c r="FE17" s="944"/>
      <c r="FF17" s="944"/>
      <c r="FG17" s="944"/>
      <c r="FH17" s="944"/>
      <c r="FI17" s="944"/>
      <c r="FJ17" s="944"/>
      <c r="FK17" s="944"/>
      <c r="FL17" s="944"/>
      <c r="FM17" s="944"/>
      <c r="FN17" s="944"/>
      <c r="FO17" s="944"/>
      <c r="FP17" s="944"/>
      <c r="FQ17" s="944"/>
      <c r="FR17" s="944"/>
      <c r="FS17" s="944"/>
      <c r="FT17" s="944"/>
      <c r="FU17" s="944"/>
      <c r="FV17" s="944"/>
      <c r="FW17" s="944"/>
      <c r="FX17" s="944"/>
      <c r="FY17" s="944"/>
      <c r="FZ17" s="944"/>
      <c r="GA17" s="944"/>
      <c r="GB17" s="944"/>
      <c r="GC17" s="944"/>
      <c r="GD17" s="944"/>
      <c r="GE17" s="944"/>
      <c r="GF17" s="944"/>
      <c r="GG17" s="944"/>
      <c r="GH17" s="944"/>
      <c r="GI17" s="944"/>
      <c r="GJ17" s="944"/>
      <c r="GK17" s="944"/>
      <c r="GL17" s="944"/>
      <c r="GM17" s="944"/>
      <c r="GN17" s="944"/>
      <c r="GO17" s="944"/>
      <c r="GP17" s="944"/>
      <c r="GQ17" s="944"/>
      <c r="GR17" s="944"/>
      <c r="GS17" s="944"/>
      <c r="GT17" s="944"/>
      <c r="GU17" s="944"/>
      <c r="GV17" s="944"/>
      <c r="GW17" s="944"/>
      <c r="GX17" s="944"/>
      <c r="GY17" s="944"/>
      <c r="GZ17" s="944"/>
      <c r="HA17" s="944"/>
      <c r="HB17" s="944"/>
      <c r="HC17" s="944"/>
      <c r="HD17" s="944"/>
      <c r="HE17" s="944"/>
      <c r="HF17" s="944"/>
      <c r="HG17" s="944"/>
      <c r="HH17" s="944"/>
      <c r="HI17" s="944"/>
      <c r="HJ17" s="944"/>
      <c r="HK17" s="944"/>
      <c r="HL17" s="944"/>
      <c r="HM17" s="944"/>
      <c r="HN17" s="944"/>
      <c r="HO17" s="944"/>
      <c r="HP17" s="944"/>
      <c r="HQ17" s="944"/>
      <c r="HR17" s="944"/>
      <c r="HS17" s="944"/>
      <c r="HT17" s="944"/>
      <c r="HU17" s="944"/>
      <c r="HV17" s="944"/>
      <c r="HW17" s="944"/>
      <c r="HX17" s="944"/>
      <c r="HY17" s="944"/>
      <c r="HZ17" s="944"/>
      <c r="IA17" s="944"/>
      <c r="IB17" s="944"/>
      <c r="IC17" s="944"/>
      <c r="ID17" s="944"/>
      <c r="IE17" s="944"/>
      <c r="IF17" s="944"/>
      <c r="IG17" s="944"/>
      <c r="IH17" s="944"/>
      <c r="II17" s="944"/>
      <c r="IJ17" s="944"/>
      <c r="IK17" s="944"/>
      <c r="IL17" s="944"/>
      <c r="IM17" s="944"/>
      <c r="IN17" s="944"/>
    </row>
    <row r="18" spans="1:248" ht="30">
      <c r="A18" s="1434">
        <v>9</v>
      </c>
      <c r="B18" s="1303" t="s">
        <v>532</v>
      </c>
      <c r="C18" s="950">
        <f t="shared" si="0"/>
        <v>0</v>
      </c>
      <c r="D18" s="937">
        <v>1582</v>
      </c>
      <c r="E18" s="939">
        <v>1582</v>
      </c>
      <c r="F18" s="950">
        <f t="shared" si="1"/>
        <v>533</v>
      </c>
      <c r="G18" s="937">
        <v>2239</v>
      </c>
      <c r="H18" s="939">
        <f>40+2732</f>
        <v>2772</v>
      </c>
      <c r="I18" s="937">
        <f t="shared" si="2"/>
        <v>971</v>
      </c>
      <c r="J18" s="937">
        <v>1760</v>
      </c>
      <c r="K18" s="940">
        <f>41+2690</f>
        <v>2731</v>
      </c>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4"/>
      <c r="AO18" s="944"/>
      <c r="AP18" s="944"/>
      <c r="AQ18" s="944"/>
      <c r="AR18" s="944"/>
      <c r="AS18" s="944"/>
      <c r="AT18" s="944"/>
      <c r="AU18" s="944"/>
      <c r="AV18" s="944"/>
      <c r="AW18" s="944"/>
      <c r="AX18" s="944"/>
      <c r="AY18" s="944"/>
      <c r="AZ18" s="944"/>
      <c r="BA18" s="944"/>
      <c r="BB18" s="944"/>
      <c r="BC18" s="944"/>
      <c r="BD18" s="944"/>
      <c r="BE18" s="944"/>
      <c r="BF18" s="944"/>
      <c r="BG18" s="944"/>
      <c r="BH18" s="944"/>
      <c r="BI18" s="944"/>
      <c r="BJ18" s="944"/>
      <c r="BK18" s="944"/>
      <c r="BL18" s="944"/>
      <c r="BM18" s="944"/>
      <c r="BN18" s="944"/>
      <c r="BO18" s="944"/>
      <c r="BP18" s="944"/>
      <c r="BQ18" s="944"/>
      <c r="BR18" s="944"/>
      <c r="BS18" s="944"/>
      <c r="BT18" s="944"/>
      <c r="BU18" s="944"/>
      <c r="BV18" s="944"/>
      <c r="BW18" s="944"/>
      <c r="BX18" s="944"/>
      <c r="BY18" s="944"/>
      <c r="BZ18" s="944"/>
      <c r="CA18" s="944"/>
      <c r="CB18" s="944"/>
      <c r="CC18" s="944"/>
      <c r="CD18" s="944"/>
      <c r="CE18" s="944"/>
      <c r="CF18" s="944"/>
      <c r="CG18" s="944"/>
      <c r="CH18" s="944"/>
      <c r="CI18" s="944"/>
      <c r="CJ18" s="944"/>
      <c r="CK18" s="944"/>
      <c r="CL18" s="944"/>
      <c r="CM18" s="944"/>
      <c r="CN18" s="944"/>
      <c r="CO18" s="944"/>
      <c r="CP18" s="944"/>
      <c r="CQ18" s="944"/>
      <c r="CR18" s="944"/>
      <c r="CS18" s="944"/>
      <c r="CT18" s="944"/>
      <c r="CU18" s="944"/>
      <c r="CV18" s="944"/>
      <c r="CW18" s="944"/>
      <c r="CX18" s="944"/>
      <c r="CY18" s="944"/>
      <c r="CZ18" s="944"/>
      <c r="DA18" s="944"/>
      <c r="DB18" s="944"/>
      <c r="DC18" s="944"/>
      <c r="DD18" s="944"/>
      <c r="DE18" s="944"/>
      <c r="DF18" s="944"/>
      <c r="DG18" s="944"/>
      <c r="DH18" s="944"/>
      <c r="DI18" s="944"/>
      <c r="DJ18" s="944"/>
      <c r="DK18" s="944"/>
      <c r="DL18" s="944"/>
      <c r="DM18" s="944"/>
      <c r="DN18" s="944"/>
      <c r="DO18" s="944"/>
      <c r="DP18" s="944"/>
      <c r="DQ18" s="944"/>
      <c r="DR18" s="944"/>
      <c r="DS18" s="944"/>
      <c r="DT18" s="944"/>
      <c r="DU18" s="944"/>
      <c r="DV18" s="944"/>
      <c r="DW18" s="944"/>
      <c r="DX18" s="944"/>
      <c r="DY18" s="944"/>
      <c r="DZ18" s="944"/>
      <c r="EA18" s="944"/>
      <c r="EB18" s="944"/>
      <c r="EC18" s="944"/>
      <c r="ED18" s="944"/>
      <c r="EE18" s="944"/>
      <c r="EF18" s="944"/>
      <c r="EG18" s="944"/>
      <c r="EH18" s="944"/>
      <c r="EI18" s="944"/>
      <c r="EJ18" s="944"/>
      <c r="EK18" s="944"/>
      <c r="EL18" s="944"/>
      <c r="EM18" s="944"/>
      <c r="EN18" s="944"/>
      <c r="EO18" s="944"/>
      <c r="EP18" s="944"/>
      <c r="EQ18" s="944"/>
      <c r="ER18" s="944"/>
      <c r="ES18" s="944"/>
      <c r="ET18" s="944"/>
      <c r="EU18" s="944"/>
      <c r="EV18" s="944"/>
      <c r="EW18" s="944"/>
      <c r="EX18" s="944"/>
      <c r="EY18" s="944"/>
      <c r="EZ18" s="944"/>
      <c r="FA18" s="944"/>
      <c r="FB18" s="944"/>
      <c r="FC18" s="944"/>
      <c r="FD18" s="944"/>
      <c r="FE18" s="944"/>
      <c r="FF18" s="944"/>
      <c r="FG18" s="944"/>
      <c r="FH18" s="944"/>
      <c r="FI18" s="944"/>
      <c r="FJ18" s="944"/>
      <c r="FK18" s="944"/>
      <c r="FL18" s="944"/>
      <c r="FM18" s="944"/>
      <c r="FN18" s="944"/>
      <c r="FO18" s="944"/>
      <c r="FP18" s="944"/>
      <c r="FQ18" s="944"/>
      <c r="FR18" s="944"/>
      <c r="FS18" s="944"/>
      <c r="FT18" s="944"/>
      <c r="FU18" s="944"/>
      <c r="FV18" s="944"/>
      <c r="FW18" s="944"/>
      <c r="FX18" s="944"/>
      <c r="FY18" s="944"/>
      <c r="FZ18" s="944"/>
      <c r="GA18" s="944"/>
      <c r="GB18" s="944"/>
      <c r="GC18" s="944"/>
      <c r="GD18" s="944"/>
      <c r="GE18" s="944"/>
      <c r="GF18" s="944"/>
      <c r="GG18" s="944"/>
      <c r="GH18" s="944"/>
      <c r="GI18" s="944"/>
      <c r="GJ18" s="944"/>
      <c r="GK18" s="944"/>
      <c r="GL18" s="944"/>
      <c r="GM18" s="944"/>
      <c r="GN18" s="944"/>
      <c r="GO18" s="944"/>
      <c r="GP18" s="944"/>
      <c r="GQ18" s="944"/>
      <c r="GR18" s="944"/>
      <c r="GS18" s="944"/>
      <c r="GT18" s="944"/>
      <c r="GU18" s="944"/>
      <c r="GV18" s="944"/>
      <c r="GW18" s="944"/>
      <c r="GX18" s="944"/>
      <c r="GY18" s="944"/>
      <c r="GZ18" s="944"/>
      <c r="HA18" s="944"/>
      <c r="HB18" s="944"/>
      <c r="HC18" s="944"/>
      <c r="HD18" s="944"/>
      <c r="HE18" s="944"/>
      <c r="HF18" s="944"/>
      <c r="HG18" s="944"/>
      <c r="HH18" s="944"/>
      <c r="HI18" s="944"/>
      <c r="HJ18" s="944"/>
      <c r="HK18" s="944"/>
      <c r="HL18" s="944"/>
      <c r="HM18" s="944"/>
      <c r="HN18" s="944"/>
      <c r="HO18" s="944"/>
      <c r="HP18" s="944"/>
      <c r="HQ18" s="944"/>
      <c r="HR18" s="944"/>
      <c r="HS18" s="944"/>
      <c r="HT18" s="944"/>
      <c r="HU18" s="944"/>
      <c r="HV18" s="944"/>
      <c r="HW18" s="944"/>
      <c r="HX18" s="944"/>
      <c r="HY18" s="944"/>
      <c r="HZ18" s="944"/>
      <c r="IA18" s="944"/>
      <c r="IB18" s="944"/>
      <c r="IC18" s="944"/>
      <c r="ID18" s="944"/>
      <c r="IE18" s="944"/>
      <c r="IF18" s="944"/>
      <c r="IG18" s="944"/>
      <c r="IH18" s="944"/>
      <c r="II18" s="944"/>
      <c r="IJ18" s="944"/>
      <c r="IK18" s="944"/>
      <c r="IL18" s="944"/>
      <c r="IM18" s="944"/>
      <c r="IN18" s="944"/>
    </row>
    <row r="19" spans="1:248" ht="25.5">
      <c r="A19" s="1434">
        <v>10</v>
      </c>
      <c r="B19" s="1304" t="s">
        <v>705</v>
      </c>
      <c r="C19" s="950">
        <f t="shared" si="0"/>
        <v>10000</v>
      </c>
      <c r="D19" s="937">
        <v>243861</v>
      </c>
      <c r="E19" s="939">
        <v>253861</v>
      </c>
      <c r="F19" s="950">
        <f t="shared" si="1"/>
        <v>89116</v>
      </c>
      <c r="G19" s="937">
        <f>28686+11225+6095+689857</f>
        <v>735863</v>
      </c>
      <c r="H19" s="939">
        <f>34004+11300+39791+739884</f>
        <v>824979</v>
      </c>
      <c r="I19" s="937">
        <f t="shared" si="2"/>
        <v>81231</v>
      </c>
      <c r="J19" s="937">
        <v>732037</v>
      </c>
      <c r="K19" s="940">
        <f>34004+11300+31439+736525</f>
        <v>813268</v>
      </c>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4"/>
      <c r="AL19" s="944"/>
      <c r="AM19" s="944"/>
      <c r="AN19" s="944"/>
      <c r="AO19" s="944"/>
      <c r="AP19" s="944"/>
      <c r="AQ19" s="944"/>
      <c r="AR19" s="944"/>
      <c r="AS19" s="944"/>
      <c r="AT19" s="944"/>
      <c r="AU19" s="944"/>
      <c r="AV19" s="944"/>
      <c r="AW19" s="944"/>
      <c r="AX19" s="944"/>
      <c r="AY19" s="944"/>
      <c r="AZ19" s="944"/>
      <c r="BA19" s="944"/>
      <c r="BB19" s="944"/>
      <c r="BC19" s="944"/>
      <c r="BD19" s="944"/>
      <c r="BE19" s="944"/>
      <c r="BF19" s="944"/>
      <c r="BG19" s="944"/>
      <c r="BH19" s="944"/>
      <c r="BI19" s="944"/>
      <c r="BJ19" s="944"/>
      <c r="BK19" s="944"/>
      <c r="BL19" s="944"/>
      <c r="BM19" s="944"/>
      <c r="BN19" s="944"/>
      <c r="BO19" s="944"/>
      <c r="BP19" s="944"/>
      <c r="BQ19" s="944"/>
      <c r="BR19" s="944"/>
      <c r="BS19" s="944"/>
      <c r="BT19" s="944"/>
      <c r="BU19" s="944"/>
      <c r="BV19" s="944"/>
      <c r="BW19" s="944"/>
      <c r="BX19" s="944"/>
      <c r="BY19" s="944"/>
      <c r="BZ19" s="944"/>
      <c r="CA19" s="944"/>
      <c r="CB19" s="944"/>
      <c r="CC19" s="944"/>
      <c r="CD19" s="944"/>
      <c r="CE19" s="944"/>
      <c r="CF19" s="944"/>
      <c r="CG19" s="944"/>
      <c r="CH19" s="944"/>
      <c r="CI19" s="944"/>
      <c r="CJ19" s="944"/>
      <c r="CK19" s="944"/>
      <c r="CL19" s="944"/>
      <c r="CM19" s="944"/>
      <c r="CN19" s="944"/>
      <c r="CO19" s="944"/>
      <c r="CP19" s="944"/>
      <c r="CQ19" s="944"/>
      <c r="CR19" s="944"/>
      <c r="CS19" s="944"/>
      <c r="CT19" s="944"/>
      <c r="CU19" s="944"/>
      <c r="CV19" s="944"/>
      <c r="CW19" s="944"/>
      <c r="CX19" s="944"/>
      <c r="CY19" s="944"/>
      <c r="CZ19" s="944"/>
      <c r="DA19" s="944"/>
      <c r="DB19" s="944"/>
      <c r="DC19" s="944"/>
      <c r="DD19" s="944"/>
      <c r="DE19" s="944"/>
      <c r="DF19" s="944"/>
      <c r="DG19" s="944"/>
      <c r="DH19" s="944"/>
      <c r="DI19" s="944"/>
      <c r="DJ19" s="944"/>
      <c r="DK19" s="944"/>
      <c r="DL19" s="944"/>
      <c r="DM19" s="944"/>
      <c r="DN19" s="944"/>
      <c r="DO19" s="944"/>
      <c r="DP19" s="944"/>
      <c r="DQ19" s="944"/>
      <c r="DR19" s="944"/>
      <c r="DS19" s="944"/>
      <c r="DT19" s="944"/>
      <c r="DU19" s="944"/>
      <c r="DV19" s="944"/>
      <c r="DW19" s="944"/>
      <c r="DX19" s="944"/>
      <c r="DY19" s="944"/>
      <c r="DZ19" s="944"/>
      <c r="EA19" s="944"/>
      <c r="EB19" s="944"/>
      <c r="EC19" s="944"/>
      <c r="ED19" s="944"/>
      <c r="EE19" s="944"/>
      <c r="EF19" s="944"/>
      <c r="EG19" s="944"/>
      <c r="EH19" s="944"/>
      <c r="EI19" s="944"/>
      <c r="EJ19" s="944"/>
      <c r="EK19" s="944"/>
      <c r="EL19" s="944"/>
      <c r="EM19" s="944"/>
      <c r="EN19" s="944"/>
      <c r="EO19" s="944"/>
      <c r="EP19" s="944"/>
      <c r="EQ19" s="944"/>
      <c r="ER19" s="944"/>
      <c r="ES19" s="944"/>
      <c r="ET19" s="944"/>
      <c r="EU19" s="944"/>
      <c r="EV19" s="944"/>
      <c r="EW19" s="944"/>
      <c r="EX19" s="944"/>
      <c r="EY19" s="944"/>
      <c r="EZ19" s="944"/>
      <c r="FA19" s="944"/>
      <c r="FB19" s="944"/>
      <c r="FC19" s="944"/>
      <c r="FD19" s="944"/>
      <c r="FE19" s="944"/>
      <c r="FF19" s="944"/>
      <c r="FG19" s="944"/>
      <c r="FH19" s="944"/>
      <c r="FI19" s="944"/>
      <c r="FJ19" s="944"/>
      <c r="FK19" s="944"/>
      <c r="FL19" s="944"/>
      <c r="FM19" s="944"/>
      <c r="FN19" s="944"/>
      <c r="FO19" s="944"/>
      <c r="FP19" s="944"/>
      <c r="FQ19" s="944"/>
      <c r="FR19" s="944"/>
      <c r="FS19" s="944"/>
      <c r="FT19" s="944"/>
      <c r="FU19" s="944"/>
      <c r="FV19" s="944"/>
      <c r="FW19" s="944"/>
      <c r="FX19" s="944"/>
      <c r="FY19" s="944"/>
      <c r="FZ19" s="944"/>
      <c r="GA19" s="944"/>
      <c r="GB19" s="944"/>
      <c r="GC19" s="944"/>
      <c r="GD19" s="944"/>
      <c r="GE19" s="944"/>
      <c r="GF19" s="944"/>
      <c r="GG19" s="944"/>
      <c r="GH19" s="944"/>
      <c r="GI19" s="944"/>
      <c r="GJ19" s="944"/>
      <c r="GK19" s="944"/>
      <c r="GL19" s="944"/>
      <c r="GM19" s="944"/>
      <c r="GN19" s="944"/>
      <c r="GO19" s="944"/>
      <c r="GP19" s="944"/>
      <c r="GQ19" s="944"/>
      <c r="GR19" s="944"/>
      <c r="GS19" s="944"/>
      <c r="GT19" s="944"/>
      <c r="GU19" s="944"/>
      <c r="GV19" s="944"/>
      <c r="GW19" s="944"/>
      <c r="GX19" s="944"/>
      <c r="GY19" s="944"/>
      <c r="GZ19" s="944"/>
      <c r="HA19" s="944"/>
      <c r="HB19" s="944"/>
      <c r="HC19" s="944"/>
      <c r="HD19" s="944"/>
      <c r="HE19" s="944"/>
      <c r="HF19" s="944"/>
      <c r="HG19" s="944"/>
      <c r="HH19" s="944"/>
      <c r="HI19" s="944"/>
      <c r="HJ19" s="944"/>
      <c r="HK19" s="944"/>
      <c r="HL19" s="944"/>
      <c r="HM19" s="944"/>
      <c r="HN19" s="944"/>
      <c r="HO19" s="944"/>
      <c r="HP19" s="944"/>
      <c r="HQ19" s="944"/>
      <c r="HR19" s="944"/>
      <c r="HS19" s="944"/>
      <c r="HT19" s="944"/>
      <c r="HU19" s="944"/>
      <c r="HV19" s="944"/>
      <c r="HW19" s="944"/>
      <c r="HX19" s="944"/>
      <c r="HY19" s="944"/>
      <c r="HZ19" s="944"/>
      <c r="IA19" s="944"/>
      <c r="IB19" s="944"/>
      <c r="IC19" s="944"/>
      <c r="ID19" s="944"/>
      <c r="IE19" s="944"/>
      <c r="IF19" s="944"/>
      <c r="IG19" s="944"/>
      <c r="IH19" s="944"/>
      <c r="II19" s="944"/>
      <c r="IJ19" s="944"/>
      <c r="IK19" s="944"/>
      <c r="IL19" s="944"/>
      <c r="IM19" s="944"/>
      <c r="IN19" s="944"/>
    </row>
    <row r="20" spans="1:248" ht="38.25">
      <c r="A20" s="1434">
        <v>11</v>
      </c>
      <c r="B20" s="1304" t="s">
        <v>1386</v>
      </c>
      <c r="C20" s="950">
        <f t="shared" si="0"/>
        <v>0</v>
      </c>
      <c r="D20" s="937"/>
      <c r="E20" s="939"/>
      <c r="F20" s="950">
        <f t="shared" si="1"/>
        <v>-8821</v>
      </c>
      <c r="G20" s="937">
        <f>4395+498770</f>
        <v>503165</v>
      </c>
      <c r="H20" s="939">
        <f>1395+8741+484208</f>
        <v>494344</v>
      </c>
      <c r="I20" s="937">
        <f t="shared" si="2"/>
        <v>-9680</v>
      </c>
      <c r="J20" s="937">
        <v>489335</v>
      </c>
      <c r="K20" s="940">
        <f>1395+8741+469519</f>
        <v>479655</v>
      </c>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4"/>
      <c r="AP20" s="944"/>
      <c r="AQ20" s="944"/>
      <c r="AR20" s="944"/>
      <c r="AS20" s="944"/>
      <c r="AT20" s="944"/>
      <c r="AU20" s="944"/>
      <c r="AV20" s="944"/>
      <c r="AW20" s="944"/>
      <c r="AX20" s="944"/>
      <c r="AY20" s="944"/>
      <c r="AZ20" s="944"/>
      <c r="BA20" s="944"/>
      <c r="BB20" s="944"/>
      <c r="BC20" s="944"/>
      <c r="BD20" s="944"/>
      <c r="BE20" s="944"/>
      <c r="BF20" s="944"/>
      <c r="BG20" s="944"/>
      <c r="BH20" s="944"/>
      <c r="BI20" s="944"/>
      <c r="BJ20" s="944"/>
      <c r="BK20" s="944"/>
      <c r="BL20" s="944"/>
      <c r="BM20" s="944"/>
      <c r="BN20" s="944"/>
      <c r="BO20" s="944"/>
      <c r="BP20" s="944"/>
      <c r="BQ20" s="944"/>
      <c r="BR20" s="944"/>
      <c r="BS20" s="944"/>
      <c r="BT20" s="944"/>
      <c r="BU20" s="944"/>
      <c r="BV20" s="944"/>
      <c r="BW20" s="944"/>
      <c r="BX20" s="944"/>
      <c r="BY20" s="944"/>
      <c r="BZ20" s="944"/>
      <c r="CA20" s="944"/>
      <c r="CB20" s="944"/>
      <c r="CC20" s="944"/>
      <c r="CD20" s="944"/>
      <c r="CE20" s="944"/>
      <c r="CF20" s="944"/>
      <c r="CG20" s="944"/>
      <c r="CH20" s="944"/>
      <c r="CI20" s="944"/>
      <c r="CJ20" s="944"/>
      <c r="CK20" s="944"/>
      <c r="CL20" s="944"/>
      <c r="CM20" s="944"/>
      <c r="CN20" s="944"/>
      <c r="CO20" s="944"/>
      <c r="CP20" s="944"/>
      <c r="CQ20" s="944"/>
      <c r="CR20" s="944"/>
      <c r="CS20" s="944"/>
      <c r="CT20" s="944"/>
      <c r="CU20" s="944"/>
      <c r="CV20" s="944"/>
      <c r="CW20" s="944"/>
      <c r="CX20" s="944"/>
      <c r="CY20" s="944"/>
      <c r="CZ20" s="944"/>
      <c r="DA20" s="944"/>
      <c r="DB20" s="944"/>
      <c r="DC20" s="944"/>
      <c r="DD20" s="944"/>
      <c r="DE20" s="944"/>
      <c r="DF20" s="944"/>
      <c r="DG20" s="944"/>
      <c r="DH20" s="944"/>
      <c r="DI20" s="944"/>
      <c r="DJ20" s="944"/>
      <c r="DK20" s="944"/>
      <c r="DL20" s="944"/>
      <c r="DM20" s="944"/>
      <c r="DN20" s="944"/>
      <c r="DO20" s="944"/>
      <c r="DP20" s="944"/>
      <c r="DQ20" s="944"/>
      <c r="DR20" s="944"/>
      <c r="DS20" s="944"/>
      <c r="DT20" s="944"/>
      <c r="DU20" s="944"/>
      <c r="DV20" s="944"/>
      <c r="DW20" s="944"/>
      <c r="DX20" s="944"/>
      <c r="DY20" s="944"/>
      <c r="DZ20" s="944"/>
      <c r="EA20" s="944"/>
      <c r="EB20" s="944"/>
      <c r="EC20" s="944"/>
      <c r="ED20" s="944"/>
      <c r="EE20" s="944"/>
      <c r="EF20" s="944"/>
      <c r="EG20" s="944"/>
      <c r="EH20" s="944"/>
      <c r="EI20" s="944"/>
      <c r="EJ20" s="944"/>
      <c r="EK20" s="944"/>
      <c r="EL20" s="944"/>
      <c r="EM20" s="944"/>
      <c r="EN20" s="944"/>
      <c r="EO20" s="944"/>
      <c r="EP20" s="944"/>
      <c r="EQ20" s="944"/>
      <c r="ER20" s="944"/>
      <c r="ES20" s="944"/>
      <c r="ET20" s="944"/>
      <c r="EU20" s="944"/>
      <c r="EV20" s="944"/>
      <c r="EW20" s="944"/>
      <c r="EX20" s="944"/>
      <c r="EY20" s="944"/>
      <c r="EZ20" s="944"/>
      <c r="FA20" s="944"/>
      <c r="FB20" s="944"/>
      <c r="FC20" s="944"/>
      <c r="FD20" s="944"/>
      <c r="FE20" s="944"/>
      <c r="FF20" s="944"/>
      <c r="FG20" s="944"/>
      <c r="FH20" s="944"/>
      <c r="FI20" s="944"/>
      <c r="FJ20" s="944"/>
      <c r="FK20" s="944"/>
      <c r="FL20" s="944"/>
      <c r="FM20" s="944"/>
      <c r="FN20" s="944"/>
      <c r="FO20" s="944"/>
      <c r="FP20" s="944"/>
      <c r="FQ20" s="944"/>
      <c r="FR20" s="944"/>
      <c r="FS20" s="944"/>
      <c r="FT20" s="944"/>
      <c r="FU20" s="944"/>
      <c r="FV20" s="944"/>
      <c r="FW20" s="944"/>
      <c r="FX20" s="944"/>
      <c r="FY20" s="944"/>
      <c r="FZ20" s="944"/>
      <c r="GA20" s="944"/>
      <c r="GB20" s="944"/>
      <c r="GC20" s="944"/>
      <c r="GD20" s="944"/>
      <c r="GE20" s="944"/>
      <c r="GF20" s="944"/>
      <c r="GG20" s="944"/>
      <c r="GH20" s="944"/>
      <c r="GI20" s="944"/>
      <c r="GJ20" s="944"/>
      <c r="GK20" s="944"/>
      <c r="GL20" s="944"/>
      <c r="GM20" s="944"/>
      <c r="GN20" s="944"/>
      <c r="GO20" s="944"/>
      <c r="GP20" s="944"/>
      <c r="GQ20" s="944"/>
      <c r="GR20" s="944"/>
      <c r="GS20" s="944"/>
      <c r="GT20" s="944"/>
      <c r="GU20" s="944"/>
      <c r="GV20" s="944"/>
      <c r="GW20" s="944"/>
      <c r="GX20" s="944"/>
      <c r="GY20" s="944"/>
      <c r="GZ20" s="944"/>
      <c r="HA20" s="944"/>
      <c r="HB20" s="944"/>
      <c r="HC20" s="944"/>
      <c r="HD20" s="944"/>
      <c r="HE20" s="944"/>
      <c r="HF20" s="944"/>
      <c r="HG20" s="944"/>
      <c r="HH20" s="944"/>
      <c r="HI20" s="944"/>
      <c r="HJ20" s="944"/>
      <c r="HK20" s="944"/>
      <c r="HL20" s="944"/>
      <c r="HM20" s="944"/>
      <c r="HN20" s="944"/>
      <c r="HO20" s="944"/>
      <c r="HP20" s="944"/>
      <c r="HQ20" s="944"/>
      <c r="HR20" s="944"/>
      <c r="HS20" s="944"/>
      <c r="HT20" s="944"/>
      <c r="HU20" s="944"/>
      <c r="HV20" s="944"/>
      <c r="HW20" s="944"/>
      <c r="HX20" s="944"/>
      <c r="HY20" s="944"/>
      <c r="HZ20" s="944"/>
      <c r="IA20" s="944"/>
      <c r="IB20" s="944"/>
      <c r="IC20" s="944"/>
      <c r="ID20" s="944"/>
      <c r="IE20" s="944"/>
      <c r="IF20" s="944"/>
      <c r="IG20" s="944"/>
      <c r="IH20" s="944"/>
      <c r="II20" s="944"/>
      <c r="IJ20" s="944"/>
      <c r="IK20" s="944"/>
      <c r="IL20" s="944"/>
      <c r="IM20" s="944"/>
      <c r="IN20" s="944"/>
    </row>
    <row r="21" spans="1:248" ht="25.5">
      <c r="A21" s="1434">
        <v>12</v>
      </c>
      <c r="B21" s="1304" t="s">
        <v>1387</v>
      </c>
      <c r="C21" s="950">
        <f t="shared" si="0"/>
        <v>0</v>
      </c>
      <c r="D21" s="937"/>
      <c r="E21" s="939"/>
      <c r="F21" s="950">
        <f t="shared" si="1"/>
        <v>-1972</v>
      </c>
      <c r="G21" s="937">
        <v>1972</v>
      </c>
      <c r="H21" s="939">
        <v>0</v>
      </c>
      <c r="I21" s="937">
        <f t="shared" si="2"/>
        <v>-1972</v>
      </c>
      <c r="J21" s="937">
        <v>1972</v>
      </c>
      <c r="K21" s="940">
        <v>0</v>
      </c>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4"/>
      <c r="AY21" s="944"/>
      <c r="AZ21" s="944"/>
      <c r="BA21" s="944"/>
      <c r="BB21" s="944"/>
      <c r="BC21" s="944"/>
      <c r="BD21" s="944"/>
      <c r="BE21" s="944"/>
      <c r="BF21" s="944"/>
      <c r="BG21" s="944"/>
      <c r="BH21" s="944"/>
      <c r="BI21" s="944"/>
      <c r="BJ21" s="944"/>
      <c r="BK21" s="944"/>
      <c r="BL21" s="944"/>
      <c r="BM21" s="944"/>
      <c r="BN21" s="944"/>
      <c r="BO21" s="944"/>
      <c r="BP21" s="944"/>
      <c r="BQ21" s="944"/>
      <c r="BR21" s="944"/>
      <c r="BS21" s="944"/>
      <c r="BT21" s="944"/>
      <c r="BU21" s="944"/>
      <c r="BV21" s="944"/>
      <c r="BW21" s="944"/>
      <c r="BX21" s="944"/>
      <c r="BY21" s="944"/>
      <c r="BZ21" s="944"/>
      <c r="CA21" s="944"/>
      <c r="CB21" s="944"/>
      <c r="CC21" s="944"/>
      <c r="CD21" s="944"/>
      <c r="CE21" s="944"/>
      <c r="CF21" s="944"/>
      <c r="CG21" s="944"/>
      <c r="CH21" s="944"/>
      <c r="CI21" s="944"/>
      <c r="CJ21" s="944"/>
      <c r="CK21" s="944"/>
      <c r="CL21" s="944"/>
      <c r="CM21" s="944"/>
      <c r="CN21" s="944"/>
      <c r="CO21" s="944"/>
      <c r="CP21" s="944"/>
      <c r="CQ21" s="944"/>
      <c r="CR21" s="944"/>
      <c r="CS21" s="944"/>
      <c r="CT21" s="944"/>
      <c r="CU21" s="944"/>
      <c r="CV21" s="944"/>
      <c r="CW21" s="944"/>
      <c r="CX21" s="944"/>
      <c r="CY21" s="944"/>
      <c r="CZ21" s="944"/>
      <c r="DA21" s="944"/>
      <c r="DB21" s="944"/>
      <c r="DC21" s="944"/>
      <c r="DD21" s="944"/>
      <c r="DE21" s="944"/>
      <c r="DF21" s="944"/>
      <c r="DG21" s="944"/>
      <c r="DH21" s="944"/>
      <c r="DI21" s="944"/>
      <c r="DJ21" s="944"/>
      <c r="DK21" s="944"/>
      <c r="DL21" s="944"/>
      <c r="DM21" s="944"/>
      <c r="DN21" s="944"/>
      <c r="DO21" s="944"/>
      <c r="DP21" s="944"/>
      <c r="DQ21" s="944"/>
      <c r="DR21" s="944"/>
      <c r="DS21" s="944"/>
      <c r="DT21" s="944"/>
      <c r="DU21" s="944"/>
      <c r="DV21" s="944"/>
      <c r="DW21" s="944"/>
      <c r="DX21" s="944"/>
      <c r="DY21" s="944"/>
      <c r="DZ21" s="944"/>
      <c r="EA21" s="944"/>
      <c r="EB21" s="944"/>
      <c r="EC21" s="944"/>
      <c r="ED21" s="944"/>
      <c r="EE21" s="944"/>
      <c r="EF21" s="944"/>
      <c r="EG21" s="944"/>
      <c r="EH21" s="944"/>
      <c r="EI21" s="944"/>
      <c r="EJ21" s="944"/>
      <c r="EK21" s="944"/>
      <c r="EL21" s="944"/>
      <c r="EM21" s="944"/>
      <c r="EN21" s="944"/>
      <c r="EO21" s="944"/>
      <c r="EP21" s="944"/>
      <c r="EQ21" s="944"/>
      <c r="ER21" s="944"/>
      <c r="ES21" s="944"/>
      <c r="ET21" s="944"/>
      <c r="EU21" s="944"/>
      <c r="EV21" s="944"/>
      <c r="EW21" s="944"/>
      <c r="EX21" s="944"/>
      <c r="EY21" s="944"/>
      <c r="EZ21" s="944"/>
      <c r="FA21" s="944"/>
      <c r="FB21" s="944"/>
      <c r="FC21" s="944"/>
      <c r="FD21" s="944"/>
      <c r="FE21" s="944"/>
      <c r="FF21" s="944"/>
      <c r="FG21" s="944"/>
      <c r="FH21" s="944"/>
      <c r="FI21" s="944"/>
      <c r="FJ21" s="944"/>
      <c r="FK21" s="944"/>
      <c r="FL21" s="944"/>
      <c r="FM21" s="944"/>
      <c r="FN21" s="944"/>
      <c r="FO21" s="944"/>
      <c r="FP21" s="944"/>
      <c r="FQ21" s="944"/>
      <c r="FR21" s="944"/>
      <c r="FS21" s="944"/>
      <c r="FT21" s="944"/>
      <c r="FU21" s="944"/>
      <c r="FV21" s="944"/>
      <c r="FW21" s="944"/>
      <c r="FX21" s="944"/>
      <c r="FY21" s="944"/>
      <c r="FZ21" s="944"/>
      <c r="GA21" s="944"/>
      <c r="GB21" s="944"/>
      <c r="GC21" s="944"/>
      <c r="GD21" s="944"/>
      <c r="GE21" s="944"/>
      <c r="GF21" s="944"/>
      <c r="GG21" s="944"/>
      <c r="GH21" s="944"/>
      <c r="GI21" s="944"/>
      <c r="GJ21" s="944"/>
      <c r="GK21" s="944"/>
      <c r="GL21" s="944"/>
      <c r="GM21" s="944"/>
      <c r="GN21" s="944"/>
      <c r="GO21" s="944"/>
      <c r="GP21" s="944"/>
      <c r="GQ21" s="944"/>
      <c r="GR21" s="944"/>
      <c r="GS21" s="944"/>
      <c r="GT21" s="944"/>
      <c r="GU21" s="944"/>
      <c r="GV21" s="944"/>
      <c r="GW21" s="944"/>
      <c r="GX21" s="944"/>
      <c r="GY21" s="944"/>
      <c r="GZ21" s="944"/>
      <c r="HA21" s="944"/>
      <c r="HB21" s="944"/>
      <c r="HC21" s="944"/>
      <c r="HD21" s="944"/>
      <c r="HE21" s="944"/>
      <c r="HF21" s="944"/>
      <c r="HG21" s="944"/>
      <c r="HH21" s="944"/>
      <c r="HI21" s="944"/>
      <c r="HJ21" s="944"/>
      <c r="HK21" s="944"/>
      <c r="HL21" s="944"/>
      <c r="HM21" s="944"/>
      <c r="HN21" s="944"/>
      <c r="HO21" s="944"/>
      <c r="HP21" s="944"/>
      <c r="HQ21" s="944"/>
      <c r="HR21" s="944"/>
      <c r="HS21" s="944"/>
      <c r="HT21" s="944"/>
      <c r="HU21" s="944"/>
      <c r="HV21" s="944"/>
      <c r="HW21" s="944"/>
      <c r="HX21" s="944"/>
      <c r="HY21" s="944"/>
      <c r="HZ21" s="944"/>
      <c r="IA21" s="944"/>
      <c r="IB21" s="944"/>
      <c r="IC21" s="944"/>
      <c r="ID21" s="944"/>
      <c r="IE21" s="944"/>
      <c r="IF21" s="944"/>
      <c r="IG21" s="944"/>
      <c r="IH21" s="944"/>
      <c r="II21" s="944"/>
      <c r="IJ21" s="944"/>
      <c r="IK21" s="944"/>
      <c r="IL21" s="944"/>
      <c r="IM21" s="944"/>
      <c r="IN21" s="944"/>
    </row>
    <row r="22" spans="1:248" ht="25.5">
      <c r="A22" s="1434">
        <v>13</v>
      </c>
      <c r="B22" s="1304" t="s">
        <v>1388</v>
      </c>
      <c r="C22" s="950">
        <f t="shared" si="0"/>
        <v>0</v>
      </c>
      <c r="D22" s="937"/>
      <c r="E22" s="939"/>
      <c r="F22" s="950">
        <f t="shared" si="1"/>
        <v>1000</v>
      </c>
      <c r="G22" s="937">
        <v>0</v>
      </c>
      <c r="H22" s="939">
        <v>1000</v>
      </c>
      <c r="I22" s="937">
        <f t="shared" si="2"/>
        <v>172</v>
      </c>
      <c r="J22" s="937"/>
      <c r="K22" s="940">
        <v>172</v>
      </c>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4"/>
      <c r="AY22" s="944"/>
      <c r="AZ22" s="944"/>
      <c r="BA22" s="944"/>
      <c r="BB22" s="944"/>
      <c r="BC22" s="944"/>
      <c r="BD22" s="944"/>
      <c r="BE22" s="944"/>
      <c r="BF22" s="944"/>
      <c r="BG22" s="944"/>
      <c r="BH22" s="944"/>
      <c r="BI22" s="944"/>
      <c r="BJ22" s="944"/>
      <c r="BK22" s="944"/>
      <c r="BL22" s="944"/>
      <c r="BM22" s="944"/>
      <c r="BN22" s="944"/>
      <c r="BO22" s="944"/>
      <c r="BP22" s="944"/>
      <c r="BQ22" s="944"/>
      <c r="BR22" s="944"/>
      <c r="BS22" s="944"/>
      <c r="BT22" s="944"/>
      <c r="BU22" s="944"/>
      <c r="BV22" s="944"/>
      <c r="BW22" s="944"/>
      <c r="BX22" s="944"/>
      <c r="BY22" s="944"/>
      <c r="BZ22" s="944"/>
      <c r="CA22" s="944"/>
      <c r="CB22" s="944"/>
      <c r="CC22" s="944"/>
      <c r="CD22" s="944"/>
      <c r="CE22" s="944"/>
      <c r="CF22" s="944"/>
      <c r="CG22" s="944"/>
      <c r="CH22" s="944"/>
      <c r="CI22" s="944"/>
      <c r="CJ22" s="944"/>
      <c r="CK22" s="944"/>
      <c r="CL22" s="944"/>
      <c r="CM22" s="944"/>
      <c r="CN22" s="944"/>
      <c r="CO22" s="944"/>
      <c r="CP22" s="944"/>
      <c r="CQ22" s="944"/>
      <c r="CR22" s="944"/>
      <c r="CS22" s="944"/>
      <c r="CT22" s="944"/>
      <c r="CU22" s="944"/>
      <c r="CV22" s="944"/>
      <c r="CW22" s="944"/>
      <c r="CX22" s="944"/>
      <c r="CY22" s="944"/>
      <c r="CZ22" s="944"/>
      <c r="DA22" s="944"/>
      <c r="DB22" s="944"/>
      <c r="DC22" s="944"/>
      <c r="DD22" s="944"/>
      <c r="DE22" s="944"/>
      <c r="DF22" s="944"/>
      <c r="DG22" s="944"/>
      <c r="DH22" s="944"/>
      <c r="DI22" s="944"/>
      <c r="DJ22" s="944"/>
      <c r="DK22" s="944"/>
      <c r="DL22" s="944"/>
      <c r="DM22" s="944"/>
      <c r="DN22" s="944"/>
      <c r="DO22" s="944"/>
      <c r="DP22" s="944"/>
      <c r="DQ22" s="944"/>
      <c r="DR22" s="944"/>
      <c r="DS22" s="944"/>
      <c r="DT22" s="944"/>
      <c r="DU22" s="944"/>
      <c r="DV22" s="944"/>
      <c r="DW22" s="944"/>
      <c r="DX22" s="944"/>
      <c r="DY22" s="944"/>
      <c r="DZ22" s="944"/>
      <c r="EA22" s="944"/>
      <c r="EB22" s="944"/>
      <c r="EC22" s="944"/>
      <c r="ED22" s="944"/>
      <c r="EE22" s="944"/>
      <c r="EF22" s="944"/>
      <c r="EG22" s="944"/>
      <c r="EH22" s="944"/>
      <c r="EI22" s="944"/>
      <c r="EJ22" s="944"/>
      <c r="EK22" s="944"/>
      <c r="EL22" s="944"/>
      <c r="EM22" s="944"/>
      <c r="EN22" s="944"/>
      <c r="EO22" s="944"/>
      <c r="EP22" s="944"/>
      <c r="EQ22" s="944"/>
      <c r="ER22" s="944"/>
      <c r="ES22" s="944"/>
      <c r="ET22" s="944"/>
      <c r="EU22" s="944"/>
      <c r="EV22" s="944"/>
      <c r="EW22" s="944"/>
      <c r="EX22" s="944"/>
      <c r="EY22" s="944"/>
      <c r="EZ22" s="944"/>
      <c r="FA22" s="944"/>
      <c r="FB22" s="944"/>
      <c r="FC22" s="944"/>
      <c r="FD22" s="944"/>
      <c r="FE22" s="944"/>
      <c r="FF22" s="944"/>
      <c r="FG22" s="944"/>
      <c r="FH22" s="944"/>
      <c r="FI22" s="944"/>
      <c r="FJ22" s="944"/>
      <c r="FK22" s="944"/>
      <c r="FL22" s="944"/>
      <c r="FM22" s="944"/>
      <c r="FN22" s="944"/>
      <c r="FO22" s="944"/>
      <c r="FP22" s="944"/>
      <c r="FQ22" s="944"/>
      <c r="FR22" s="944"/>
      <c r="FS22" s="944"/>
      <c r="FT22" s="944"/>
      <c r="FU22" s="944"/>
      <c r="FV22" s="944"/>
      <c r="FW22" s="944"/>
      <c r="FX22" s="944"/>
      <c r="FY22" s="944"/>
      <c r="FZ22" s="944"/>
      <c r="GA22" s="944"/>
      <c r="GB22" s="944"/>
      <c r="GC22" s="944"/>
      <c r="GD22" s="944"/>
      <c r="GE22" s="944"/>
      <c r="GF22" s="944"/>
      <c r="GG22" s="944"/>
      <c r="GH22" s="944"/>
      <c r="GI22" s="944"/>
      <c r="GJ22" s="944"/>
      <c r="GK22" s="944"/>
      <c r="GL22" s="944"/>
      <c r="GM22" s="944"/>
      <c r="GN22" s="944"/>
      <c r="GO22" s="944"/>
      <c r="GP22" s="944"/>
      <c r="GQ22" s="944"/>
      <c r="GR22" s="944"/>
      <c r="GS22" s="944"/>
      <c r="GT22" s="944"/>
      <c r="GU22" s="944"/>
      <c r="GV22" s="944"/>
      <c r="GW22" s="944"/>
      <c r="GX22" s="944"/>
      <c r="GY22" s="944"/>
      <c r="GZ22" s="944"/>
      <c r="HA22" s="944"/>
      <c r="HB22" s="944"/>
      <c r="HC22" s="944"/>
      <c r="HD22" s="944"/>
      <c r="HE22" s="944"/>
      <c r="HF22" s="944"/>
      <c r="HG22" s="944"/>
      <c r="HH22" s="944"/>
      <c r="HI22" s="944"/>
      <c r="HJ22" s="944"/>
      <c r="HK22" s="944"/>
      <c r="HL22" s="944"/>
      <c r="HM22" s="944"/>
      <c r="HN22" s="944"/>
      <c r="HO22" s="944"/>
      <c r="HP22" s="944"/>
      <c r="HQ22" s="944"/>
      <c r="HR22" s="944"/>
      <c r="HS22" s="944"/>
      <c r="HT22" s="944"/>
      <c r="HU22" s="944"/>
      <c r="HV22" s="944"/>
      <c r="HW22" s="944"/>
      <c r="HX22" s="944"/>
      <c r="HY22" s="944"/>
      <c r="HZ22" s="944"/>
      <c r="IA22" s="944"/>
      <c r="IB22" s="944"/>
      <c r="IC22" s="944"/>
      <c r="ID22" s="944"/>
      <c r="IE22" s="944"/>
      <c r="IF22" s="944"/>
      <c r="IG22" s="944"/>
      <c r="IH22" s="944"/>
      <c r="II22" s="944"/>
      <c r="IJ22" s="944"/>
      <c r="IK22" s="944"/>
      <c r="IL22" s="944"/>
      <c r="IM22" s="944"/>
      <c r="IN22" s="944"/>
    </row>
    <row r="23" spans="1:248" ht="25.5">
      <c r="A23" s="1434">
        <v>14</v>
      </c>
      <c r="B23" s="1304" t="s">
        <v>1389</v>
      </c>
      <c r="C23" s="950">
        <f t="shared" si="0"/>
        <v>0</v>
      </c>
      <c r="D23" s="937"/>
      <c r="E23" s="939"/>
      <c r="F23" s="950">
        <f t="shared" si="1"/>
        <v>-30000</v>
      </c>
      <c r="G23" s="937">
        <v>30000</v>
      </c>
      <c r="H23" s="939">
        <v>0</v>
      </c>
      <c r="I23" s="937">
        <f t="shared" si="2"/>
        <v>-29999</v>
      </c>
      <c r="J23" s="937">
        <v>29999</v>
      </c>
      <c r="K23" s="940">
        <v>0</v>
      </c>
      <c r="L23" s="944"/>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944"/>
      <c r="AN23" s="944"/>
      <c r="AO23" s="944"/>
      <c r="AP23" s="944"/>
      <c r="AQ23" s="944"/>
      <c r="AR23" s="944"/>
      <c r="AS23" s="944"/>
      <c r="AT23" s="944"/>
      <c r="AU23" s="944"/>
      <c r="AV23" s="944"/>
      <c r="AW23" s="944"/>
      <c r="AX23" s="944"/>
      <c r="AY23" s="944"/>
      <c r="AZ23" s="944"/>
      <c r="BA23" s="944"/>
      <c r="BB23" s="944"/>
      <c r="BC23" s="944"/>
      <c r="BD23" s="944"/>
      <c r="BE23" s="944"/>
      <c r="BF23" s="944"/>
      <c r="BG23" s="944"/>
      <c r="BH23" s="944"/>
      <c r="BI23" s="944"/>
      <c r="BJ23" s="944"/>
      <c r="BK23" s="944"/>
      <c r="BL23" s="944"/>
      <c r="BM23" s="944"/>
      <c r="BN23" s="944"/>
      <c r="BO23" s="944"/>
      <c r="BP23" s="944"/>
      <c r="BQ23" s="944"/>
      <c r="BR23" s="944"/>
      <c r="BS23" s="944"/>
      <c r="BT23" s="944"/>
      <c r="BU23" s="944"/>
      <c r="BV23" s="944"/>
      <c r="BW23" s="944"/>
      <c r="BX23" s="944"/>
      <c r="BY23" s="944"/>
      <c r="BZ23" s="944"/>
      <c r="CA23" s="944"/>
      <c r="CB23" s="944"/>
      <c r="CC23" s="944"/>
      <c r="CD23" s="944"/>
      <c r="CE23" s="944"/>
      <c r="CF23" s="944"/>
      <c r="CG23" s="944"/>
      <c r="CH23" s="944"/>
      <c r="CI23" s="944"/>
      <c r="CJ23" s="944"/>
      <c r="CK23" s="944"/>
      <c r="CL23" s="944"/>
      <c r="CM23" s="944"/>
      <c r="CN23" s="944"/>
      <c r="CO23" s="944"/>
      <c r="CP23" s="944"/>
      <c r="CQ23" s="944"/>
      <c r="CR23" s="944"/>
      <c r="CS23" s="944"/>
      <c r="CT23" s="944"/>
      <c r="CU23" s="944"/>
      <c r="CV23" s="944"/>
      <c r="CW23" s="944"/>
      <c r="CX23" s="944"/>
      <c r="CY23" s="944"/>
      <c r="CZ23" s="944"/>
      <c r="DA23" s="944"/>
      <c r="DB23" s="944"/>
      <c r="DC23" s="944"/>
      <c r="DD23" s="944"/>
      <c r="DE23" s="944"/>
      <c r="DF23" s="944"/>
      <c r="DG23" s="944"/>
      <c r="DH23" s="944"/>
      <c r="DI23" s="944"/>
      <c r="DJ23" s="944"/>
      <c r="DK23" s="944"/>
      <c r="DL23" s="944"/>
      <c r="DM23" s="944"/>
      <c r="DN23" s="944"/>
      <c r="DO23" s="944"/>
      <c r="DP23" s="944"/>
      <c r="DQ23" s="944"/>
      <c r="DR23" s="944"/>
      <c r="DS23" s="944"/>
      <c r="DT23" s="944"/>
      <c r="DU23" s="944"/>
      <c r="DV23" s="944"/>
      <c r="DW23" s="944"/>
      <c r="DX23" s="944"/>
      <c r="DY23" s="944"/>
      <c r="DZ23" s="944"/>
      <c r="EA23" s="944"/>
      <c r="EB23" s="944"/>
      <c r="EC23" s="944"/>
      <c r="ED23" s="944"/>
      <c r="EE23" s="944"/>
      <c r="EF23" s="944"/>
      <c r="EG23" s="944"/>
      <c r="EH23" s="944"/>
      <c r="EI23" s="944"/>
      <c r="EJ23" s="944"/>
      <c r="EK23" s="944"/>
      <c r="EL23" s="944"/>
      <c r="EM23" s="944"/>
      <c r="EN23" s="944"/>
      <c r="EO23" s="944"/>
      <c r="EP23" s="944"/>
      <c r="EQ23" s="944"/>
      <c r="ER23" s="944"/>
      <c r="ES23" s="944"/>
      <c r="ET23" s="944"/>
      <c r="EU23" s="944"/>
      <c r="EV23" s="944"/>
      <c r="EW23" s="944"/>
      <c r="EX23" s="944"/>
      <c r="EY23" s="944"/>
      <c r="EZ23" s="944"/>
      <c r="FA23" s="944"/>
      <c r="FB23" s="944"/>
      <c r="FC23" s="944"/>
      <c r="FD23" s="944"/>
      <c r="FE23" s="944"/>
      <c r="FF23" s="944"/>
      <c r="FG23" s="944"/>
      <c r="FH23" s="944"/>
      <c r="FI23" s="944"/>
      <c r="FJ23" s="944"/>
      <c r="FK23" s="944"/>
      <c r="FL23" s="944"/>
      <c r="FM23" s="944"/>
      <c r="FN23" s="944"/>
      <c r="FO23" s="944"/>
      <c r="FP23" s="944"/>
      <c r="FQ23" s="944"/>
      <c r="FR23" s="944"/>
      <c r="FS23" s="944"/>
      <c r="FT23" s="944"/>
      <c r="FU23" s="944"/>
      <c r="FV23" s="944"/>
      <c r="FW23" s="944"/>
      <c r="FX23" s="944"/>
      <c r="FY23" s="944"/>
      <c r="FZ23" s="944"/>
      <c r="GA23" s="944"/>
      <c r="GB23" s="944"/>
      <c r="GC23" s="944"/>
      <c r="GD23" s="944"/>
      <c r="GE23" s="944"/>
      <c r="GF23" s="944"/>
      <c r="GG23" s="944"/>
      <c r="GH23" s="944"/>
      <c r="GI23" s="944"/>
      <c r="GJ23" s="944"/>
      <c r="GK23" s="944"/>
      <c r="GL23" s="944"/>
      <c r="GM23" s="944"/>
      <c r="GN23" s="944"/>
      <c r="GO23" s="944"/>
      <c r="GP23" s="944"/>
      <c r="GQ23" s="944"/>
      <c r="GR23" s="944"/>
      <c r="GS23" s="944"/>
      <c r="GT23" s="944"/>
      <c r="GU23" s="944"/>
      <c r="GV23" s="944"/>
      <c r="GW23" s="944"/>
      <c r="GX23" s="944"/>
      <c r="GY23" s="944"/>
      <c r="GZ23" s="944"/>
      <c r="HA23" s="944"/>
      <c r="HB23" s="944"/>
      <c r="HC23" s="944"/>
      <c r="HD23" s="944"/>
      <c r="HE23" s="944"/>
      <c r="HF23" s="944"/>
      <c r="HG23" s="944"/>
      <c r="HH23" s="944"/>
      <c r="HI23" s="944"/>
      <c r="HJ23" s="944"/>
      <c r="HK23" s="944"/>
      <c r="HL23" s="944"/>
      <c r="HM23" s="944"/>
      <c r="HN23" s="944"/>
      <c r="HO23" s="944"/>
      <c r="HP23" s="944"/>
      <c r="HQ23" s="944"/>
      <c r="HR23" s="944"/>
      <c r="HS23" s="944"/>
      <c r="HT23" s="944"/>
      <c r="HU23" s="944"/>
      <c r="HV23" s="944"/>
      <c r="HW23" s="944"/>
      <c r="HX23" s="944"/>
      <c r="HY23" s="944"/>
      <c r="HZ23" s="944"/>
      <c r="IA23" s="944"/>
      <c r="IB23" s="944"/>
      <c r="IC23" s="944"/>
      <c r="ID23" s="944"/>
      <c r="IE23" s="944"/>
      <c r="IF23" s="944"/>
      <c r="IG23" s="944"/>
      <c r="IH23" s="944"/>
      <c r="II23" s="944"/>
      <c r="IJ23" s="944"/>
      <c r="IK23" s="944"/>
      <c r="IL23" s="944"/>
      <c r="IM23" s="944"/>
      <c r="IN23" s="944"/>
    </row>
    <row r="24" spans="1:248" ht="38.25">
      <c r="A24" s="1434">
        <v>15</v>
      </c>
      <c r="B24" s="1304" t="s">
        <v>1390</v>
      </c>
      <c r="C24" s="950">
        <f t="shared" si="0"/>
        <v>0</v>
      </c>
      <c r="D24" s="937"/>
      <c r="E24" s="939"/>
      <c r="F24" s="950">
        <f t="shared" si="1"/>
        <v>-498</v>
      </c>
      <c r="G24" s="937">
        <v>498</v>
      </c>
      <c r="H24" s="939"/>
      <c r="I24" s="937">
        <f t="shared" si="2"/>
        <v>-498</v>
      </c>
      <c r="J24" s="937">
        <v>498</v>
      </c>
      <c r="K24" s="940"/>
      <c r="L24" s="944"/>
      <c r="M24" s="944"/>
      <c r="N24" s="944"/>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4"/>
      <c r="AO24" s="944"/>
      <c r="AP24" s="944"/>
      <c r="AQ24" s="944"/>
      <c r="AR24" s="944"/>
      <c r="AS24" s="944"/>
      <c r="AT24" s="944"/>
      <c r="AU24" s="944"/>
      <c r="AV24" s="944"/>
      <c r="AW24" s="944"/>
      <c r="AX24" s="944"/>
      <c r="AY24" s="944"/>
      <c r="AZ24" s="944"/>
      <c r="BA24" s="944"/>
      <c r="BB24" s="944"/>
      <c r="BC24" s="944"/>
      <c r="BD24" s="944"/>
      <c r="BE24" s="944"/>
      <c r="BF24" s="944"/>
      <c r="BG24" s="944"/>
      <c r="BH24" s="944"/>
      <c r="BI24" s="944"/>
      <c r="BJ24" s="944"/>
      <c r="BK24" s="944"/>
      <c r="BL24" s="944"/>
      <c r="BM24" s="944"/>
      <c r="BN24" s="944"/>
      <c r="BO24" s="944"/>
      <c r="BP24" s="944"/>
      <c r="BQ24" s="944"/>
      <c r="BR24" s="944"/>
      <c r="BS24" s="944"/>
      <c r="BT24" s="944"/>
      <c r="BU24" s="944"/>
      <c r="BV24" s="944"/>
      <c r="BW24" s="944"/>
      <c r="BX24" s="944"/>
      <c r="BY24" s="944"/>
      <c r="BZ24" s="944"/>
      <c r="CA24" s="944"/>
      <c r="CB24" s="944"/>
      <c r="CC24" s="944"/>
      <c r="CD24" s="944"/>
      <c r="CE24" s="944"/>
      <c r="CF24" s="944"/>
      <c r="CG24" s="944"/>
      <c r="CH24" s="944"/>
      <c r="CI24" s="944"/>
      <c r="CJ24" s="944"/>
      <c r="CK24" s="944"/>
      <c r="CL24" s="944"/>
      <c r="CM24" s="944"/>
      <c r="CN24" s="944"/>
      <c r="CO24" s="944"/>
      <c r="CP24" s="944"/>
      <c r="CQ24" s="944"/>
      <c r="CR24" s="944"/>
      <c r="CS24" s="944"/>
      <c r="CT24" s="944"/>
      <c r="CU24" s="944"/>
      <c r="CV24" s="944"/>
      <c r="CW24" s="944"/>
      <c r="CX24" s="944"/>
      <c r="CY24" s="944"/>
      <c r="CZ24" s="944"/>
      <c r="DA24" s="944"/>
      <c r="DB24" s="944"/>
      <c r="DC24" s="944"/>
      <c r="DD24" s="944"/>
      <c r="DE24" s="944"/>
      <c r="DF24" s="944"/>
      <c r="DG24" s="944"/>
      <c r="DH24" s="944"/>
      <c r="DI24" s="944"/>
      <c r="DJ24" s="944"/>
      <c r="DK24" s="944"/>
      <c r="DL24" s="944"/>
      <c r="DM24" s="944"/>
      <c r="DN24" s="944"/>
      <c r="DO24" s="944"/>
      <c r="DP24" s="944"/>
      <c r="DQ24" s="944"/>
      <c r="DR24" s="944"/>
      <c r="DS24" s="944"/>
      <c r="DT24" s="944"/>
      <c r="DU24" s="944"/>
      <c r="DV24" s="944"/>
      <c r="DW24" s="944"/>
      <c r="DX24" s="944"/>
      <c r="DY24" s="944"/>
      <c r="DZ24" s="944"/>
      <c r="EA24" s="944"/>
      <c r="EB24" s="944"/>
      <c r="EC24" s="944"/>
      <c r="ED24" s="944"/>
      <c r="EE24" s="944"/>
      <c r="EF24" s="944"/>
      <c r="EG24" s="944"/>
      <c r="EH24" s="944"/>
      <c r="EI24" s="944"/>
      <c r="EJ24" s="944"/>
      <c r="EK24" s="944"/>
      <c r="EL24" s="944"/>
      <c r="EM24" s="944"/>
      <c r="EN24" s="944"/>
      <c r="EO24" s="944"/>
      <c r="EP24" s="944"/>
      <c r="EQ24" s="944"/>
      <c r="ER24" s="944"/>
      <c r="ES24" s="944"/>
      <c r="ET24" s="944"/>
      <c r="EU24" s="944"/>
      <c r="EV24" s="944"/>
      <c r="EW24" s="944"/>
      <c r="EX24" s="944"/>
      <c r="EY24" s="944"/>
      <c r="EZ24" s="944"/>
      <c r="FA24" s="944"/>
      <c r="FB24" s="944"/>
      <c r="FC24" s="944"/>
      <c r="FD24" s="944"/>
      <c r="FE24" s="944"/>
      <c r="FF24" s="944"/>
      <c r="FG24" s="944"/>
      <c r="FH24" s="944"/>
      <c r="FI24" s="944"/>
      <c r="FJ24" s="944"/>
      <c r="FK24" s="944"/>
      <c r="FL24" s="944"/>
      <c r="FM24" s="944"/>
      <c r="FN24" s="944"/>
      <c r="FO24" s="944"/>
      <c r="FP24" s="944"/>
      <c r="FQ24" s="944"/>
      <c r="FR24" s="944"/>
      <c r="FS24" s="944"/>
      <c r="FT24" s="944"/>
      <c r="FU24" s="944"/>
      <c r="FV24" s="944"/>
      <c r="FW24" s="944"/>
      <c r="FX24" s="944"/>
      <c r="FY24" s="944"/>
      <c r="FZ24" s="944"/>
      <c r="GA24" s="944"/>
      <c r="GB24" s="944"/>
      <c r="GC24" s="944"/>
      <c r="GD24" s="944"/>
      <c r="GE24" s="944"/>
      <c r="GF24" s="944"/>
      <c r="GG24" s="944"/>
      <c r="GH24" s="944"/>
      <c r="GI24" s="944"/>
      <c r="GJ24" s="944"/>
      <c r="GK24" s="944"/>
      <c r="GL24" s="944"/>
      <c r="GM24" s="944"/>
      <c r="GN24" s="944"/>
      <c r="GO24" s="944"/>
      <c r="GP24" s="944"/>
      <c r="GQ24" s="944"/>
      <c r="GR24" s="944"/>
      <c r="GS24" s="944"/>
      <c r="GT24" s="944"/>
      <c r="GU24" s="944"/>
      <c r="GV24" s="944"/>
      <c r="GW24" s="944"/>
      <c r="GX24" s="944"/>
      <c r="GY24" s="944"/>
      <c r="GZ24" s="944"/>
      <c r="HA24" s="944"/>
      <c r="HB24" s="944"/>
      <c r="HC24" s="944"/>
      <c r="HD24" s="944"/>
      <c r="HE24" s="944"/>
      <c r="HF24" s="944"/>
      <c r="HG24" s="944"/>
      <c r="HH24" s="944"/>
      <c r="HI24" s="944"/>
      <c r="HJ24" s="944"/>
      <c r="HK24" s="944"/>
      <c r="HL24" s="944"/>
      <c r="HM24" s="944"/>
      <c r="HN24" s="944"/>
      <c r="HO24" s="944"/>
      <c r="HP24" s="944"/>
      <c r="HQ24" s="944"/>
      <c r="HR24" s="944"/>
      <c r="HS24" s="944"/>
      <c r="HT24" s="944"/>
      <c r="HU24" s="944"/>
      <c r="HV24" s="944"/>
      <c r="HW24" s="944"/>
      <c r="HX24" s="944"/>
      <c r="HY24" s="944"/>
      <c r="HZ24" s="944"/>
      <c r="IA24" s="944"/>
      <c r="IB24" s="944"/>
      <c r="IC24" s="944"/>
      <c r="ID24" s="944"/>
      <c r="IE24" s="944"/>
      <c r="IF24" s="944"/>
      <c r="IG24" s="944"/>
      <c r="IH24" s="944"/>
      <c r="II24" s="944"/>
      <c r="IJ24" s="944"/>
      <c r="IK24" s="944"/>
      <c r="IL24" s="944"/>
      <c r="IM24" s="944"/>
      <c r="IN24" s="944"/>
    </row>
    <row r="25" spans="1:248" ht="25.5">
      <c r="A25" s="1434">
        <v>16</v>
      </c>
      <c r="B25" s="1304" t="s">
        <v>1391</v>
      </c>
      <c r="C25" s="950">
        <f t="shared" si="0"/>
        <v>0</v>
      </c>
      <c r="D25" s="937"/>
      <c r="E25" s="939"/>
      <c r="F25" s="950">
        <f t="shared" si="1"/>
        <v>4069</v>
      </c>
      <c r="G25" s="937">
        <v>1931</v>
      </c>
      <c r="H25" s="939">
        <v>6000</v>
      </c>
      <c r="I25" s="937">
        <f t="shared" si="2"/>
        <v>5928</v>
      </c>
      <c r="J25" s="937"/>
      <c r="K25" s="940">
        <v>5928</v>
      </c>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944"/>
      <c r="AX25" s="944"/>
      <c r="AY25" s="944"/>
      <c r="AZ25" s="944"/>
      <c r="BA25" s="944"/>
      <c r="BB25" s="944"/>
      <c r="BC25" s="944"/>
      <c r="BD25" s="944"/>
      <c r="BE25" s="944"/>
      <c r="BF25" s="944"/>
      <c r="BG25" s="944"/>
      <c r="BH25" s="944"/>
      <c r="BI25" s="944"/>
      <c r="BJ25" s="944"/>
      <c r="BK25" s="944"/>
      <c r="BL25" s="944"/>
      <c r="BM25" s="944"/>
      <c r="BN25" s="944"/>
      <c r="BO25" s="944"/>
      <c r="BP25" s="944"/>
      <c r="BQ25" s="944"/>
      <c r="BR25" s="944"/>
      <c r="BS25" s="944"/>
      <c r="BT25" s="944"/>
      <c r="BU25" s="944"/>
      <c r="BV25" s="944"/>
      <c r="BW25" s="944"/>
      <c r="BX25" s="944"/>
      <c r="BY25" s="944"/>
      <c r="BZ25" s="944"/>
      <c r="CA25" s="944"/>
      <c r="CB25" s="944"/>
      <c r="CC25" s="944"/>
      <c r="CD25" s="944"/>
      <c r="CE25" s="944"/>
      <c r="CF25" s="944"/>
      <c r="CG25" s="944"/>
      <c r="CH25" s="944"/>
      <c r="CI25" s="944"/>
      <c r="CJ25" s="944"/>
      <c r="CK25" s="944"/>
      <c r="CL25" s="944"/>
      <c r="CM25" s="944"/>
      <c r="CN25" s="944"/>
      <c r="CO25" s="944"/>
      <c r="CP25" s="944"/>
      <c r="CQ25" s="944"/>
      <c r="CR25" s="944"/>
      <c r="CS25" s="944"/>
      <c r="CT25" s="944"/>
      <c r="CU25" s="944"/>
      <c r="CV25" s="944"/>
      <c r="CW25" s="944"/>
      <c r="CX25" s="944"/>
      <c r="CY25" s="944"/>
      <c r="CZ25" s="944"/>
      <c r="DA25" s="944"/>
      <c r="DB25" s="944"/>
      <c r="DC25" s="944"/>
      <c r="DD25" s="944"/>
      <c r="DE25" s="944"/>
      <c r="DF25" s="944"/>
      <c r="DG25" s="944"/>
      <c r="DH25" s="944"/>
      <c r="DI25" s="944"/>
      <c r="DJ25" s="944"/>
      <c r="DK25" s="944"/>
      <c r="DL25" s="944"/>
      <c r="DM25" s="944"/>
      <c r="DN25" s="944"/>
      <c r="DO25" s="944"/>
      <c r="DP25" s="944"/>
      <c r="DQ25" s="944"/>
      <c r="DR25" s="944"/>
      <c r="DS25" s="944"/>
      <c r="DT25" s="944"/>
      <c r="DU25" s="944"/>
      <c r="DV25" s="944"/>
      <c r="DW25" s="944"/>
      <c r="DX25" s="944"/>
      <c r="DY25" s="944"/>
      <c r="DZ25" s="944"/>
      <c r="EA25" s="944"/>
      <c r="EB25" s="944"/>
      <c r="EC25" s="944"/>
      <c r="ED25" s="944"/>
      <c r="EE25" s="944"/>
      <c r="EF25" s="944"/>
      <c r="EG25" s="944"/>
      <c r="EH25" s="944"/>
      <c r="EI25" s="944"/>
      <c r="EJ25" s="944"/>
      <c r="EK25" s="944"/>
      <c r="EL25" s="944"/>
      <c r="EM25" s="944"/>
      <c r="EN25" s="944"/>
      <c r="EO25" s="944"/>
      <c r="EP25" s="944"/>
      <c r="EQ25" s="944"/>
      <c r="ER25" s="944"/>
      <c r="ES25" s="944"/>
      <c r="ET25" s="944"/>
      <c r="EU25" s="944"/>
      <c r="EV25" s="944"/>
      <c r="EW25" s="944"/>
      <c r="EX25" s="944"/>
      <c r="EY25" s="944"/>
      <c r="EZ25" s="944"/>
      <c r="FA25" s="944"/>
      <c r="FB25" s="944"/>
      <c r="FC25" s="944"/>
      <c r="FD25" s="944"/>
      <c r="FE25" s="944"/>
      <c r="FF25" s="944"/>
      <c r="FG25" s="944"/>
      <c r="FH25" s="944"/>
      <c r="FI25" s="944"/>
      <c r="FJ25" s="944"/>
      <c r="FK25" s="944"/>
      <c r="FL25" s="944"/>
      <c r="FM25" s="944"/>
      <c r="FN25" s="944"/>
      <c r="FO25" s="944"/>
      <c r="FP25" s="944"/>
      <c r="FQ25" s="944"/>
      <c r="FR25" s="944"/>
      <c r="FS25" s="944"/>
      <c r="FT25" s="944"/>
      <c r="FU25" s="944"/>
      <c r="FV25" s="944"/>
      <c r="FW25" s="944"/>
      <c r="FX25" s="944"/>
      <c r="FY25" s="944"/>
      <c r="FZ25" s="944"/>
      <c r="GA25" s="944"/>
      <c r="GB25" s="944"/>
      <c r="GC25" s="944"/>
      <c r="GD25" s="944"/>
      <c r="GE25" s="944"/>
      <c r="GF25" s="944"/>
      <c r="GG25" s="944"/>
      <c r="GH25" s="944"/>
      <c r="GI25" s="944"/>
      <c r="GJ25" s="944"/>
      <c r="GK25" s="944"/>
      <c r="GL25" s="944"/>
      <c r="GM25" s="944"/>
      <c r="GN25" s="944"/>
      <c r="GO25" s="944"/>
      <c r="GP25" s="944"/>
      <c r="GQ25" s="944"/>
      <c r="GR25" s="944"/>
      <c r="GS25" s="944"/>
      <c r="GT25" s="944"/>
      <c r="GU25" s="944"/>
      <c r="GV25" s="944"/>
      <c r="GW25" s="944"/>
      <c r="GX25" s="944"/>
      <c r="GY25" s="944"/>
      <c r="GZ25" s="944"/>
      <c r="HA25" s="944"/>
      <c r="HB25" s="944"/>
      <c r="HC25" s="944"/>
      <c r="HD25" s="944"/>
      <c r="HE25" s="944"/>
      <c r="HF25" s="944"/>
      <c r="HG25" s="944"/>
      <c r="HH25" s="944"/>
      <c r="HI25" s="944"/>
      <c r="HJ25" s="944"/>
      <c r="HK25" s="944"/>
      <c r="HL25" s="944"/>
      <c r="HM25" s="944"/>
      <c r="HN25" s="944"/>
      <c r="HO25" s="944"/>
      <c r="HP25" s="944"/>
      <c r="HQ25" s="944"/>
      <c r="HR25" s="944"/>
      <c r="HS25" s="944"/>
      <c r="HT25" s="944"/>
      <c r="HU25" s="944"/>
      <c r="HV25" s="944"/>
      <c r="HW25" s="944"/>
      <c r="HX25" s="944"/>
      <c r="HY25" s="944"/>
      <c r="HZ25" s="944"/>
      <c r="IA25" s="944"/>
      <c r="IB25" s="944"/>
      <c r="IC25" s="944"/>
      <c r="ID25" s="944"/>
      <c r="IE25" s="944"/>
      <c r="IF25" s="944"/>
      <c r="IG25" s="944"/>
      <c r="IH25" s="944"/>
      <c r="II25" s="944"/>
      <c r="IJ25" s="944"/>
      <c r="IK25" s="944"/>
      <c r="IL25" s="944"/>
      <c r="IM25" s="944"/>
      <c r="IN25" s="944"/>
    </row>
    <row r="26" spans="1:248" ht="30">
      <c r="A26" s="1434">
        <v>17</v>
      </c>
      <c r="B26" s="1303" t="s">
        <v>24</v>
      </c>
      <c r="C26" s="950">
        <f t="shared" si="0"/>
        <v>4463</v>
      </c>
      <c r="D26" s="937">
        <v>45537</v>
      </c>
      <c r="E26" s="939">
        <v>50000</v>
      </c>
      <c r="F26" s="950">
        <f t="shared" si="1"/>
        <v>4465</v>
      </c>
      <c r="G26" s="937">
        <f>1989+43548</f>
        <v>45537</v>
      </c>
      <c r="H26" s="939">
        <f>1989+918+47095</f>
        <v>50002</v>
      </c>
      <c r="I26" s="937">
        <f t="shared" si="2"/>
        <v>4007</v>
      </c>
      <c r="J26" s="937">
        <v>45537</v>
      </c>
      <c r="K26" s="940">
        <f>1811+918+46815</f>
        <v>49544</v>
      </c>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Q26" s="944"/>
      <c r="AR26" s="944"/>
      <c r="AS26" s="944"/>
      <c r="AT26" s="944"/>
      <c r="AU26" s="944"/>
      <c r="AV26" s="944"/>
      <c r="AW26" s="944"/>
      <c r="AX26" s="944"/>
      <c r="AY26" s="944"/>
      <c r="AZ26" s="944"/>
      <c r="BA26" s="944"/>
      <c r="BB26" s="944"/>
      <c r="BC26" s="944"/>
      <c r="BD26" s="944"/>
      <c r="BE26" s="944"/>
      <c r="BF26" s="944"/>
      <c r="BG26" s="944"/>
      <c r="BH26" s="944"/>
      <c r="BI26" s="944"/>
      <c r="BJ26" s="944"/>
      <c r="BK26" s="944"/>
      <c r="BL26" s="944"/>
      <c r="BM26" s="944"/>
      <c r="BN26" s="944"/>
      <c r="BO26" s="944"/>
      <c r="BP26" s="944"/>
      <c r="BQ26" s="944"/>
      <c r="BR26" s="944"/>
      <c r="BS26" s="944"/>
      <c r="BT26" s="944"/>
      <c r="BU26" s="944"/>
      <c r="BV26" s="944"/>
      <c r="BW26" s="944"/>
      <c r="BX26" s="944"/>
      <c r="BY26" s="944"/>
      <c r="BZ26" s="944"/>
      <c r="CA26" s="944"/>
      <c r="CB26" s="944"/>
      <c r="CC26" s="944"/>
      <c r="CD26" s="944"/>
      <c r="CE26" s="944"/>
      <c r="CF26" s="944"/>
      <c r="CG26" s="944"/>
      <c r="CH26" s="944"/>
      <c r="CI26" s="944"/>
      <c r="CJ26" s="944"/>
      <c r="CK26" s="944"/>
      <c r="CL26" s="944"/>
      <c r="CM26" s="944"/>
      <c r="CN26" s="944"/>
      <c r="CO26" s="944"/>
      <c r="CP26" s="944"/>
      <c r="CQ26" s="944"/>
      <c r="CR26" s="944"/>
      <c r="CS26" s="944"/>
      <c r="CT26" s="944"/>
      <c r="CU26" s="944"/>
      <c r="CV26" s="944"/>
      <c r="CW26" s="944"/>
      <c r="CX26" s="944"/>
      <c r="CY26" s="944"/>
      <c r="CZ26" s="944"/>
      <c r="DA26" s="944"/>
      <c r="DB26" s="944"/>
      <c r="DC26" s="944"/>
      <c r="DD26" s="944"/>
      <c r="DE26" s="944"/>
      <c r="DF26" s="944"/>
      <c r="DG26" s="944"/>
      <c r="DH26" s="944"/>
      <c r="DI26" s="944"/>
      <c r="DJ26" s="944"/>
      <c r="DK26" s="944"/>
      <c r="DL26" s="944"/>
      <c r="DM26" s="944"/>
      <c r="DN26" s="944"/>
      <c r="DO26" s="944"/>
      <c r="DP26" s="944"/>
      <c r="DQ26" s="944"/>
      <c r="DR26" s="944"/>
      <c r="DS26" s="944"/>
      <c r="DT26" s="944"/>
      <c r="DU26" s="944"/>
      <c r="DV26" s="944"/>
      <c r="DW26" s="944"/>
      <c r="DX26" s="944"/>
      <c r="DY26" s="944"/>
      <c r="DZ26" s="944"/>
      <c r="EA26" s="944"/>
      <c r="EB26" s="944"/>
      <c r="EC26" s="944"/>
      <c r="ED26" s="944"/>
      <c r="EE26" s="944"/>
      <c r="EF26" s="944"/>
      <c r="EG26" s="944"/>
      <c r="EH26" s="944"/>
      <c r="EI26" s="944"/>
      <c r="EJ26" s="944"/>
      <c r="EK26" s="944"/>
      <c r="EL26" s="944"/>
      <c r="EM26" s="944"/>
      <c r="EN26" s="944"/>
      <c r="EO26" s="944"/>
      <c r="EP26" s="944"/>
      <c r="EQ26" s="944"/>
      <c r="ER26" s="944"/>
      <c r="ES26" s="944"/>
      <c r="ET26" s="944"/>
      <c r="EU26" s="944"/>
      <c r="EV26" s="944"/>
      <c r="EW26" s="944"/>
      <c r="EX26" s="944"/>
      <c r="EY26" s="944"/>
      <c r="EZ26" s="944"/>
      <c r="FA26" s="944"/>
      <c r="FB26" s="944"/>
      <c r="FC26" s="944"/>
      <c r="FD26" s="944"/>
      <c r="FE26" s="944"/>
      <c r="FF26" s="944"/>
      <c r="FG26" s="944"/>
      <c r="FH26" s="944"/>
      <c r="FI26" s="944"/>
      <c r="FJ26" s="944"/>
      <c r="FK26" s="944"/>
      <c r="FL26" s="944"/>
      <c r="FM26" s="944"/>
      <c r="FN26" s="944"/>
      <c r="FO26" s="944"/>
      <c r="FP26" s="944"/>
      <c r="FQ26" s="944"/>
      <c r="FR26" s="944"/>
      <c r="FS26" s="944"/>
      <c r="FT26" s="944"/>
      <c r="FU26" s="944"/>
      <c r="FV26" s="944"/>
      <c r="FW26" s="944"/>
      <c r="FX26" s="944"/>
      <c r="FY26" s="944"/>
      <c r="FZ26" s="944"/>
      <c r="GA26" s="944"/>
      <c r="GB26" s="944"/>
      <c r="GC26" s="944"/>
      <c r="GD26" s="944"/>
      <c r="GE26" s="944"/>
      <c r="GF26" s="944"/>
      <c r="GG26" s="944"/>
      <c r="GH26" s="944"/>
      <c r="GI26" s="944"/>
      <c r="GJ26" s="944"/>
      <c r="GK26" s="944"/>
      <c r="GL26" s="944"/>
      <c r="GM26" s="944"/>
      <c r="GN26" s="944"/>
      <c r="GO26" s="944"/>
      <c r="GP26" s="944"/>
      <c r="GQ26" s="944"/>
      <c r="GR26" s="944"/>
      <c r="GS26" s="944"/>
      <c r="GT26" s="944"/>
      <c r="GU26" s="944"/>
      <c r="GV26" s="944"/>
      <c r="GW26" s="944"/>
      <c r="GX26" s="944"/>
      <c r="GY26" s="944"/>
      <c r="GZ26" s="944"/>
      <c r="HA26" s="944"/>
      <c r="HB26" s="944"/>
      <c r="HC26" s="944"/>
      <c r="HD26" s="944"/>
      <c r="HE26" s="944"/>
      <c r="HF26" s="944"/>
      <c r="HG26" s="944"/>
      <c r="HH26" s="944"/>
      <c r="HI26" s="944"/>
      <c r="HJ26" s="944"/>
      <c r="HK26" s="944"/>
      <c r="HL26" s="944"/>
      <c r="HM26" s="944"/>
      <c r="HN26" s="944"/>
      <c r="HO26" s="944"/>
      <c r="HP26" s="944"/>
      <c r="HQ26" s="944"/>
      <c r="HR26" s="944"/>
      <c r="HS26" s="944"/>
      <c r="HT26" s="944"/>
      <c r="HU26" s="944"/>
      <c r="HV26" s="944"/>
      <c r="HW26" s="944"/>
      <c r="HX26" s="944"/>
      <c r="HY26" s="944"/>
      <c r="HZ26" s="944"/>
      <c r="IA26" s="944"/>
      <c r="IB26" s="944"/>
      <c r="IC26" s="944"/>
      <c r="ID26" s="944"/>
      <c r="IE26" s="944"/>
      <c r="IF26" s="944"/>
      <c r="IG26" s="944"/>
      <c r="IH26" s="944"/>
      <c r="II26" s="944"/>
      <c r="IJ26" s="944"/>
      <c r="IK26" s="944"/>
      <c r="IL26" s="944"/>
      <c r="IM26" s="944"/>
      <c r="IN26" s="944"/>
    </row>
    <row r="27" spans="1:248" ht="45">
      <c r="A27" s="1434">
        <v>18</v>
      </c>
      <c r="B27" s="1303" t="s">
        <v>262</v>
      </c>
      <c r="C27" s="950">
        <f t="shared" si="0"/>
        <v>-4300</v>
      </c>
      <c r="D27" s="937">
        <v>134292</v>
      </c>
      <c r="E27" s="939">
        <v>129992</v>
      </c>
      <c r="F27" s="950">
        <f t="shared" si="1"/>
        <v>0</v>
      </c>
      <c r="G27" s="937">
        <v>0</v>
      </c>
      <c r="H27" s="939">
        <v>0</v>
      </c>
      <c r="I27" s="937">
        <f t="shared" si="2"/>
        <v>0</v>
      </c>
      <c r="J27" s="937"/>
      <c r="K27" s="940"/>
      <c r="L27" s="944"/>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Q27" s="944"/>
      <c r="AR27" s="944"/>
      <c r="AS27" s="944"/>
      <c r="AT27" s="944"/>
      <c r="AU27" s="944"/>
      <c r="AV27" s="944"/>
      <c r="AW27" s="944"/>
      <c r="AX27" s="944"/>
      <c r="AY27" s="944"/>
      <c r="AZ27" s="944"/>
      <c r="BA27" s="944"/>
      <c r="BB27" s="944"/>
      <c r="BC27" s="944"/>
      <c r="BD27" s="944"/>
      <c r="BE27" s="944"/>
      <c r="BF27" s="944"/>
      <c r="BG27" s="944"/>
      <c r="BH27" s="944"/>
      <c r="BI27" s="944"/>
      <c r="BJ27" s="944"/>
      <c r="BK27" s="944"/>
      <c r="BL27" s="944"/>
      <c r="BM27" s="944"/>
      <c r="BN27" s="944"/>
      <c r="BO27" s="944"/>
      <c r="BP27" s="944"/>
      <c r="BQ27" s="944"/>
      <c r="BR27" s="944"/>
      <c r="BS27" s="944"/>
      <c r="BT27" s="944"/>
      <c r="BU27" s="944"/>
      <c r="BV27" s="944"/>
      <c r="BW27" s="944"/>
      <c r="BX27" s="944"/>
      <c r="BY27" s="944"/>
      <c r="BZ27" s="944"/>
      <c r="CA27" s="944"/>
      <c r="CB27" s="944"/>
      <c r="CC27" s="944"/>
      <c r="CD27" s="944"/>
      <c r="CE27" s="944"/>
      <c r="CF27" s="944"/>
      <c r="CG27" s="944"/>
      <c r="CH27" s="944"/>
      <c r="CI27" s="944"/>
      <c r="CJ27" s="944"/>
      <c r="CK27" s="944"/>
      <c r="CL27" s="944"/>
      <c r="CM27" s="944"/>
      <c r="CN27" s="944"/>
      <c r="CO27" s="944"/>
      <c r="CP27" s="944"/>
      <c r="CQ27" s="944"/>
      <c r="CR27" s="944"/>
      <c r="CS27" s="944"/>
      <c r="CT27" s="944"/>
      <c r="CU27" s="944"/>
      <c r="CV27" s="944"/>
      <c r="CW27" s="944"/>
      <c r="CX27" s="944"/>
      <c r="CY27" s="944"/>
      <c r="CZ27" s="944"/>
      <c r="DA27" s="944"/>
      <c r="DB27" s="944"/>
      <c r="DC27" s="944"/>
      <c r="DD27" s="944"/>
      <c r="DE27" s="944"/>
      <c r="DF27" s="944"/>
      <c r="DG27" s="944"/>
      <c r="DH27" s="944"/>
      <c r="DI27" s="944"/>
      <c r="DJ27" s="944"/>
      <c r="DK27" s="944"/>
      <c r="DL27" s="944"/>
      <c r="DM27" s="944"/>
      <c r="DN27" s="944"/>
      <c r="DO27" s="944"/>
      <c r="DP27" s="944"/>
      <c r="DQ27" s="944"/>
      <c r="DR27" s="944"/>
      <c r="DS27" s="944"/>
      <c r="DT27" s="944"/>
      <c r="DU27" s="944"/>
      <c r="DV27" s="944"/>
      <c r="DW27" s="944"/>
      <c r="DX27" s="944"/>
      <c r="DY27" s="944"/>
      <c r="DZ27" s="944"/>
      <c r="EA27" s="944"/>
      <c r="EB27" s="944"/>
      <c r="EC27" s="944"/>
      <c r="ED27" s="944"/>
      <c r="EE27" s="944"/>
      <c r="EF27" s="944"/>
      <c r="EG27" s="944"/>
      <c r="EH27" s="944"/>
      <c r="EI27" s="944"/>
      <c r="EJ27" s="944"/>
      <c r="EK27" s="944"/>
      <c r="EL27" s="944"/>
      <c r="EM27" s="944"/>
      <c r="EN27" s="944"/>
      <c r="EO27" s="944"/>
      <c r="EP27" s="944"/>
      <c r="EQ27" s="944"/>
      <c r="ER27" s="944"/>
      <c r="ES27" s="944"/>
      <c r="ET27" s="944"/>
      <c r="EU27" s="944"/>
      <c r="EV27" s="944"/>
      <c r="EW27" s="944"/>
      <c r="EX27" s="944"/>
      <c r="EY27" s="944"/>
      <c r="EZ27" s="944"/>
      <c r="FA27" s="944"/>
      <c r="FB27" s="944"/>
      <c r="FC27" s="944"/>
      <c r="FD27" s="944"/>
      <c r="FE27" s="944"/>
      <c r="FF27" s="944"/>
      <c r="FG27" s="944"/>
      <c r="FH27" s="944"/>
      <c r="FI27" s="944"/>
      <c r="FJ27" s="944"/>
      <c r="FK27" s="944"/>
      <c r="FL27" s="944"/>
      <c r="FM27" s="944"/>
      <c r="FN27" s="944"/>
      <c r="FO27" s="944"/>
      <c r="FP27" s="944"/>
      <c r="FQ27" s="944"/>
      <c r="FR27" s="944"/>
      <c r="FS27" s="944"/>
      <c r="FT27" s="944"/>
      <c r="FU27" s="944"/>
      <c r="FV27" s="944"/>
      <c r="FW27" s="944"/>
      <c r="FX27" s="944"/>
      <c r="FY27" s="944"/>
      <c r="FZ27" s="944"/>
      <c r="GA27" s="944"/>
      <c r="GB27" s="944"/>
      <c r="GC27" s="944"/>
      <c r="GD27" s="944"/>
      <c r="GE27" s="944"/>
      <c r="GF27" s="944"/>
      <c r="GG27" s="944"/>
      <c r="GH27" s="944"/>
      <c r="GI27" s="944"/>
      <c r="GJ27" s="944"/>
      <c r="GK27" s="944"/>
      <c r="GL27" s="944"/>
      <c r="GM27" s="944"/>
      <c r="GN27" s="944"/>
      <c r="GO27" s="944"/>
      <c r="GP27" s="944"/>
      <c r="GQ27" s="944"/>
      <c r="GR27" s="944"/>
      <c r="GS27" s="944"/>
      <c r="GT27" s="944"/>
      <c r="GU27" s="944"/>
      <c r="GV27" s="944"/>
      <c r="GW27" s="944"/>
      <c r="GX27" s="944"/>
      <c r="GY27" s="944"/>
      <c r="GZ27" s="944"/>
      <c r="HA27" s="944"/>
      <c r="HB27" s="944"/>
      <c r="HC27" s="944"/>
      <c r="HD27" s="944"/>
      <c r="HE27" s="944"/>
      <c r="HF27" s="944"/>
      <c r="HG27" s="944"/>
      <c r="HH27" s="944"/>
      <c r="HI27" s="944"/>
      <c r="HJ27" s="944"/>
      <c r="HK27" s="944"/>
      <c r="HL27" s="944"/>
      <c r="HM27" s="944"/>
      <c r="HN27" s="944"/>
      <c r="HO27" s="944"/>
      <c r="HP27" s="944"/>
      <c r="HQ27" s="944"/>
      <c r="HR27" s="944"/>
      <c r="HS27" s="944"/>
      <c r="HT27" s="944"/>
      <c r="HU27" s="944"/>
      <c r="HV27" s="944"/>
      <c r="HW27" s="944"/>
      <c r="HX27" s="944"/>
      <c r="HY27" s="944"/>
      <c r="HZ27" s="944"/>
      <c r="IA27" s="944"/>
      <c r="IB27" s="944"/>
      <c r="IC27" s="944"/>
      <c r="ID27" s="944"/>
      <c r="IE27" s="944"/>
      <c r="IF27" s="944"/>
      <c r="IG27" s="944"/>
      <c r="IH27" s="944"/>
      <c r="II27" s="944"/>
      <c r="IJ27" s="944"/>
      <c r="IK27" s="944"/>
      <c r="IL27" s="944"/>
      <c r="IM27" s="944"/>
      <c r="IN27" s="944"/>
    </row>
    <row r="28" spans="1:248" ht="30">
      <c r="A28" s="1434">
        <v>19</v>
      </c>
      <c r="B28" s="1303" t="s">
        <v>263</v>
      </c>
      <c r="C28" s="950">
        <f t="shared" si="0"/>
        <v>0</v>
      </c>
      <c r="D28" s="937">
        <v>180000</v>
      </c>
      <c r="E28" s="939">
        <v>180000</v>
      </c>
      <c r="F28" s="950">
        <f t="shared" si="1"/>
        <v>0</v>
      </c>
      <c r="G28" s="937">
        <f>994+179006</f>
        <v>180000</v>
      </c>
      <c r="H28" s="939">
        <f>14224+17213+148563</f>
        <v>180000</v>
      </c>
      <c r="I28" s="937">
        <f t="shared" si="2"/>
        <v>6242</v>
      </c>
      <c r="J28" s="937">
        <v>164635</v>
      </c>
      <c r="K28" s="940">
        <f>13463+10481+146933</f>
        <v>170877</v>
      </c>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4"/>
      <c r="AY28" s="944"/>
      <c r="AZ28" s="944"/>
      <c r="BA28" s="944"/>
      <c r="BB28" s="944"/>
      <c r="BC28" s="944"/>
      <c r="BD28" s="944"/>
      <c r="BE28" s="944"/>
      <c r="BF28" s="944"/>
      <c r="BG28" s="944"/>
      <c r="BH28" s="944"/>
      <c r="BI28" s="944"/>
      <c r="BJ28" s="944"/>
      <c r="BK28" s="944"/>
      <c r="BL28" s="944"/>
      <c r="BM28" s="944"/>
      <c r="BN28" s="944"/>
      <c r="BO28" s="944"/>
      <c r="BP28" s="944"/>
      <c r="BQ28" s="944"/>
      <c r="BR28" s="944"/>
      <c r="BS28" s="944"/>
      <c r="BT28" s="944"/>
      <c r="BU28" s="944"/>
      <c r="BV28" s="944"/>
      <c r="BW28" s="944"/>
      <c r="BX28" s="944"/>
      <c r="BY28" s="944"/>
      <c r="BZ28" s="944"/>
      <c r="CA28" s="944"/>
      <c r="CB28" s="944"/>
      <c r="CC28" s="944"/>
      <c r="CD28" s="944"/>
      <c r="CE28" s="944"/>
      <c r="CF28" s="944"/>
      <c r="CG28" s="944"/>
      <c r="CH28" s="944"/>
      <c r="CI28" s="944"/>
      <c r="CJ28" s="944"/>
      <c r="CK28" s="944"/>
      <c r="CL28" s="944"/>
      <c r="CM28" s="944"/>
      <c r="CN28" s="944"/>
      <c r="CO28" s="944"/>
      <c r="CP28" s="944"/>
      <c r="CQ28" s="944"/>
      <c r="CR28" s="944"/>
      <c r="CS28" s="944"/>
      <c r="CT28" s="944"/>
      <c r="CU28" s="944"/>
      <c r="CV28" s="944"/>
      <c r="CW28" s="944"/>
      <c r="CX28" s="944"/>
      <c r="CY28" s="944"/>
      <c r="CZ28" s="944"/>
      <c r="DA28" s="944"/>
      <c r="DB28" s="944"/>
      <c r="DC28" s="944"/>
      <c r="DD28" s="944"/>
      <c r="DE28" s="944"/>
      <c r="DF28" s="944"/>
      <c r="DG28" s="944"/>
      <c r="DH28" s="944"/>
      <c r="DI28" s="944"/>
      <c r="DJ28" s="944"/>
      <c r="DK28" s="944"/>
      <c r="DL28" s="944"/>
      <c r="DM28" s="944"/>
      <c r="DN28" s="944"/>
      <c r="DO28" s="944"/>
      <c r="DP28" s="944"/>
      <c r="DQ28" s="944"/>
      <c r="DR28" s="944"/>
      <c r="DS28" s="944"/>
      <c r="DT28" s="944"/>
      <c r="DU28" s="944"/>
      <c r="DV28" s="944"/>
      <c r="DW28" s="944"/>
      <c r="DX28" s="944"/>
      <c r="DY28" s="944"/>
      <c r="DZ28" s="944"/>
      <c r="EA28" s="944"/>
      <c r="EB28" s="944"/>
      <c r="EC28" s="944"/>
      <c r="ED28" s="944"/>
      <c r="EE28" s="944"/>
      <c r="EF28" s="944"/>
      <c r="EG28" s="944"/>
      <c r="EH28" s="944"/>
      <c r="EI28" s="944"/>
      <c r="EJ28" s="944"/>
      <c r="EK28" s="944"/>
      <c r="EL28" s="944"/>
      <c r="EM28" s="944"/>
      <c r="EN28" s="944"/>
      <c r="EO28" s="944"/>
      <c r="EP28" s="944"/>
      <c r="EQ28" s="944"/>
      <c r="ER28" s="944"/>
      <c r="ES28" s="944"/>
      <c r="ET28" s="944"/>
      <c r="EU28" s="944"/>
      <c r="EV28" s="944"/>
      <c r="EW28" s="944"/>
      <c r="EX28" s="944"/>
      <c r="EY28" s="944"/>
      <c r="EZ28" s="944"/>
      <c r="FA28" s="944"/>
      <c r="FB28" s="944"/>
      <c r="FC28" s="944"/>
      <c r="FD28" s="944"/>
      <c r="FE28" s="944"/>
      <c r="FF28" s="944"/>
      <c r="FG28" s="944"/>
      <c r="FH28" s="944"/>
      <c r="FI28" s="944"/>
      <c r="FJ28" s="944"/>
      <c r="FK28" s="944"/>
      <c r="FL28" s="944"/>
      <c r="FM28" s="944"/>
      <c r="FN28" s="944"/>
      <c r="FO28" s="944"/>
      <c r="FP28" s="944"/>
      <c r="FQ28" s="944"/>
      <c r="FR28" s="944"/>
      <c r="FS28" s="944"/>
      <c r="FT28" s="944"/>
      <c r="FU28" s="944"/>
      <c r="FV28" s="944"/>
      <c r="FW28" s="944"/>
      <c r="FX28" s="944"/>
      <c r="FY28" s="944"/>
      <c r="FZ28" s="944"/>
      <c r="GA28" s="944"/>
      <c r="GB28" s="944"/>
      <c r="GC28" s="944"/>
      <c r="GD28" s="944"/>
      <c r="GE28" s="944"/>
      <c r="GF28" s="944"/>
      <c r="GG28" s="944"/>
      <c r="GH28" s="944"/>
      <c r="GI28" s="944"/>
      <c r="GJ28" s="944"/>
      <c r="GK28" s="944"/>
      <c r="GL28" s="944"/>
      <c r="GM28" s="944"/>
      <c r="GN28" s="944"/>
      <c r="GO28" s="944"/>
      <c r="GP28" s="944"/>
      <c r="GQ28" s="944"/>
      <c r="GR28" s="944"/>
      <c r="GS28" s="944"/>
      <c r="GT28" s="944"/>
      <c r="GU28" s="944"/>
      <c r="GV28" s="944"/>
      <c r="GW28" s="944"/>
      <c r="GX28" s="944"/>
      <c r="GY28" s="944"/>
      <c r="GZ28" s="944"/>
      <c r="HA28" s="944"/>
      <c r="HB28" s="944"/>
      <c r="HC28" s="944"/>
      <c r="HD28" s="944"/>
      <c r="HE28" s="944"/>
      <c r="HF28" s="944"/>
      <c r="HG28" s="944"/>
      <c r="HH28" s="944"/>
      <c r="HI28" s="944"/>
      <c r="HJ28" s="944"/>
      <c r="HK28" s="944"/>
      <c r="HL28" s="944"/>
      <c r="HM28" s="944"/>
      <c r="HN28" s="944"/>
      <c r="HO28" s="944"/>
      <c r="HP28" s="944"/>
      <c r="HQ28" s="944"/>
      <c r="HR28" s="944"/>
      <c r="HS28" s="944"/>
      <c r="HT28" s="944"/>
      <c r="HU28" s="944"/>
      <c r="HV28" s="944"/>
      <c r="HW28" s="944"/>
      <c r="HX28" s="944"/>
      <c r="HY28" s="944"/>
      <c r="HZ28" s="944"/>
      <c r="IA28" s="944"/>
      <c r="IB28" s="944"/>
      <c r="IC28" s="944"/>
      <c r="ID28" s="944"/>
      <c r="IE28" s="944"/>
      <c r="IF28" s="944"/>
      <c r="IG28" s="944"/>
      <c r="IH28" s="944"/>
      <c r="II28" s="944"/>
      <c r="IJ28" s="944"/>
      <c r="IK28" s="944"/>
      <c r="IL28" s="944"/>
      <c r="IM28" s="944"/>
      <c r="IN28" s="944"/>
    </row>
    <row r="29" spans="1:248" ht="45.75" thickBot="1">
      <c r="A29" s="1434">
        <v>20</v>
      </c>
      <c r="B29" s="1303" t="s">
        <v>264</v>
      </c>
      <c r="C29" s="950">
        <f>+E29-D29</f>
        <v>0</v>
      </c>
      <c r="D29" s="937">
        <v>22000</v>
      </c>
      <c r="E29" s="939">
        <v>22000</v>
      </c>
      <c r="F29" s="950">
        <f>+H29-G29</f>
        <v>42</v>
      </c>
      <c r="G29" s="937">
        <f>16225+5775</f>
        <v>22000</v>
      </c>
      <c r="H29" s="939">
        <f>3150+16968+1924</f>
        <v>22042</v>
      </c>
      <c r="I29" s="937">
        <f>+K29-J29</f>
        <v>16699</v>
      </c>
      <c r="J29" s="937">
        <v>5343</v>
      </c>
      <c r="K29" s="940">
        <f>3150+16968+1924</f>
        <v>22042</v>
      </c>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4"/>
      <c r="AY29" s="944"/>
      <c r="AZ29" s="944"/>
      <c r="BA29" s="944"/>
      <c r="BB29" s="944"/>
      <c r="BC29" s="944"/>
      <c r="BD29" s="944"/>
      <c r="BE29" s="944"/>
      <c r="BF29" s="944"/>
      <c r="BG29" s="944"/>
      <c r="BH29" s="944"/>
      <c r="BI29" s="944"/>
      <c r="BJ29" s="944"/>
      <c r="BK29" s="944"/>
      <c r="BL29" s="944"/>
      <c r="BM29" s="944"/>
      <c r="BN29" s="944"/>
      <c r="BO29" s="944"/>
      <c r="BP29" s="944"/>
      <c r="BQ29" s="944"/>
      <c r="BR29" s="944"/>
      <c r="BS29" s="944"/>
      <c r="BT29" s="944"/>
      <c r="BU29" s="944"/>
      <c r="BV29" s="944"/>
      <c r="BW29" s="944"/>
      <c r="BX29" s="944"/>
      <c r="BY29" s="944"/>
      <c r="BZ29" s="944"/>
      <c r="CA29" s="944"/>
      <c r="CB29" s="944"/>
      <c r="CC29" s="944"/>
      <c r="CD29" s="944"/>
      <c r="CE29" s="944"/>
      <c r="CF29" s="944"/>
      <c r="CG29" s="944"/>
      <c r="CH29" s="944"/>
      <c r="CI29" s="944"/>
      <c r="CJ29" s="944"/>
      <c r="CK29" s="944"/>
      <c r="CL29" s="944"/>
      <c r="CM29" s="944"/>
      <c r="CN29" s="944"/>
      <c r="CO29" s="944"/>
      <c r="CP29" s="944"/>
      <c r="CQ29" s="944"/>
      <c r="CR29" s="944"/>
      <c r="CS29" s="944"/>
      <c r="CT29" s="944"/>
      <c r="CU29" s="944"/>
      <c r="CV29" s="944"/>
      <c r="CW29" s="944"/>
      <c r="CX29" s="944"/>
      <c r="CY29" s="944"/>
      <c r="CZ29" s="944"/>
      <c r="DA29" s="944"/>
      <c r="DB29" s="944"/>
      <c r="DC29" s="944"/>
      <c r="DD29" s="944"/>
      <c r="DE29" s="944"/>
      <c r="DF29" s="944"/>
      <c r="DG29" s="944"/>
      <c r="DH29" s="944"/>
      <c r="DI29" s="944"/>
      <c r="DJ29" s="944"/>
      <c r="DK29" s="944"/>
      <c r="DL29" s="944"/>
      <c r="DM29" s="944"/>
      <c r="DN29" s="944"/>
      <c r="DO29" s="944"/>
      <c r="DP29" s="944"/>
      <c r="DQ29" s="944"/>
      <c r="DR29" s="944"/>
      <c r="DS29" s="944"/>
      <c r="DT29" s="944"/>
      <c r="DU29" s="944"/>
      <c r="DV29" s="944"/>
      <c r="DW29" s="944"/>
      <c r="DX29" s="944"/>
      <c r="DY29" s="944"/>
      <c r="DZ29" s="944"/>
      <c r="EA29" s="944"/>
      <c r="EB29" s="944"/>
      <c r="EC29" s="944"/>
      <c r="ED29" s="944"/>
      <c r="EE29" s="944"/>
      <c r="EF29" s="944"/>
      <c r="EG29" s="944"/>
      <c r="EH29" s="944"/>
      <c r="EI29" s="944"/>
      <c r="EJ29" s="944"/>
      <c r="EK29" s="944"/>
      <c r="EL29" s="944"/>
      <c r="EM29" s="944"/>
      <c r="EN29" s="944"/>
      <c r="EO29" s="944"/>
      <c r="EP29" s="944"/>
      <c r="EQ29" s="944"/>
      <c r="ER29" s="944"/>
      <c r="ES29" s="944"/>
      <c r="ET29" s="944"/>
      <c r="EU29" s="944"/>
      <c r="EV29" s="944"/>
      <c r="EW29" s="944"/>
      <c r="EX29" s="944"/>
      <c r="EY29" s="944"/>
      <c r="EZ29" s="944"/>
      <c r="FA29" s="944"/>
      <c r="FB29" s="944"/>
      <c r="FC29" s="944"/>
      <c r="FD29" s="944"/>
      <c r="FE29" s="944"/>
      <c r="FF29" s="944"/>
      <c r="FG29" s="944"/>
      <c r="FH29" s="944"/>
      <c r="FI29" s="944"/>
      <c r="FJ29" s="944"/>
      <c r="FK29" s="944"/>
      <c r="FL29" s="944"/>
      <c r="FM29" s="944"/>
      <c r="FN29" s="944"/>
      <c r="FO29" s="944"/>
      <c r="FP29" s="944"/>
      <c r="FQ29" s="944"/>
      <c r="FR29" s="944"/>
      <c r="FS29" s="944"/>
      <c r="FT29" s="944"/>
      <c r="FU29" s="944"/>
      <c r="FV29" s="944"/>
      <c r="FW29" s="944"/>
      <c r="FX29" s="944"/>
      <c r="FY29" s="944"/>
      <c r="FZ29" s="944"/>
      <c r="GA29" s="944"/>
      <c r="GB29" s="944"/>
      <c r="GC29" s="944"/>
      <c r="GD29" s="944"/>
      <c r="GE29" s="944"/>
      <c r="GF29" s="944"/>
      <c r="GG29" s="944"/>
      <c r="GH29" s="944"/>
      <c r="GI29" s="944"/>
      <c r="GJ29" s="944"/>
      <c r="GK29" s="944"/>
      <c r="GL29" s="944"/>
      <c r="GM29" s="944"/>
      <c r="GN29" s="944"/>
      <c r="GO29" s="944"/>
      <c r="GP29" s="944"/>
      <c r="GQ29" s="944"/>
      <c r="GR29" s="944"/>
      <c r="GS29" s="944"/>
      <c r="GT29" s="944"/>
      <c r="GU29" s="944"/>
      <c r="GV29" s="944"/>
      <c r="GW29" s="944"/>
      <c r="GX29" s="944"/>
      <c r="GY29" s="944"/>
      <c r="GZ29" s="944"/>
      <c r="HA29" s="944"/>
      <c r="HB29" s="944"/>
      <c r="HC29" s="944"/>
      <c r="HD29" s="944"/>
      <c r="HE29" s="944"/>
      <c r="HF29" s="944"/>
      <c r="HG29" s="944"/>
      <c r="HH29" s="944"/>
      <c r="HI29" s="944"/>
      <c r="HJ29" s="944"/>
      <c r="HK29" s="944"/>
      <c r="HL29" s="944"/>
      <c r="HM29" s="944"/>
      <c r="HN29" s="944"/>
      <c r="HO29" s="944"/>
      <c r="HP29" s="944"/>
      <c r="HQ29" s="944"/>
      <c r="HR29" s="944"/>
      <c r="HS29" s="944"/>
      <c r="HT29" s="944"/>
      <c r="HU29" s="944"/>
      <c r="HV29" s="944"/>
      <c r="HW29" s="944"/>
      <c r="HX29" s="944"/>
      <c r="HY29" s="944"/>
      <c r="HZ29" s="944"/>
      <c r="IA29" s="944"/>
      <c r="IB29" s="944"/>
      <c r="IC29" s="944"/>
      <c r="ID29" s="944"/>
      <c r="IE29" s="944"/>
      <c r="IF29" s="944"/>
      <c r="IG29" s="944"/>
      <c r="IH29" s="944"/>
      <c r="II29" s="944"/>
      <c r="IJ29" s="944"/>
      <c r="IK29" s="944"/>
      <c r="IL29" s="944"/>
      <c r="IM29" s="944"/>
      <c r="IN29" s="944"/>
    </row>
    <row r="30" spans="1:248" ht="33" customHeight="1" thickBot="1" thickTop="1">
      <c r="A30" s="1572" t="s">
        <v>495</v>
      </c>
      <c r="B30" s="1573"/>
      <c r="C30" s="951">
        <f>SUM(C10:C29)</f>
        <v>45522</v>
      </c>
      <c r="D30" s="952">
        <f>SUM(D10:D29)</f>
        <v>791513</v>
      </c>
      <c r="E30" s="953">
        <f>SUM(E10:E29)</f>
        <v>837035</v>
      </c>
      <c r="F30" s="951">
        <f aca="true" t="shared" si="3" ref="F30:K30">SUM(F10:F29)</f>
        <v>232329</v>
      </c>
      <c r="G30" s="952">
        <f t="shared" si="3"/>
        <v>3129579</v>
      </c>
      <c r="H30" s="953">
        <f t="shared" si="3"/>
        <v>3361908</v>
      </c>
      <c r="I30" s="952">
        <f t="shared" si="3"/>
        <v>146862</v>
      </c>
      <c r="J30" s="952">
        <f t="shared" si="3"/>
        <v>3011006</v>
      </c>
      <c r="K30" s="954">
        <f t="shared" si="3"/>
        <v>3157868</v>
      </c>
      <c r="L30" s="944"/>
      <c r="M30" s="944"/>
      <c r="N30" s="944"/>
      <c r="O30" s="944"/>
      <c r="P30" s="944"/>
      <c r="Q30" s="944"/>
      <c r="R30" s="944"/>
      <c r="S30" s="944"/>
      <c r="T30" s="944"/>
      <c r="U30" s="944"/>
      <c r="V30" s="944"/>
      <c r="W30" s="944"/>
      <c r="X30" s="944"/>
      <c r="Y30" s="944"/>
      <c r="Z30" s="944"/>
      <c r="AA30" s="944"/>
      <c r="AB30" s="944"/>
      <c r="AC30" s="944"/>
      <c r="AD30" s="944"/>
      <c r="AE30" s="944"/>
      <c r="AF30" s="944"/>
      <c r="AG30" s="944"/>
      <c r="AH30" s="944"/>
      <c r="AI30" s="944"/>
      <c r="AJ30" s="944"/>
      <c r="AK30" s="944"/>
      <c r="AL30" s="944"/>
      <c r="AM30" s="944"/>
      <c r="AN30" s="944"/>
      <c r="AO30" s="944"/>
      <c r="AP30" s="944"/>
      <c r="AQ30" s="944"/>
      <c r="AR30" s="944"/>
      <c r="AS30" s="944"/>
      <c r="AT30" s="944"/>
      <c r="AU30" s="944"/>
      <c r="AV30" s="944"/>
      <c r="AW30" s="944"/>
      <c r="AX30" s="944"/>
      <c r="AY30" s="944"/>
      <c r="AZ30" s="944"/>
      <c r="BA30" s="944"/>
      <c r="BB30" s="944"/>
      <c r="BC30" s="944"/>
      <c r="BD30" s="944"/>
      <c r="BE30" s="944"/>
      <c r="BF30" s="944"/>
      <c r="BG30" s="944"/>
      <c r="BH30" s="944"/>
      <c r="BI30" s="944"/>
      <c r="BJ30" s="944"/>
      <c r="BK30" s="944"/>
      <c r="BL30" s="944"/>
      <c r="BM30" s="944"/>
      <c r="BN30" s="944"/>
      <c r="BO30" s="944"/>
      <c r="BP30" s="944"/>
      <c r="BQ30" s="944"/>
      <c r="BR30" s="944"/>
      <c r="BS30" s="944"/>
      <c r="BT30" s="944"/>
      <c r="BU30" s="944"/>
      <c r="BV30" s="944"/>
      <c r="BW30" s="944"/>
      <c r="BX30" s="944"/>
      <c r="BY30" s="944"/>
      <c r="BZ30" s="944"/>
      <c r="CA30" s="944"/>
      <c r="CB30" s="944"/>
      <c r="CC30" s="944"/>
      <c r="CD30" s="944"/>
      <c r="CE30" s="944"/>
      <c r="CF30" s="944"/>
      <c r="CG30" s="944"/>
      <c r="CH30" s="944"/>
      <c r="CI30" s="944"/>
      <c r="CJ30" s="944"/>
      <c r="CK30" s="944"/>
      <c r="CL30" s="944"/>
      <c r="CM30" s="944"/>
      <c r="CN30" s="944"/>
      <c r="CO30" s="944"/>
      <c r="CP30" s="944"/>
      <c r="CQ30" s="944"/>
      <c r="CR30" s="944"/>
      <c r="CS30" s="944"/>
      <c r="CT30" s="944"/>
      <c r="CU30" s="944"/>
      <c r="CV30" s="944"/>
      <c r="CW30" s="944"/>
      <c r="CX30" s="944"/>
      <c r="CY30" s="944"/>
      <c r="CZ30" s="944"/>
      <c r="DA30" s="944"/>
      <c r="DB30" s="944"/>
      <c r="DC30" s="944"/>
      <c r="DD30" s="944"/>
      <c r="DE30" s="944"/>
      <c r="DF30" s="944"/>
      <c r="DG30" s="944"/>
      <c r="DH30" s="944"/>
      <c r="DI30" s="944"/>
      <c r="DJ30" s="944"/>
      <c r="DK30" s="944"/>
      <c r="DL30" s="944"/>
      <c r="DM30" s="944"/>
      <c r="DN30" s="944"/>
      <c r="DO30" s="944"/>
      <c r="DP30" s="944"/>
      <c r="DQ30" s="944"/>
      <c r="DR30" s="944"/>
      <c r="DS30" s="944"/>
      <c r="DT30" s="944"/>
      <c r="DU30" s="944"/>
      <c r="DV30" s="944"/>
      <c r="DW30" s="944"/>
      <c r="DX30" s="944"/>
      <c r="DY30" s="944"/>
      <c r="DZ30" s="944"/>
      <c r="EA30" s="944"/>
      <c r="EB30" s="944"/>
      <c r="EC30" s="944"/>
      <c r="ED30" s="944"/>
      <c r="EE30" s="944"/>
      <c r="EF30" s="944"/>
      <c r="EG30" s="944"/>
      <c r="EH30" s="944"/>
      <c r="EI30" s="944"/>
      <c r="EJ30" s="944"/>
      <c r="EK30" s="944"/>
      <c r="EL30" s="944"/>
      <c r="EM30" s="944"/>
      <c r="EN30" s="944"/>
      <c r="EO30" s="944"/>
      <c r="EP30" s="944"/>
      <c r="EQ30" s="944"/>
      <c r="ER30" s="944"/>
      <c r="ES30" s="944"/>
      <c r="ET30" s="944"/>
      <c r="EU30" s="944"/>
      <c r="EV30" s="944"/>
      <c r="EW30" s="944"/>
      <c r="EX30" s="944"/>
      <c r="EY30" s="944"/>
      <c r="EZ30" s="944"/>
      <c r="FA30" s="944"/>
      <c r="FB30" s="944"/>
      <c r="FC30" s="944"/>
      <c r="FD30" s="944"/>
      <c r="FE30" s="944"/>
      <c r="FF30" s="944"/>
      <c r="FG30" s="944"/>
      <c r="FH30" s="944"/>
      <c r="FI30" s="944"/>
      <c r="FJ30" s="944"/>
      <c r="FK30" s="944"/>
      <c r="FL30" s="944"/>
      <c r="FM30" s="944"/>
      <c r="FN30" s="944"/>
      <c r="FO30" s="944"/>
      <c r="FP30" s="944"/>
      <c r="FQ30" s="944"/>
      <c r="FR30" s="944"/>
      <c r="FS30" s="944"/>
      <c r="FT30" s="944"/>
      <c r="FU30" s="944"/>
      <c r="FV30" s="944"/>
      <c r="FW30" s="944"/>
      <c r="FX30" s="944"/>
      <c r="FY30" s="944"/>
      <c r="FZ30" s="944"/>
      <c r="GA30" s="944"/>
      <c r="GB30" s="944"/>
      <c r="GC30" s="944"/>
      <c r="GD30" s="944"/>
      <c r="GE30" s="944"/>
      <c r="GF30" s="944"/>
      <c r="GG30" s="944"/>
      <c r="GH30" s="944"/>
      <c r="GI30" s="944"/>
      <c r="GJ30" s="944"/>
      <c r="GK30" s="944"/>
      <c r="GL30" s="944"/>
      <c r="GM30" s="944"/>
      <c r="GN30" s="944"/>
      <c r="GO30" s="944"/>
      <c r="GP30" s="944"/>
      <c r="GQ30" s="944"/>
      <c r="GR30" s="944"/>
      <c r="GS30" s="944"/>
      <c r="GT30" s="944"/>
      <c r="GU30" s="944"/>
      <c r="GV30" s="944"/>
      <c r="GW30" s="944"/>
      <c r="GX30" s="944"/>
      <c r="GY30" s="944"/>
      <c r="GZ30" s="944"/>
      <c r="HA30" s="944"/>
      <c r="HB30" s="944"/>
      <c r="HC30" s="944"/>
      <c r="HD30" s="944"/>
      <c r="HE30" s="944"/>
      <c r="HF30" s="944"/>
      <c r="HG30" s="944"/>
      <c r="HH30" s="944"/>
      <c r="HI30" s="944"/>
      <c r="HJ30" s="944"/>
      <c r="HK30" s="944"/>
      <c r="HL30" s="944"/>
      <c r="HM30" s="944"/>
      <c r="HN30" s="944"/>
      <c r="HO30" s="944"/>
      <c r="HP30" s="944"/>
      <c r="HQ30" s="944"/>
      <c r="HR30" s="944"/>
      <c r="HS30" s="944"/>
      <c r="HT30" s="944"/>
      <c r="HU30" s="944"/>
      <c r="HV30" s="944"/>
      <c r="HW30" s="944"/>
      <c r="HX30" s="944"/>
      <c r="HY30" s="944"/>
      <c r="HZ30" s="944"/>
      <c r="IA30" s="944"/>
      <c r="IB30" s="944"/>
      <c r="IC30" s="944"/>
      <c r="ID30" s="944"/>
      <c r="IE30" s="944"/>
      <c r="IF30" s="944"/>
      <c r="IG30" s="944"/>
      <c r="IH30" s="944"/>
      <c r="II30" s="944"/>
      <c r="IJ30" s="944"/>
      <c r="IK30" s="944"/>
      <c r="IL30" s="944"/>
      <c r="IM30" s="944"/>
      <c r="IN30" s="944"/>
    </row>
    <row r="31" spans="1:248" s="1307" customFormat="1" ht="30" customHeight="1">
      <c r="A31" s="1574" t="s">
        <v>1392</v>
      </c>
      <c r="B31" s="1574"/>
      <c r="C31" s="1574"/>
      <c r="D31" s="1574"/>
      <c r="E31" s="1574"/>
      <c r="F31" s="1305"/>
      <c r="G31" s="1306"/>
      <c r="H31" s="1306"/>
      <c r="I31" s="1306"/>
      <c r="J31" s="1306"/>
      <c r="K31" s="1306"/>
      <c r="L31" s="1306"/>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6"/>
      <c r="AL31" s="1306"/>
      <c r="AM31" s="1306"/>
      <c r="AN31" s="1306"/>
      <c r="AO31" s="1306"/>
      <c r="AP31" s="1306"/>
      <c r="AQ31" s="1306"/>
      <c r="AR31" s="1306"/>
      <c r="AS31" s="1306"/>
      <c r="AT31" s="1306"/>
      <c r="AU31" s="1306"/>
      <c r="AV31" s="1306"/>
      <c r="AW31" s="1306"/>
      <c r="AX31" s="1306"/>
      <c r="AY31" s="1306"/>
      <c r="AZ31" s="1306"/>
      <c r="BA31" s="1306"/>
      <c r="BB31" s="1306"/>
      <c r="BC31" s="1306"/>
      <c r="BD31" s="1306"/>
      <c r="BE31" s="1306"/>
      <c r="BF31" s="1306"/>
      <c r="BG31" s="1306"/>
      <c r="BH31" s="1306"/>
      <c r="BI31" s="1306"/>
      <c r="BJ31" s="1306"/>
      <c r="BK31" s="1306"/>
      <c r="BL31" s="1306"/>
      <c r="BM31" s="1306"/>
      <c r="BN31" s="1306"/>
      <c r="BO31" s="1306"/>
      <c r="BP31" s="1306"/>
      <c r="BQ31" s="1306"/>
      <c r="BR31" s="1306"/>
      <c r="BS31" s="1306"/>
      <c r="BT31" s="1306"/>
      <c r="BU31" s="1306"/>
      <c r="BV31" s="1306"/>
      <c r="BW31" s="1306"/>
      <c r="BX31" s="1306"/>
      <c r="BY31" s="1306"/>
      <c r="BZ31" s="1306"/>
      <c r="CA31" s="1306"/>
      <c r="CB31" s="1306"/>
      <c r="CC31" s="1306"/>
      <c r="CD31" s="1306"/>
      <c r="CE31" s="1306"/>
      <c r="CF31" s="1306"/>
      <c r="CG31" s="1306"/>
      <c r="CH31" s="1306"/>
      <c r="CI31" s="1306"/>
      <c r="CJ31" s="1306"/>
      <c r="CK31" s="1306"/>
      <c r="CL31" s="1306"/>
      <c r="CM31" s="1306"/>
      <c r="CN31" s="1306"/>
      <c r="CO31" s="1306"/>
      <c r="CP31" s="1306"/>
      <c r="CQ31" s="1306"/>
      <c r="CR31" s="1306"/>
      <c r="CS31" s="1306"/>
      <c r="CT31" s="1306"/>
      <c r="CU31" s="1306"/>
      <c r="CV31" s="1306"/>
      <c r="CW31" s="1306"/>
      <c r="CX31" s="1306"/>
      <c r="CY31" s="1306"/>
      <c r="CZ31" s="1306"/>
      <c r="DA31" s="1306"/>
      <c r="DB31" s="1306"/>
      <c r="DC31" s="1306"/>
      <c r="DD31" s="1306"/>
      <c r="DE31" s="1306"/>
      <c r="DF31" s="1306"/>
      <c r="DG31" s="1306"/>
      <c r="DH31" s="1306"/>
      <c r="DI31" s="1306"/>
      <c r="DJ31" s="1306"/>
      <c r="DK31" s="1306"/>
      <c r="DL31" s="1306"/>
      <c r="DM31" s="1306"/>
      <c r="DN31" s="1306"/>
      <c r="DO31" s="1306"/>
      <c r="DP31" s="1306"/>
      <c r="DQ31" s="1306"/>
      <c r="DR31" s="1306"/>
      <c r="DS31" s="1306"/>
      <c r="DT31" s="1306"/>
      <c r="DU31" s="1306"/>
      <c r="DV31" s="1306"/>
      <c r="DW31" s="1306"/>
      <c r="DX31" s="1306"/>
      <c r="DY31" s="1306"/>
      <c r="DZ31" s="1306"/>
      <c r="EA31" s="1306"/>
      <c r="EB31" s="1306"/>
      <c r="EC31" s="1306"/>
      <c r="ED31" s="1306"/>
      <c r="EE31" s="1306"/>
      <c r="EF31" s="1306"/>
      <c r="EG31" s="1306"/>
      <c r="EH31" s="1306"/>
      <c r="EI31" s="1306"/>
      <c r="EJ31" s="1306"/>
      <c r="EK31" s="1306"/>
      <c r="EL31" s="1306"/>
      <c r="EM31" s="1306"/>
      <c r="EN31" s="1306"/>
      <c r="EO31" s="1306"/>
      <c r="EP31" s="1306"/>
      <c r="EQ31" s="1306"/>
      <c r="ER31" s="1306"/>
      <c r="ES31" s="1306"/>
      <c r="ET31" s="1306"/>
      <c r="EU31" s="1306"/>
      <c r="EV31" s="1306"/>
      <c r="EW31" s="1306"/>
      <c r="EX31" s="1306"/>
      <c r="EY31" s="1306"/>
      <c r="EZ31" s="1306"/>
      <c r="FA31" s="1306"/>
      <c r="FB31" s="1306"/>
      <c r="FC31" s="1306"/>
      <c r="FD31" s="1306"/>
      <c r="FE31" s="1306"/>
      <c r="FF31" s="1306"/>
      <c r="FG31" s="1306"/>
      <c r="FH31" s="1306"/>
      <c r="FI31" s="1306"/>
      <c r="FJ31" s="1306"/>
      <c r="FK31" s="1306"/>
      <c r="FL31" s="1306"/>
      <c r="FM31" s="1306"/>
      <c r="FN31" s="1306"/>
      <c r="FO31" s="1306"/>
      <c r="FP31" s="1306"/>
      <c r="FQ31" s="1306"/>
      <c r="FR31" s="1306"/>
      <c r="FS31" s="1306"/>
      <c r="FT31" s="1306"/>
      <c r="FU31" s="1306"/>
      <c r="FV31" s="1306"/>
      <c r="FW31" s="1306"/>
      <c r="FX31" s="1306"/>
      <c r="FY31" s="1306"/>
      <c r="FZ31" s="1306"/>
      <c r="GA31" s="1306"/>
      <c r="GB31" s="1306"/>
      <c r="GC31" s="1306"/>
      <c r="GD31" s="1306"/>
      <c r="GE31" s="1306"/>
      <c r="GF31" s="1306"/>
      <c r="GG31" s="1306"/>
      <c r="GH31" s="1306"/>
      <c r="GI31" s="1306"/>
      <c r="GJ31" s="1306"/>
      <c r="GK31" s="1306"/>
      <c r="GL31" s="1306"/>
      <c r="GM31" s="1306"/>
      <c r="GN31" s="1306"/>
      <c r="GO31" s="1306"/>
      <c r="GP31" s="1306"/>
      <c r="GQ31" s="1306"/>
      <c r="GR31" s="1306"/>
      <c r="GS31" s="1306"/>
      <c r="GT31" s="1306"/>
      <c r="GU31" s="1306"/>
      <c r="GV31" s="1306"/>
      <c r="GW31" s="1306"/>
      <c r="GX31" s="1306"/>
      <c r="GY31" s="1306"/>
      <c r="GZ31" s="1306"/>
      <c r="HA31" s="1306"/>
      <c r="HB31" s="1306"/>
      <c r="HC31" s="1306"/>
      <c r="HD31" s="1306"/>
      <c r="HE31" s="1306"/>
      <c r="HF31" s="1306"/>
      <c r="HG31" s="1306"/>
      <c r="HH31" s="1306"/>
      <c r="HI31" s="1306"/>
      <c r="HJ31" s="1306"/>
      <c r="HK31" s="1306"/>
      <c r="HL31" s="1306"/>
      <c r="HM31" s="1306"/>
      <c r="HN31" s="1306"/>
      <c r="HO31" s="1306"/>
      <c r="HP31" s="1306"/>
      <c r="HQ31" s="1306"/>
      <c r="HR31" s="1306"/>
      <c r="HS31" s="1306"/>
      <c r="HT31" s="1306"/>
      <c r="HU31" s="1306"/>
      <c r="HV31" s="1306"/>
      <c r="HW31" s="1306"/>
      <c r="HX31" s="1306"/>
      <c r="HY31" s="1306"/>
      <c r="HZ31" s="1306"/>
      <c r="IA31" s="1306"/>
      <c r="IB31" s="1306"/>
      <c r="IC31" s="1306"/>
      <c r="ID31" s="1306"/>
      <c r="IE31" s="1306"/>
      <c r="IF31" s="1306"/>
      <c r="IG31" s="1306"/>
      <c r="IH31" s="1306"/>
      <c r="II31" s="1306"/>
      <c r="IJ31" s="1306"/>
      <c r="IK31" s="1306"/>
      <c r="IL31" s="1306"/>
      <c r="IM31" s="1306"/>
      <c r="IN31" s="1306"/>
    </row>
    <row r="32" spans="2:248" ht="16.5">
      <c r="B32" s="938"/>
      <c r="G32" s="955"/>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944"/>
      <c r="AR32" s="944"/>
      <c r="AS32" s="944"/>
      <c r="AT32" s="944"/>
      <c r="AU32" s="944"/>
      <c r="AV32" s="944"/>
      <c r="AW32" s="944"/>
      <c r="AX32" s="944"/>
      <c r="AY32" s="944"/>
      <c r="AZ32" s="944"/>
      <c r="BA32" s="944"/>
      <c r="BB32" s="944"/>
      <c r="BC32" s="944"/>
      <c r="BD32" s="944"/>
      <c r="BE32" s="944"/>
      <c r="BF32" s="944"/>
      <c r="BG32" s="944"/>
      <c r="BH32" s="944"/>
      <c r="BI32" s="944"/>
      <c r="BJ32" s="944"/>
      <c r="BK32" s="944"/>
      <c r="BL32" s="944"/>
      <c r="BM32" s="944"/>
      <c r="BN32" s="944"/>
      <c r="BO32" s="944"/>
      <c r="BP32" s="944"/>
      <c r="BQ32" s="944"/>
      <c r="BR32" s="944"/>
      <c r="BS32" s="944"/>
      <c r="BT32" s="944"/>
      <c r="BU32" s="944"/>
      <c r="BV32" s="944"/>
      <c r="BW32" s="944"/>
      <c r="BX32" s="944"/>
      <c r="BY32" s="944"/>
      <c r="BZ32" s="944"/>
      <c r="CA32" s="944"/>
      <c r="CB32" s="944"/>
      <c r="CC32" s="944"/>
      <c r="CD32" s="944"/>
      <c r="CE32" s="944"/>
      <c r="CF32" s="944"/>
      <c r="CG32" s="944"/>
      <c r="CH32" s="944"/>
      <c r="CI32" s="944"/>
      <c r="CJ32" s="944"/>
      <c r="CK32" s="944"/>
      <c r="CL32" s="944"/>
      <c r="CM32" s="944"/>
      <c r="CN32" s="944"/>
      <c r="CO32" s="944"/>
      <c r="CP32" s="944"/>
      <c r="CQ32" s="944"/>
      <c r="CR32" s="944"/>
      <c r="CS32" s="944"/>
      <c r="CT32" s="944"/>
      <c r="CU32" s="944"/>
      <c r="CV32" s="944"/>
      <c r="CW32" s="944"/>
      <c r="CX32" s="944"/>
      <c r="CY32" s="944"/>
      <c r="CZ32" s="944"/>
      <c r="DA32" s="944"/>
      <c r="DB32" s="944"/>
      <c r="DC32" s="944"/>
      <c r="DD32" s="944"/>
      <c r="DE32" s="944"/>
      <c r="DF32" s="944"/>
      <c r="DG32" s="944"/>
      <c r="DH32" s="944"/>
      <c r="DI32" s="944"/>
      <c r="DJ32" s="944"/>
      <c r="DK32" s="944"/>
      <c r="DL32" s="944"/>
      <c r="DM32" s="944"/>
      <c r="DN32" s="944"/>
      <c r="DO32" s="944"/>
      <c r="DP32" s="944"/>
      <c r="DQ32" s="944"/>
      <c r="DR32" s="944"/>
      <c r="DS32" s="944"/>
      <c r="DT32" s="944"/>
      <c r="DU32" s="944"/>
      <c r="DV32" s="944"/>
      <c r="DW32" s="944"/>
      <c r="DX32" s="944"/>
      <c r="DY32" s="944"/>
      <c r="DZ32" s="944"/>
      <c r="EA32" s="944"/>
      <c r="EB32" s="944"/>
      <c r="EC32" s="944"/>
      <c r="ED32" s="944"/>
      <c r="EE32" s="944"/>
      <c r="EF32" s="944"/>
      <c r="EG32" s="944"/>
      <c r="EH32" s="944"/>
      <c r="EI32" s="944"/>
      <c r="EJ32" s="944"/>
      <c r="EK32" s="944"/>
      <c r="EL32" s="944"/>
      <c r="EM32" s="944"/>
      <c r="EN32" s="944"/>
      <c r="EO32" s="944"/>
      <c r="EP32" s="944"/>
      <c r="EQ32" s="944"/>
      <c r="ER32" s="944"/>
      <c r="ES32" s="944"/>
      <c r="ET32" s="944"/>
      <c r="EU32" s="944"/>
      <c r="EV32" s="944"/>
      <c r="EW32" s="944"/>
      <c r="EX32" s="944"/>
      <c r="EY32" s="944"/>
      <c r="EZ32" s="944"/>
      <c r="FA32" s="944"/>
      <c r="FB32" s="944"/>
      <c r="FC32" s="944"/>
      <c r="FD32" s="944"/>
      <c r="FE32" s="944"/>
      <c r="FF32" s="944"/>
      <c r="FG32" s="944"/>
      <c r="FH32" s="944"/>
      <c r="FI32" s="944"/>
      <c r="FJ32" s="944"/>
      <c r="FK32" s="944"/>
      <c r="FL32" s="944"/>
      <c r="FM32" s="944"/>
      <c r="FN32" s="944"/>
      <c r="FO32" s="944"/>
      <c r="FP32" s="944"/>
      <c r="FQ32" s="944"/>
      <c r="FR32" s="944"/>
      <c r="FS32" s="944"/>
      <c r="FT32" s="944"/>
      <c r="FU32" s="944"/>
      <c r="FV32" s="944"/>
      <c r="FW32" s="944"/>
      <c r="FX32" s="944"/>
      <c r="FY32" s="944"/>
      <c r="FZ32" s="944"/>
      <c r="GA32" s="944"/>
      <c r="GB32" s="944"/>
      <c r="GC32" s="944"/>
      <c r="GD32" s="944"/>
      <c r="GE32" s="944"/>
      <c r="GF32" s="944"/>
      <c r="GG32" s="944"/>
      <c r="GH32" s="944"/>
      <c r="GI32" s="944"/>
      <c r="GJ32" s="944"/>
      <c r="GK32" s="944"/>
      <c r="GL32" s="944"/>
      <c r="GM32" s="944"/>
      <c r="GN32" s="944"/>
      <c r="GO32" s="944"/>
      <c r="GP32" s="944"/>
      <c r="GQ32" s="944"/>
      <c r="GR32" s="944"/>
      <c r="GS32" s="944"/>
      <c r="GT32" s="944"/>
      <c r="GU32" s="944"/>
      <c r="GV32" s="944"/>
      <c r="GW32" s="944"/>
      <c r="GX32" s="944"/>
      <c r="GY32" s="944"/>
      <c r="GZ32" s="944"/>
      <c r="HA32" s="944"/>
      <c r="HB32" s="944"/>
      <c r="HC32" s="944"/>
      <c r="HD32" s="944"/>
      <c r="HE32" s="944"/>
      <c r="HF32" s="944"/>
      <c r="HG32" s="944"/>
      <c r="HH32" s="944"/>
      <c r="HI32" s="944"/>
      <c r="HJ32" s="944"/>
      <c r="HK32" s="944"/>
      <c r="HL32" s="944"/>
      <c r="HM32" s="944"/>
      <c r="HN32" s="944"/>
      <c r="HO32" s="944"/>
      <c r="HP32" s="944"/>
      <c r="HQ32" s="944"/>
      <c r="HR32" s="944"/>
      <c r="HS32" s="944"/>
      <c r="HT32" s="944"/>
      <c r="HU32" s="944"/>
      <c r="HV32" s="944"/>
      <c r="HW32" s="944"/>
      <c r="HX32" s="944"/>
      <c r="HY32" s="944"/>
      <c r="HZ32" s="944"/>
      <c r="IA32" s="944"/>
      <c r="IB32" s="944"/>
      <c r="IC32" s="944"/>
      <c r="ID32" s="944"/>
      <c r="IE32" s="944"/>
      <c r="IF32" s="944"/>
      <c r="IG32" s="944"/>
      <c r="IH32" s="944"/>
      <c r="II32" s="944"/>
      <c r="IJ32" s="944"/>
      <c r="IK32" s="944"/>
      <c r="IL32" s="944"/>
      <c r="IM32" s="944"/>
      <c r="IN32" s="944"/>
    </row>
    <row r="33" spans="7:248" ht="16.5">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944"/>
      <c r="AM33" s="944"/>
      <c r="AN33" s="944"/>
      <c r="AO33" s="944"/>
      <c r="AP33" s="944"/>
      <c r="AQ33" s="944"/>
      <c r="AR33" s="944"/>
      <c r="AS33" s="944"/>
      <c r="AT33" s="944"/>
      <c r="AU33" s="944"/>
      <c r="AV33" s="944"/>
      <c r="AW33" s="944"/>
      <c r="AX33" s="944"/>
      <c r="AY33" s="944"/>
      <c r="AZ33" s="944"/>
      <c r="BA33" s="944"/>
      <c r="BB33" s="944"/>
      <c r="BC33" s="944"/>
      <c r="BD33" s="944"/>
      <c r="BE33" s="944"/>
      <c r="BF33" s="944"/>
      <c r="BG33" s="944"/>
      <c r="BH33" s="944"/>
      <c r="BI33" s="944"/>
      <c r="BJ33" s="944"/>
      <c r="BK33" s="944"/>
      <c r="BL33" s="944"/>
      <c r="BM33" s="944"/>
      <c r="BN33" s="944"/>
      <c r="BO33" s="944"/>
      <c r="BP33" s="944"/>
      <c r="BQ33" s="944"/>
      <c r="BR33" s="944"/>
      <c r="BS33" s="944"/>
      <c r="BT33" s="944"/>
      <c r="BU33" s="944"/>
      <c r="BV33" s="944"/>
      <c r="BW33" s="944"/>
      <c r="BX33" s="944"/>
      <c r="BY33" s="944"/>
      <c r="BZ33" s="944"/>
      <c r="CA33" s="944"/>
      <c r="CB33" s="944"/>
      <c r="CC33" s="944"/>
      <c r="CD33" s="944"/>
      <c r="CE33" s="944"/>
      <c r="CF33" s="944"/>
      <c r="CG33" s="944"/>
      <c r="CH33" s="944"/>
      <c r="CI33" s="944"/>
      <c r="CJ33" s="944"/>
      <c r="CK33" s="944"/>
      <c r="CL33" s="944"/>
      <c r="CM33" s="944"/>
      <c r="CN33" s="944"/>
      <c r="CO33" s="944"/>
      <c r="CP33" s="944"/>
      <c r="CQ33" s="944"/>
      <c r="CR33" s="944"/>
      <c r="CS33" s="944"/>
      <c r="CT33" s="944"/>
      <c r="CU33" s="944"/>
      <c r="CV33" s="944"/>
      <c r="CW33" s="944"/>
      <c r="CX33" s="944"/>
      <c r="CY33" s="944"/>
      <c r="CZ33" s="944"/>
      <c r="DA33" s="944"/>
      <c r="DB33" s="944"/>
      <c r="DC33" s="944"/>
      <c r="DD33" s="944"/>
      <c r="DE33" s="944"/>
      <c r="DF33" s="944"/>
      <c r="DG33" s="944"/>
      <c r="DH33" s="944"/>
      <c r="DI33" s="944"/>
      <c r="DJ33" s="944"/>
      <c r="DK33" s="944"/>
      <c r="DL33" s="944"/>
      <c r="DM33" s="944"/>
      <c r="DN33" s="944"/>
      <c r="DO33" s="944"/>
      <c r="DP33" s="944"/>
      <c r="DQ33" s="944"/>
      <c r="DR33" s="944"/>
      <c r="DS33" s="944"/>
      <c r="DT33" s="944"/>
      <c r="DU33" s="944"/>
      <c r="DV33" s="944"/>
      <c r="DW33" s="944"/>
      <c r="DX33" s="944"/>
      <c r="DY33" s="944"/>
      <c r="DZ33" s="944"/>
      <c r="EA33" s="944"/>
      <c r="EB33" s="944"/>
      <c r="EC33" s="944"/>
      <c r="ED33" s="944"/>
      <c r="EE33" s="944"/>
      <c r="EF33" s="944"/>
      <c r="EG33" s="944"/>
      <c r="EH33" s="944"/>
      <c r="EI33" s="944"/>
      <c r="EJ33" s="944"/>
      <c r="EK33" s="944"/>
      <c r="EL33" s="944"/>
      <c r="EM33" s="944"/>
      <c r="EN33" s="944"/>
      <c r="EO33" s="944"/>
      <c r="EP33" s="944"/>
      <c r="EQ33" s="944"/>
      <c r="ER33" s="944"/>
      <c r="ES33" s="944"/>
      <c r="ET33" s="944"/>
      <c r="EU33" s="944"/>
      <c r="EV33" s="944"/>
      <c r="EW33" s="944"/>
      <c r="EX33" s="944"/>
      <c r="EY33" s="944"/>
      <c r="EZ33" s="944"/>
      <c r="FA33" s="944"/>
      <c r="FB33" s="944"/>
      <c r="FC33" s="944"/>
      <c r="FD33" s="944"/>
      <c r="FE33" s="944"/>
      <c r="FF33" s="944"/>
      <c r="FG33" s="944"/>
      <c r="FH33" s="944"/>
      <c r="FI33" s="944"/>
      <c r="FJ33" s="944"/>
      <c r="FK33" s="944"/>
      <c r="FL33" s="944"/>
      <c r="FM33" s="944"/>
      <c r="FN33" s="944"/>
      <c r="FO33" s="944"/>
      <c r="FP33" s="944"/>
      <c r="FQ33" s="944"/>
      <c r="FR33" s="944"/>
      <c r="FS33" s="944"/>
      <c r="FT33" s="944"/>
      <c r="FU33" s="944"/>
      <c r="FV33" s="944"/>
      <c r="FW33" s="944"/>
      <c r="FX33" s="944"/>
      <c r="FY33" s="944"/>
      <c r="FZ33" s="944"/>
      <c r="GA33" s="944"/>
      <c r="GB33" s="944"/>
      <c r="GC33" s="944"/>
      <c r="GD33" s="944"/>
      <c r="GE33" s="944"/>
      <c r="GF33" s="944"/>
      <c r="GG33" s="944"/>
      <c r="GH33" s="944"/>
      <c r="GI33" s="944"/>
      <c r="GJ33" s="944"/>
      <c r="GK33" s="944"/>
      <c r="GL33" s="944"/>
      <c r="GM33" s="944"/>
      <c r="GN33" s="944"/>
      <c r="GO33" s="944"/>
      <c r="GP33" s="944"/>
      <c r="GQ33" s="944"/>
      <c r="GR33" s="944"/>
      <c r="GS33" s="944"/>
      <c r="GT33" s="944"/>
      <c r="GU33" s="944"/>
      <c r="GV33" s="944"/>
      <c r="GW33" s="944"/>
      <c r="GX33" s="944"/>
      <c r="GY33" s="944"/>
      <c r="GZ33" s="944"/>
      <c r="HA33" s="944"/>
      <c r="HB33" s="944"/>
      <c r="HC33" s="944"/>
      <c r="HD33" s="944"/>
      <c r="HE33" s="944"/>
      <c r="HF33" s="944"/>
      <c r="HG33" s="944"/>
      <c r="HH33" s="944"/>
      <c r="HI33" s="944"/>
      <c r="HJ33" s="944"/>
      <c r="HK33" s="944"/>
      <c r="HL33" s="944"/>
      <c r="HM33" s="944"/>
      <c r="HN33" s="944"/>
      <c r="HO33" s="944"/>
      <c r="HP33" s="944"/>
      <c r="HQ33" s="944"/>
      <c r="HR33" s="944"/>
      <c r="HS33" s="944"/>
      <c r="HT33" s="944"/>
      <c r="HU33" s="944"/>
      <c r="HV33" s="944"/>
      <c r="HW33" s="944"/>
      <c r="HX33" s="944"/>
      <c r="HY33" s="944"/>
      <c r="HZ33" s="944"/>
      <c r="IA33" s="944"/>
      <c r="IB33" s="944"/>
      <c r="IC33" s="944"/>
      <c r="ID33" s="944"/>
      <c r="IE33" s="944"/>
      <c r="IF33" s="944"/>
      <c r="IG33" s="944"/>
      <c r="IH33" s="944"/>
      <c r="II33" s="944"/>
      <c r="IJ33" s="944"/>
      <c r="IK33" s="944"/>
      <c r="IL33" s="944"/>
      <c r="IM33" s="944"/>
      <c r="IN33" s="944"/>
    </row>
    <row r="34" spans="7:248" ht="17.25">
      <c r="G34" s="945"/>
      <c r="H34" s="945"/>
      <c r="I34" s="945"/>
      <c r="J34" s="945"/>
      <c r="K34" s="945"/>
      <c r="L34" s="945"/>
      <c r="M34" s="945"/>
      <c r="N34" s="945"/>
      <c r="O34" s="945"/>
      <c r="P34" s="945"/>
      <c r="Q34" s="945"/>
      <c r="R34" s="945"/>
      <c r="S34" s="945"/>
      <c r="T34" s="945"/>
      <c r="U34" s="945"/>
      <c r="V34" s="945"/>
      <c r="W34" s="945"/>
      <c r="X34" s="945"/>
      <c r="Y34" s="945"/>
      <c r="Z34" s="945"/>
      <c r="AA34" s="945"/>
      <c r="AB34" s="945"/>
      <c r="AC34" s="945"/>
      <c r="AD34" s="945"/>
      <c r="AE34" s="945"/>
      <c r="AF34" s="945"/>
      <c r="AG34" s="945"/>
      <c r="AH34" s="945"/>
      <c r="AI34" s="945"/>
      <c r="AJ34" s="945"/>
      <c r="AK34" s="945"/>
      <c r="AL34" s="945"/>
      <c r="AM34" s="945"/>
      <c r="AN34" s="945"/>
      <c r="AO34" s="945"/>
      <c r="AP34" s="945"/>
      <c r="AQ34" s="945"/>
      <c r="AR34" s="945"/>
      <c r="AS34" s="945"/>
      <c r="AT34" s="945"/>
      <c r="AU34" s="945"/>
      <c r="AV34" s="945"/>
      <c r="AW34" s="945"/>
      <c r="AX34" s="945"/>
      <c r="AY34" s="945"/>
      <c r="AZ34" s="945"/>
      <c r="BA34" s="945"/>
      <c r="BB34" s="945"/>
      <c r="BC34" s="945"/>
      <c r="BD34" s="945"/>
      <c r="BE34" s="945"/>
      <c r="BF34" s="945"/>
      <c r="BG34" s="945"/>
      <c r="BH34" s="945"/>
      <c r="BI34" s="945"/>
      <c r="BJ34" s="945"/>
      <c r="BK34" s="945"/>
      <c r="BL34" s="945"/>
      <c r="BM34" s="945"/>
      <c r="BN34" s="945"/>
      <c r="BO34" s="945"/>
      <c r="BP34" s="945"/>
      <c r="BQ34" s="945"/>
      <c r="BR34" s="945"/>
      <c r="BS34" s="945"/>
      <c r="BT34" s="945"/>
      <c r="BU34" s="945"/>
      <c r="BV34" s="945"/>
      <c r="BW34" s="945"/>
      <c r="BX34" s="945"/>
      <c r="BY34" s="945"/>
      <c r="BZ34" s="945"/>
      <c r="CA34" s="945"/>
      <c r="CB34" s="945"/>
      <c r="CC34" s="945"/>
      <c r="CD34" s="945"/>
      <c r="CE34" s="945"/>
      <c r="CF34" s="945"/>
      <c r="CG34" s="945"/>
      <c r="CH34" s="945"/>
      <c r="CI34" s="945"/>
      <c r="CJ34" s="945"/>
      <c r="CK34" s="945"/>
      <c r="CL34" s="945"/>
      <c r="CM34" s="945"/>
      <c r="CN34" s="945"/>
      <c r="CO34" s="945"/>
      <c r="CP34" s="945"/>
      <c r="CQ34" s="945"/>
      <c r="CR34" s="945"/>
      <c r="CS34" s="945"/>
      <c r="CT34" s="945"/>
      <c r="CU34" s="945"/>
      <c r="CV34" s="945"/>
      <c r="CW34" s="945"/>
      <c r="CX34" s="945"/>
      <c r="CY34" s="945"/>
      <c r="CZ34" s="945"/>
      <c r="DA34" s="945"/>
      <c r="DB34" s="945"/>
      <c r="DC34" s="945"/>
      <c r="DD34" s="945"/>
      <c r="DE34" s="945"/>
      <c r="DF34" s="945"/>
      <c r="DG34" s="945"/>
      <c r="DH34" s="945"/>
      <c r="DI34" s="945"/>
      <c r="DJ34" s="945"/>
      <c r="DK34" s="945"/>
      <c r="DL34" s="945"/>
      <c r="DM34" s="945"/>
      <c r="DN34" s="945"/>
      <c r="DO34" s="945"/>
      <c r="DP34" s="945"/>
      <c r="DQ34" s="945"/>
      <c r="DR34" s="945"/>
      <c r="DS34" s="945"/>
      <c r="DT34" s="945"/>
      <c r="DU34" s="945"/>
      <c r="DV34" s="945"/>
      <c r="DW34" s="945"/>
      <c r="DX34" s="945"/>
      <c r="DY34" s="945"/>
      <c r="DZ34" s="945"/>
      <c r="EA34" s="945"/>
      <c r="EB34" s="945"/>
      <c r="EC34" s="945"/>
      <c r="ED34" s="945"/>
      <c r="EE34" s="945"/>
      <c r="EF34" s="945"/>
      <c r="EG34" s="945"/>
      <c r="EH34" s="945"/>
      <c r="EI34" s="945"/>
      <c r="EJ34" s="945"/>
      <c r="EK34" s="945"/>
      <c r="EL34" s="945"/>
      <c r="EM34" s="945"/>
      <c r="EN34" s="945"/>
      <c r="EO34" s="945"/>
      <c r="EP34" s="945"/>
      <c r="EQ34" s="945"/>
      <c r="ER34" s="945"/>
      <c r="ES34" s="945"/>
      <c r="ET34" s="945"/>
      <c r="EU34" s="945"/>
      <c r="EV34" s="945"/>
      <c r="EW34" s="945"/>
      <c r="EX34" s="945"/>
      <c r="EY34" s="945"/>
      <c r="EZ34" s="945"/>
      <c r="FA34" s="945"/>
      <c r="FB34" s="945"/>
      <c r="FC34" s="945"/>
      <c r="FD34" s="945"/>
      <c r="FE34" s="945"/>
      <c r="FF34" s="945"/>
      <c r="FG34" s="945"/>
      <c r="FH34" s="945"/>
      <c r="FI34" s="945"/>
      <c r="FJ34" s="945"/>
      <c r="FK34" s="945"/>
      <c r="FL34" s="945"/>
      <c r="FM34" s="945"/>
      <c r="FN34" s="945"/>
      <c r="FO34" s="945"/>
      <c r="FP34" s="945"/>
      <c r="FQ34" s="945"/>
      <c r="FR34" s="945"/>
      <c r="FS34" s="945"/>
      <c r="FT34" s="945"/>
      <c r="FU34" s="945"/>
      <c r="FV34" s="945"/>
      <c r="FW34" s="945"/>
      <c r="FX34" s="945"/>
      <c r="FY34" s="945"/>
      <c r="FZ34" s="945"/>
      <c r="GA34" s="945"/>
      <c r="GB34" s="945"/>
      <c r="GC34" s="945"/>
      <c r="GD34" s="945"/>
      <c r="GE34" s="945"/>
      <c r="GF34" s="945"/>
      <c r="GG34" s="945"/>
      <c r="GH34" s="945"/>
      <c r="GI34" s="945"/>
      <c r="GJ34" s="945"/>
      <c r="GK34" s="945"/>
      <c r="GL34" s="945"/>
      <c r="GM34" s="945"/>
      <c r="GN34" s="945"/>
      <c r="GO34" s="945"/>
      <c r="GP34" s="945"/>
      <c r="GQ34" s="945"/>
      <c r="GR34" s="945"/>
      <c r="GS34" s="945"/>
      <c r="GT34" s="945"/>
      <c r="GU34" s="945"/>
      <c r="GV34" s="945"/>
      <c r="GW34" s="945"/>
      <c r="GX34" s="945"/>
      <c r="GY34" s="945"/>
      <c r="GZ34" s="945"/>
      <c r="HA34" s="945"/>
      <c r="HB34" s="945"/>
      <c r="HC34" s="945"/>
      <c r="HD34" s="945"/>
      <c r="HE34" s="945"/>
      <c r="HF34" s="945"/>
      <c r="HG34" s="945"/>
      <c r="HH34" s="945"/>
      <c r="HI34" s="945"/>
      <c r="HJ34" s="945"/>
      <c r="HK34" s="945"/>
      <c r="HL34" s="945"/>
      <c r="HM34" s="945"/>
      <c r="HN34" s="945"/>
      <c r="HO34" s="945"/>
      <c r="HP34" s="945"/>
      <c r="HQ34" s="945"/>
      <c r="HR34" s="945"/>
      <c r="HS34" s="945"/>
      <c r="HT34" s="945"/>
      <c r="HU34" s="945"/>
      <c r="HV34" s="945"/>
      <c r="HW34" s="945"/>
      <c r="HX34" s="945"/>
      <c r="HY34" s="945"/>
      <c r="HZ34" s="945"/>
      <c r="IA34" s="945"/>
      <c r="IB34" s="945"/>
      <c r="IC34" s="945"/>
      <c r="ID34" s="945"/>
      <c r="IE34" s="945"/>
      <c r="IF34" s="945"/>
      <c r="IG34" s="945"/>
      <c r="IH34" s="945"/>
      <c r="II34" s="945"/>
      <c r="IJ34" s="945"/>
      <c r="IK34" s="945"/>
      <c r="IL34" s="945"/>
      <c r="IM34" s="945"/>
      <c r="IN34" s="945"/>
    </row>
  </sheetData>
  <sheetProtection/>
  <mergeCells count="22">
    <mergeCell ref="E1:F1"/>
    <mergeCell ref="A2:K2"/>
    <mergeCell ref="A3:K3"/>
    <mergeCell ref="A4:K4"/>
    <mergeCell ref="J5:K5"/>
    <mergeCell ref="A6:B6"/>
    <mergeCell ref="I7:K7"/>
    <mergeCell ref="C8:C9"/>
    <mergeCell ref="D8:D9"/>
    <mergeCell ref="E8:E9"/>
    <mergeCell ref="F8:F9"/>
    <mergeCell ref="G8:G9"/>
    <mergeCell ref="H8:H9"/>
    <mergeCell ref="I8:I9"/>
    <mergeCell ref="J8:J9"/>
    <mergeCell ref="K8:K9"/>
    <mergeCell ref="A30:B30"/>
    <mergeCell ref="A31:E31"/>
    <mergeCell ref="A7:A9"/>
    <mergeCell ref="B7:B9"/>
    <mergeCell ref="C7:E7"/>
    <mergeCell ref="F7:H7"/>
  </mergeCells>
  <printOptions/>
  <pageMargins left="0.7086614173228347" right="0.7086614173228347" top="0.7480314960629921" bottom="0.7480314960629921" header="0.31496062992125984" footer="0.31496062992125984"/>
  <pageSetup horizontalDpi="600" verticalDpi="600" orientation="landscape" paperSize="9" scale="86"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B1"/>
    </sheetView>
  </sheetViews>
  <sheetFormatPr defaultColWidth="9.00390625" defaultRowHeight="12.75"/>
  <cols>
    <col min="1" max="1" width="3.75390625" style="39" customWidth="1"/>
    <col min="2" max="2" width="62.625" style="2" bestFit="1" customWidth="1"/>
    <col min="3" max="3" width="10.625" style="1" bestFit="1" customWidth="1"/>
    <col min="4" max="4" width="10.625" style="800" bestFit="1" customWidth="1"/>
    <col min="5" max="5" width="10.625" style="1" customWidth="1"/>
    <col min="6" max="6" width="3.75390625" style="39" customWidth="1"/>
    <col min="7" max="7" width="53.75390625" style="2" bestFit="1" customWidth="1"/>
    <col min="8" max="8" width="10.625" style="1" bestFit="1" customWidth="1"/>
    <col min="9" max="9" width="10.625" style="1295" customWidth="1"/>
    <col min="10" max="10" width="10.625" style="14" customWidth="1"/>
  </cols>
  <sheetData>
    <row r="1" spans="1:10" ht="15">
      <c r="A1" s="1601" t="s">
        <v>1643</v>
      </c>
      <c r="B1" s="1601"/>
      <c r="C1" s="5"/>
      <c r="D1" s="52"/>
      <c r="E1" s="5"/>
      <c r="F1" s="10"/>
      <c r="G1" s="11"/>
      <c r="H1" s="12"/>
      <c r="I1" s="1283"/>
      <c r="J1" s="13"/>
    </row>
    <row r="2" spans="1:10" ht="15">
      <c r="A2" s="1603" t="s">
        <v>823</v>
      </c>
      <c r="B2" s="1603"/>
      <c r="C2" s="1603"/>
      <c r="D2" s="1603"/>
      <c r="E2" s="1603"/>
      <c r="F2" s="1603"/>
      <c r="G2" s="1603"/>
      <c r="H2" s="1603"/>
      <c r="I2" s="1603"/>
      <c r="J2" s="1603"/>
    </row>
    <row r="3" spans="1:10" ht="15">
      <c r="A3" s="1604" t="s">
        <v>1631</v>
      </c>
      <c r="B3" s="1604"/>
      <c r="C3" s="1604"/>
      <c r="D3" s="1604"/>
      <c r="E3" s="1604"/>
      <c r="F3" s="1604"/>
      <c r="G3" s="1604"/>
      <c r="H3" s="1604"/>
      <c r="I3" s="1604"/>
      <c r="J3" s="1604"/>
    </row>
    <row r="4" spans="1:10" s="820" customFormat="1" ht="15">
      <c r="A4" s="555"/>
      <c r="B4" s="555"/>
      <c r="C4" s="555"/>
      <c r="D4" s="1232"/>
      <c r="E4" s="555"/>
      <c r="F4" s="555"/>
      <c r="G4" s="555"/>
      <c r="H4" s="1"/>
      <c r="I4" s="1602" t="s">
        <v>496</v>
      </c>
      <c r="J4" s="1602"/>
    </row>
    <row r="5" spans="1:10" s="821" customFormat="1" ht="15" thickBot="1">
      <c r="A5" s="818" t="s">
        <v>504</v>
      </c>
      <c r="B5" s="818" t="s">
        <v>505</v>
      </c>
      <c r="C5" s="818" t="s">
        <v>506</v>
      </c>
      <c r="D5" s="804" t="s">
        <v>507</v>
      </c>
      <c r="E5" s="818" t="s">
        <v>508</v>
      </c>
      <c r="F5" s="818" t="s">
        <v>509</v>
      </c>
      <c r="G5" s="818" t="s">
        <v>510</v>
      </c>
      <c r="H5" s="819" t="s">
        <v>394</v>
      </c>
      <c r="I5" s="804" t="s">
        <v>395</v>
      </c>
      <c r="J5" s="818" t="s">
        <v>814</v>
      </c>
    </row>
    <row r="6" spans="1:10" ht="45">
      <c r="A6" s="822"/>
      <c r="B6" s="823" t="s">
        <v>824</v>
      </c>
      <c r="C6" s="578" t="s">
        <v>577</v>
      </c>
      <c r="D6" s="1296" t="s">
        <v>578</v>
      </c>
      <c r="E6" s="582" t="s">
        <v>579</v>
      </c>
      <c r="F6" s="557"/>
      <c r="G6" s="558" t="s">
        <v>825</v>
      </c>
      <c r="H6" s="556" t="s">
        <v>577</v>
      </c>
      <c r="I6" s="1284" t="s">
        <v>578</v>
      </c>
      <c r="J6" s="559" t="s">
        <v>579</v>
      </c>
    </row>
    <row r="7" spans="1:10" ht="15">
      <c r="A7" s="824" t="s">
        <v>771</v>
      </c>
      <c r="B7" s="825" t="s">
        <v>370</v>
      </c>
      <c r="C7" s="560">
        <f>'[1]1.Onbe'!J9+'[1]1.Onbe'!J15</f>
        <v>3034881</v>
      </c>
      <c r="D7" s="1285">
        <f>'1.Onbe'!H8+'1.Onbe'!H14</f>
        <v>3372015</v>
      </c>
      <c r="E7" s="561">
        <f>'1.Onbe'!I8+'1.Onbe'!I14</f>
        <v>3345875</v>
      </c>
      <c r="F7" s="16" t="s">
        <v>771</v>
      </c>
      <c r="G7" s="2" t="s">
        <v>826</v>
      </c>
      <c r="H7" s="560">
        <f>'[1]4.Inki'!J417+'[1]5.Önk.műk.'!J762</f>
        <v>3206629</v>
      </c>
      <c r="I7" s="1285">
        <f>'5.Inki'!J300+'6.Önk.műk.'!J881</f>
        <v>3464177</v>
      </c>
      <c r="J7" s="99">
        <f>'5.Inki'!J301+'6.Önk.műk.'!J882</f>
        <v>3259583</v>
      </c>
    </row>
    <row r="8" spans="1:10" ht="15">
      <c r="A8" s="824" t="s">
        <v>772</v>
      </c>
      <c r="B8" s="825" t="s">
        <v>415</v>
      </c>
      <c r="C8" s="560">
        <f>'[1]1.Onbe'!J16</f>
        <v>5845000</v>
      </c>
      <c r="D8" s="1285">
        <f>'1.Onbe'!H15</f>
        <v>5845000</v>
      </c>
      <c r="E8" s="15">
        <f>'1.Onbe'!I15</f>
        <v>6358454</v>
      </c>
      <c r="F8" s="16" t="s">
        <v>772</v>
      </c>
      <c r="G8" s="2" t="s">
        <v>827</v>
      </c>
      <c r="H8" s="560">
        <f>'[1]4.Inki'!K417+'[1]5.Önk.műk.'!K762</f>
        <v>873547</v>
      </c>
      <c r="I8" s="1285">
        <f>'5.Inki'!K300+'6.Önk.műk.'!K881</f>
        <v>973954</v>
      </c>
      <c r="J8" s="99">
        <f>'5.Inki'!K301+'6.Önk.műk.'!K882</f>
        <v>919582</v>
      </c>
    </row>
    <row r="9" spans="1:10" ht="15">
      <c r="A9" s="824" t="s">
        <v>773</v>
      </c>
      <c r="B9" s="826" t="s">
        <v>535</v>
      </c>
      <c r="C9" s="560">
        <f>'[1]1.Onbe'!J30+'[1]1.Onbe'!J26</f>
        <v>1512384</v>
      </c>
      <c r="D9" s="1285">
        <f>'1.Onbe'!H25+'1.Onbe'!H29</f>
        <v>1540213</v>
      </c>
      <c r="E9" s="15">
        <f>'1.Onbe'!I25+'1.Onbe'!I29</f>
        <v>1503632</v>
      </c>
      <c r="F9" s="16" t="s">
        <v>773</v>
      </c>
      <c r="G9" s="4" t="s">
        <v>828</v>
      </c>
      <c r="H9" s="560">
        <f>'[1]4.Inki'!L417+'[1]5.Önk.műk.'!L762</f>
        <v>5086695</v>
      </c>
      <c r="I9" s="1285">
        <f>'5.Inki'!L300+'6.Önk.műk.'!L881</f>
        <v>5767174</v>
      </c>
      <c r="J9" s="99">
        <f>'5.Inki'!L301+'6.Önk.műk.'!L882+'3.Onki'!I28</f>
        <v>5172168</v>
      </c>
    </row>
    <row r="10" spans="1:10" ht="15">
      <c r="A10" s="824" t="s">
        <v>774</v>
      </c>
      <c r="B10" s="827" t="s">
        <v>548</v>
      </c>
      <c r="C10" s="561">
        <v>84000</v>
      </c>
      <c r="D10" s="1285">
        <f>'1.Onbe'!H30+'1.Onbe'!H31</f>
        <v>90702</v>
      </c>
      <c r="E10" s="15">
        <f>'1.Onbe'!I30+'1.Onbe'!I31</f>
        <v>94502</v>
      </c>
      <c r="F10" s="17" t="s">
        <v>774</v>
      </c>
      <c r="G10" s="4" t="s">
        <v>536</v>
      </c>
      <c r="H10" s="560">
        <f>'[1]4.Inki'!M417+'[1]5.Önk.műk.'!M762</f>
        <v>122600</v>
      </c>
      <c r="I10" s="1285">
        <f>'5.Inki'!M300+'6.Önk.műk.'!M881</f>
        <v>91669</v>
      </c>
      <c r="J10" s="99">
        <f>'5.Inki'!M301+'6.Önk.műk.'!M882</f>
        <v>80727</v>
      </c>
    </row>
    <row r="11" spans="1:10" ht="15">
      <c r="A11" s="824"/>
      <c r="B11" s="826"/>
      <c r="C11" s="560"/>
      <c r="D11" s="1285"/>
      <c r="E11" s="15"/>
      <c r="F11" s="17" t="s">
        <v>776</v>
      </c>
      <c r="G11" s="41" t="s">
        <v>728</v>
      </c>
      <c r="H11" s="562">
        <f>'[1]4.Inki'!N417+'[1]5.Önk.műk.'!N762</f>
        <v>1239164</v>
      </c>
      <c r="I11" s="1285">
        <f>'5.Inki'!N300+'6.Önk.műk.'!N881</f>
        <v>1526443</v>
      </c>
      <c r="J11" s="99">
        <f>'5.Inki'!N301+'6.Önk.műk.'!N882</f>
        <v>1318996</v>
      </c>
    </row>
    <row r="12" spans="1:10" ht="15">
      <c r="A12" s="824"/>
      <c r="B12" s="826"/>
      <c r="C12" s="560"/>
      <c r="D12" s="1285"/>
      <c r="E12" s="15"/>
      <c r="F12" s="17" t="s">
        <v>777</v>
      </c>
      <c r="G12" s="41" t="s">
        <v>710</v>
      </c>
      <c r="H12" s="562">
        <f>'[1]2.Onki'!J16+'[1]2.Onki'!J24</f>
        <v>256619</v>
      </c>
      <c r="I12" s="1285">
        <f>'3.Onki'!H15</f>
        <v>6560</v>
      </c>
      <c r="J12" s="99"/>
    </row>
    <row r="13" spans="1:10" ht="15">
      <c r="A13" s="828"/>
      <c r="B13" s="829" t="s">
        <v>654</v>
      </c>
      <c r="C13" s="563">
        <f>SUM(C7:C11)</f>
        <v>10476265</v>
      </c>
      <c r="D13" s="1297">
        <f>SUM(D7:D11)</f>
        <v>10847930</v>
      </c>
      <c r="E13" s="379">
        <f>SUM(E7:E11)</f>
        <v>11302463</v>
      </c>
      <c r="F13" s="20"/>
      <c r="G13" s="19" t="s">
        <v>649</v>
      </c>
      <c r="H13" s="564">
        <f>SUM(H7:H12)</f>
        <v>10785254</v>
      </c>
      <c r="I13" s="1286">
        <f>SUM(I7:I12)</f>
        <v>11829977</v>
      </c>
      <c r="J13" s="100">
        <f>SUM(J7:J12)</f>
        <v>10751056</v>
      </c>
    </row>
    <row r="14" spans="1:10" ht="15">
      <c r="A14" s="830"/>
      <c r="B14" s="831" t="s">
        <v>830</v>
      </c>
      <c r="C14" s="565"/>
      <c r="D14" s="1298"/>
      <c r="E14" s="21"/>
      <c r="F14" s="22"/>
      <c r="G14" s="3" t="s">
        <v>831</v>
      </c>
      <c r="H14" s="381"/>
      <c r="I14" s="1287"/>
      <c r="J14" s="566"/>
    </row>
    <row r="15" spans="1:10" ht="15">
      <c r="A15" s="832" t="s">
        <v>771</v>
      </c>
      <c r="B15" s="833" t="s">
        <v>371</v>
      </c>
      <c r="C15" s="381">
        <f>'[1]1.Onbe'!J34</f>
        <v>1867624</v>
      </c>
      <c r="D15" s="1288">
        <f>'1.Onbe'!H33+'1.Onbe'!H38</f>
        <v>4147850</v>
      </c>
      <c r="E15" s="23">
        <f>'1.Onbe'!I33</f>
        <v>3901328</v>
      </c>
      <c r="F15" s="24" t="s">
        <v>771</v>
      </c>
      <c r="G15" s="18" t="s">
        <v>478</v>
      </c>
      <c r="H15" s="381">
        <f>'[1]2.Onki'!J11+'[1]2.Onki'!J26</f>
        <v>1776728</v>
      </c>
      <c r="I15" s="1288">
        <f>'3.Onki'!H10+'3.Onki'!H25</f>
        <v>5071207</v>
      </c>
      <c r="J15" s="101">
        <f>'3.Onki'!I25+'3.Onki'!I10</f>
        <v>4510935</v>
      </c>
    </row>
    <row r="16" spans="1:10" ht="15">
      <c r="A16" s="832" t="s">
        <v>772</v>
      </c>
      <c r="B16" s="833" t="s">
        <v>547</v>
      </c>
      <c r="C16" s="381">
        <f>'[1]1.Onbe'!J42+'[1]1.Onbe'!J40</f>
        <v>502289</v>
      </c>
      <c r="D16" s="1288">
        <f>'1.Onbe'!H39+'1.Onbe'!H42</f>
        <v>135114</v>
      </c>
      <c r="E16" s="23">
        <f>'1.Onbe'!I39+'1.Onbe'!I42</f>
        <v>135149</v>
      </c>
      <c r="F16" s="24" t="s">
        <v>772</v>
      </c>
      <c r="G16" s="18" t="s">
        <v>479</v>
      </c>
      <c r="H16" s="381">
        <f>'[1]2.Onki'!J12+'[1]2.Onki'!J27</f>
        <v>586432</v>
      </c>
      <c r="I16" s="1288">
        <f>'3.Onki'!H26+'3.Onki'!H11</f>
        <v>665609</v>
      </c>
      <c r="J16" s="101">
        <f>'8.Felúj.'!H162</f>
        <v>499724</v>
      </c>
    </row>
    <row r="17" spans="1:10" ht="15">
      <c r="A17" s="832" t="s">
        <v>773</v>
      </c>
      <c r="B17" s="825" t="s">
        <v>549</v>
      </c>
      <c r="C17" s="381">
        <v>2600</v>
      </c>
      <c r="D17" s="1288">
        <f>'1.Onbe'!H44+'1.Onbe'!H45</f>
        <v>3235</v>
      </c>
      <c r="E17" s="23">
        <f>'1.Onbe'!I43+'1.Onbe'!I44+'1.Onbe'!I46</f>
        <v>1329</v>
      </c>
      <c r="F17" s="24" t="s">
        <v>773</v>
      </c>
      <c r="G17" s="18" t="s">
        <v>789</v>
      </c>
      <c r="H17" s="381">
        <f>'[1]2.Onki'!J28</f>
        <v>748630</v>
      </c>
      <c r="I17" s="1288">
        <f>'3.Onki'!H27</f>
        <v>66748</v>
      </c>
      <c r="J17" s="101">
        <f>'3.Onki'!I27</f>
        <v>35000</v>
      </c>
    </row>
    <row r="18" spans="1:10" ht="15">
      <c r="A18" s="832"/>
      <c r="B18" s="825"/>
      <c r="C18" s="381"/>
      <c r="D18" s="1288"/>
      <c r="E18" s="23"/>
      <c r="F18" s="24" t="s">
        <v>774</v>
      </c>
      <c r="G18" s="18" t="s">
        <v>711</v>
      </c>
      <c r="H18" s="381">
        <f>'[1]2.Onki'!J20</f>
        <v>0</v>
      </c>
      <c r="I18" s="1288">
        <f>'3.Onki'!H19</f>
        <v>159897</v>
      </c>
      <c r="J18" s="101"/>
    </row>
    <row r="19" spans="1:10" ht="15.75" thickBot="1">
      <c r="A19" s="834"/>
      <c r="B19" s="835" t="s">
        <v>655</v>
      </c>
      <c r="C19" s="567">
        <f>SUM(C15:C17)</f>
        <v>2372513</v>
      </c>
      <c r="D19" s="1293">
        <f>SUM(D15:D17)</f>
        <v>4286199</v>
      </c>
      <c r="E19" s="26">
        <f>SUM(E15:E17)</f>
        <v>4037806</v>
      </c>
      <c r="F19" s="27"/>
      <c r="G19" s="25" t="s">
        <v>650</v>
      </c>
      <c r="H19" s="382">
        <f>SUM(H15:H18)</f>
        <v>3111790</v>
      </c>
      <c r="I19" s="1289">
        <f>SUM(I15:I18)</f>
        <v>5963461</v>
      </c>
      <c r="J19" s="102">
        <f>SUM(J15:J18)</f>
        <v>5045659</v>
      </c>
    </row>
    <row r="20" spans="1:10" ht="25.5" customHeight="1" thickBot="1" thickTop="1">
      <c r="A20" s="836"/>
      <c r="B20" s="837" t="s">
        <v>551</v>
      </c>
      <c r="C20" s="569">
        <f>C13+C19</f>
        <v>12848778</v>
      </c>
      <c r="D20" s="1290">
        <f>D13+D19</f>
        <v>15134129</v>
      </c>
      <c r="E20" s="380">
        <f>E13+E19</f>
        <v>15340269</v>
      </c>
      <c r="F20" s="28"/>
      <c r="G20" s="568" t="s">
        <v>651</v>
      </c>
      <c r="H20" s="569">
        <f>H13+H19</f>
        <v>13897044</v>
      </c>
      <c r="I20" s="1290">
        <f>I13+I19</f>
        <v>17793438</v>
      </c>
      <c r="J20" s="570">
        <f>J13+J19</f>
        <v>15796715</v>
      </c>
    </row>
    <row r="21" spans="1:10" ht="15.75" thickTop="1">
      <c r="A21" s="838"/>
      <c r="B21" s="831" t="s">
        <v>833</v>
      </c>
      <c r="C21" s="571"/>
      <c r="D21" s="1291"/>
      <c r="E21" s="29"/>
      <c r="F21" s="30"/>
      <c r="G21" s="3" t="s">
        <v>834</v>
      </c>
      <c r="H21" s="571"/>
      <c r="I21" s="1291"/>
      <c r="J21" s="103"/>
    </row>
    <row r="22" spans="1:10" ht="15">
      <c r="A22" s="839" t="s">
        <v>771</v>
      </c>
      <c r="B22" s="840" t="s">
        <v>837</v>
      </c>
      <c r="C22" s="571">
        <v>0</v>
      </c>
      <c r="D22" s="1291"/>
      <c r="E22" s="29"/>
      <c r="F22" s="30" t="s">
        <v>771</v>
      </c>
      <c r="G22" s="11" t="s">
        <v>838</v>
      </c>
      <c r="H22" s="571"/>
      <c r="I22" s="1291"/>
      <c r="J22" s="103"/>
    </row>
    <row r="23" spans="1:10" ht="15">
      <c r="A23" s="839" t="s">
        <v>772</v>
      </c>
      <c r="B23" s="840" t="s">
        <v>790</v>
      </c>
      <c r="C23" s="571">
        <f>'[1]1.Onbe'!J56</f>
        <v>450000</v>
      </c>
      <c r="D23" s="1291">
        <f>'[1]1.Onbe'!M52</f>
        <v>1535072</v>
      </c>
      <c r="E23" s="29">
        <f>'1.Onbe'!I53</f>
        <v>1535072</v>
      </c>
      <c r="F23" s="30" t="s">
        <v>772</v>
      </c>
      <c r="G23" s="11" t="s">
        <v>3</v>
      </c>
      <c r="H23" s="571"/>
      <c r="I23" s="1291">
        <f>'3.Onki'!H34</f>
        <v>186226</v>
      </c>
      <c r="J23" s="103">
        <f>'3.Onki'!I34</f>
        <v>100917</v>
      </c>
    </row>
    <row r="24" spans="1:10" ht="15">
      <c r="A24" s="839" t="s">
        <v>773</v>
      </c>
      <c r="B24" s="840" t="s">
        <v>1117</v>
      </c>
      <c r="C24" s="571"/>
      <c r="D24" s="1291">
        <v>101544</v>
      </c>
      <c r="E24" s="29">
        <v>101544</v>
      </c>
      <c r="F24" s="30"/>
      <c r="G24" s="11"/>
      <c r="H24" s="571"/>
      <c r="I24" s="1291"/>
      <c r="J24" s="103"/>
    </row>
    <row r="25" spans="1:10" ht="15">
      <c r="A25" s="838"/>
      <c r="B25" s="831" t="s">
        <v>839</v>
      </c>
      <c r="C25" s="571"/>
      <c r="D25" s="1291"/>
      <c r="E25" s="29"/>
      <c r="F25" s="30"/>
      <c r="G25" s="3" t="s">
        <v>840</v>
      </c>
      <c r="H25" s="571"/>
      <c r="I25" s="1291"/>
      <c r="J25" s="103"/>
    </row>
    <row r="26" spans="1:10" ht="15">
      <c r="A26" s="839" t="s">
        <v>774</v>
      </c>
      <c r="B26" s="841" t="s">
        <v>835</v>
      </c>
      <c r="C26" s="571"/>
      <c r="D26" s="1291">
        <f>'1.Onbe'!H65</f>
        <v>590653</v>
      </c>
      <c r="E26" s="29">
        <f>'1.Onbe'!I64+'1.Onbe'!I65</f>
        <v>490628</v>
      </c>
      <c r="F26" s="30" t="s">
        <v>773</v>
      </c>
      <c r="G26" s="31" t="s">
        <v>836</v>
      </c>
      <c r="H26" s="571">
        <f>'[1]2.Onki'!J37</f>
        <v>51734</v>
      </c>
      <c r="I26" s="1291">
        <f>'3.Onki'!H36</f>
        <v>31734</v>
      </c>
      <c r="J26" s="103">
        <f>'3.Onki'!I36</f>
        <v>26783</v>
      </c>
    </row>
    <row r="27" spans="1:10" ht="15">
      <c r="A27" s="839" t="s">
        <v>776</v>
      </c>
      <c r="B27" s="840" t="s">
        <v>837</v>
      </c>
      <c r="C27" s="571"/>
      <c r="D27" s="1291"/>
      <c r="E27" s="29"/>
      <c r="F27" s="30" t="s">
        <v>774</v>
      </c>
      <c r="G27" s="11" t="s">
        <v>838</v>
      </c>
      <c r="H27" s="571"/>
      <c r="I27" s="1291"/>
      <c r="J27" s="103"/>
    </row>
    <row r="28" spans="1:10" ht="15">
      <c r="A28" s="839" t="s">
        <v>777</v>
      </c>
      <c r="B28" s="840" t="s">
        <v>790</v>
      </c>
      <c r="C28" s="571">
        <f>'[1]1.Onbe'!J58</f>
        <v>650000</v>
      </c>
      <c r="D28" s="1291">
        <f>'[1]1.Onbe'!M58</f>
        <v>650000</v>
      </c>
      <c r="E28" s="29">
        <f>'1.Onbe'!I59</f>
        <v>650000</v>
      </c>
      <c r="F28" s="30"/>
      <c r="G28" s="11"/>
      <c r="H28" s="571"/>
      <c r="I28" s="1291"/>
      <c r="J28" s="103"/>
    </row>
    <row r="29" spans="1:10" ht="15.75" thickBot="1">
      <c r="A29" s="842"/>
      <c r="B29" s="843" t="s">
        <v>656</v>
      </c>
      <c r="C29" s="572">
        <f>SUM(C22:C28)</f>
        <v>1100000</v>
      </c>
      <c r="D29" s="1292">
        <f>SUM(D22:D28)</f>
        <v>2877269</v>
      </c>
      <c r="E29" s="583">
        <f>SUM(E22:E28)</f>
        <v>2777244</v>
      </c>
      <c r="F29" s="33"/>
      <c r="G29" s="32" t="s">
        <v>652</v>
      </c>
      <c r="H29" s="572">
        <f>SUM(H21:H27)</f>
        <v>51734</v>
      </c>
      <c r="I29" s="1292">
        <f>SUM(I21:I27)</f>
        <v>217960</v>
      </c>
      <c r="J29" s="573">
        <f>SUM(J21:J27)</f>
        <v>127700</v>
      </c>
    </row>
    <row r="30" spans="1:10" ht="30" customHeight="1" thickBot="1" thickTop="1">
      <c r="A30" s="844"/>
      <c r="B30" s="843" t="s">
        <v>657</v>
      </c>
      <c r="C30" s="567">
        <f>SUM(C26:C27,C22:C22,C19,C13)+C23+C28</f>
        <v>13948778</v>
      </c>
      <c r="D30" s="1293">
        <f>SUM(D26:D27,D22:D22,D19,D13)+D23+D28+D24</f>
        <v>18011398</v>
      </c>
      <c r="E30" s="26">
        <f>SUM(E26:E27,E22:E22,E19,E13)+E23+E28+E24</f>
        <v>18117513</v>
      </c>
      <c r="F30" s="34"/>
      <c r="G30" s="32" t="s">
        <v>653</v>
      </c>
      <c r="H30" s="567">
        <f>SUM(H26:H27,H19,H22:H22,H13)</f>
        <v>13948778</v>
      </c>
      <c r="I30" s="1293">
        <f>SUM(I26:I27,I19,I22:I22,I13)+I23</f>
        <v>18011398</v>
      </c>
      <c r="J30" s="104">
        <f>SUM(J26:J27,J19,J22:J22,J13)+J23</f>
        <v>15924415</v>
      </c>
    </row>
    <row r="31" spans="1:10" ht="15.75" thickTop="1">
      <c r="A31" s="845"/>
      <c r="B31" s="846" t="s">
        <v>1177</v>
      </c>
      <c r="C31" s="383">
        <f>C20-H20</f>
        <v>-1048266</v>
      </c>
      <c r="D31" s="1299">
        <f>D20-I20</f>
        <v>-2659309</v>
      </c>
      <c r="E31" s="579">
        <f>E20-J20</f>
        <v>-456446</v>
      </c>
      <c r="F31" s="35"/>
      <c r="G31" s="36"/>
      <c r="H31" s="574"/>
      <c r="I31" s="1291"/>
      <c r="J31" s="103"/>
    </row>
    <row r="32" spans="1:10" ht="15">
      <c r="A32" s="847"/>
      <c r="B32" s="848" t="s">
        <v>1178</v>
      </c>
      <c r="C32" s="575">
        <f>C13-H13</f>
        <v>-308989</v>
      </c>
      <c r="D32" s="1300">
        <f>D13-I13</f>
        <v>-982047</v>
      </c>
      <c r="E32" s="580">
        <f>E13-J13</f>
        <v>551407</v>
      </c>
      <c r="F32" s="35"/>
      <c r="G32" s="36"/>
      <c r="H32" s="574"/>
      <c r="I32" s="1291"/>
      <c r="J32" s="103"/>
    </row>
    <row r="33" spans="1:10" ht="15">
      <c r="A33" s="847"/>
      <c r="B33" s="848" t="s">
        <v>1179</v>
      </c>
      <c r="C33" s="575">
        <f>C19-H19</f>
        <v>-739277</v>
      </c>
      <c r="D33" s="1300">
        <f>D19-I19</f>
        <v>-1677262</v>
      </c>
      <c r="E33" s="580">
        <f>E19-J19</f>
        <v>-1007853</v>
      </c>
      <c r="F33" s="35"/>
      <c r="G33" s="36"/>
      <c r="H33" s="574"/>
      <c r="I33" s="1291"/>
      <c r="J33" s="103"/>
    </row>
    <row r="34" spans="1:10" ht="15">
      <c r="A34" s="847"/>
      <c r="B34" s="849" t="s">
        <v>791</v>
      </c>
      <c r="C34" s="575">
        <f>C31-H29</f>
        <v>-1100000</v>
      </c>
      <c r="D34" s="1300">
        <f>D31-I29</f>
        <v>-2877269</v>
      </c>
      <c r="E34" s="580">
        <f>E31-J29</f>
        <v>-584146</v>
      </c>
      <c r="F34" s="35"/>
      <c r="G34" s="36"/>
      <c r="H34" s="574"/>
      <c r="I34" s="1291"/>
      <c r="J34" s="103"/>
    </row>
    <row r="35" spans="1:10" ht="30">
      <c r="A35" s="847"/>
      <c r="B35" s="850" t="s">
        <v>1191</v>
      </c>
      <c r="C35" s="575">
        <f>C34+C28+C23</f>
        <v>0</v>
      </c>
      <c r="D35" s="1300">
        <f>D34+D28+D23+D24</f>
        <v>-590653</v>
      </c>
      <c r="E35" s="580">
        <f>E34+E28+E23+E24</f>
        <v>1702470</v>
      </c>
      <c r="F35" s="35"/>
      <c r="G35" s="36"/>
      <c r="H35" s="574"/>
      <c r="I35" s="1291"/>
      <c r="J35" s="103"/>
    </row>
    <row r="36" spans="1:10" ht="30">
      <c r="A36" s="851"/>
      <c r="B36" s="852" t="s">
        <v>1192</v>
      </c>
      <c r="C36" s="384">
        <f>C34+C28+C23</f>
        <v>0</v>
      </c>
      <c r="D36" s="1301">
        <f>D34+D28+D23+D26+D24</f>
        <v>0</v>
      </c>
      <c r="E36" s="581">
        <f>E34+E28+E23+E26+E24</f>
        <v>2193098</v>
      </c>
      <c r="F36" s="38"/>
      <c r="G36" s="37"/>
      <c r="H36" s="576"/>
      <c r="I36" s="1294"/>
      <c r="J36" s="577"/>
    </row>
    <row r="37" spans="1:10" s="1315" customFormat="1" ht="25.5" customHeight="1">
      <c r="A37" s="838"/>
      <c r="B37" s="840" t="s">
        <v>841</v>
      </c>
      <c r="C37" s="1394">
        <f>(C13+C23)/C30</f>
        <v>0.7833134199999455</v>
      </c>
      <c r="D37" s="1395">
        <f>(D13+D23+D24)/D30</f>
        <v>0.6931469728224317</v>
      </c>
      <c r="E37" s="1396">
        <f>(E13+E23+E24)/E30</f>
        <v>0.714175229238141</v>
      </c>
      <c r="F37" s="1397"/>
      <c r="G37" s="11" t="s">
        <v>842</v>
      </c>
      <c r="H37" s="1394">
        <f>H13/H30</f>
        <v>0.7732042190362481</v>
      </c>
      <c r="I37" s="1395">
        <f>(I13+I23)/I30</f>
        <v>0.6671443826847866</v>
      </c>
      <c r="J37" s="1398">
        <f>(J13+J23)/J30</f>
        <v>0.6814676080722588</v>
      </c>
    </row>
    <row r="38" spans="1:10" s="1315" customFormat="1" ht="25.5" customHeight="1" thickBot="1">
      <c r="A38" s="1399"/>
      <c r="B38" s="1400" t="s">
        <v>843</v>
      </c>
      <c r="C38" s="1401">
        <f>(C19+C28)/C30</f>
        <v>0.21668658000005447</v>
      </c>
      <c r="D38" s="1402">
        <f>(D19+D28+D26)/D30</f>
        <v>0.30685302717756835</v>
      </c>
      <c r="E38" s="1403">
        <f>(E19+E28+E26)/E30</f>
        <v>0.28582477076185897</v>
      </c>
      <c r="F38" s="1404"/>
      <c r="G38" s="1405" t="s">
        <v>844</v>
      </c>
      <c r="H38" s="1401">
        <f>(H19+H26)/H30</f>
        <v>0.2267957809637518</v>
      </c>
      <c r="I38" s="1402">
        <f>(I19+I26)/I30</f>
        <v>0.3328556173152134</v>
      </c>
      <c r="J38" s="1406">
        <f>(J19+J26)/J30</f>
        <v>0.31853239192774113</v>
      </c>
    </row>
  </sheetData>
  <sheetProtection/>
  <mergeCells count="4">
    <mergeCell ref="A1:B1"/>
    <mergeCell ref="I4:J4"/>
    <mergeCell ref="A2:J2"/>
    <mergeCell ref="A3:J3"/>
  </mergeCells>
  <printOptions horizontalCentered="1"/>
  <pageMargins left="0.7086614173228347" right="0.7086614173228347" top="1.141732283464567" bottom="0.7480314960629921" header="0.31496062992125984" footer="0.31496062992125984"/>
  <pageSetup fitToHeight="1" fitToWidth="1" horizontalDpi="600" verticalDpi="600" orientation="landscape" paperSize="9" scale="71" r:id="rId1"/>
</worksheet>
</file>

<file path=xl/worksheets/sheet13.xml><?xml version="1.0" encoding="utf-8"?>
<worksheet xmlns="http://schemas.openxmlformats.org/spreadsheetml/2006/main" xmlns:r="http://schemas.openxmlformats.org/officeDocument/2006/relationships">
  <dimension ref="A1:E132"/>
  <sheetViews>
    <sheetView view="pageBreakPreview" zoomScaleSheetLayoutView="100" zoomScalePageLayoutView="0" workbookViewId="0" topLeftCell="A1">
      <selection activeCell="B1" sqref="B1"/>
    </sheetView>
  </sheetViews>
  <sheetFormatPr defaultColWidth="9.00390625" defaultRowHeight="12.75"/>
  <cols>
    <col min="1" max="1" width="3.75390625" style="963" customWidth="1"/>
    <col min="2" max="2" width="95.75390625" style="987" customWidth="1"/>
    <col min="3" max="5" width="13.75390625" style="961" customWidth="1"/>
  </cols>
  <sheetData>
    <row r="1" ht="15" customHeight="1">
      <c r="B1" s="987" t="s">
        <v>1644</v>
      </c>
    </row>
    <row r="2" spans="1:5" ht="30" customHeight="1">
      <c r="A2" s="962"/>
      <c r="B2" s="1605" t="s">
        <v>891</v>
      </c>
      <c r="C2" s="1605"/>
      <c r="D2" s="1605"/>
      <c r="E2" s="1605"/>
    </row>
    <row r="3" ht="15">
      <c r="E3" s="1309" t="s">
        <v>496</v>
      </c>
    </row>
    <row r="4" spans="1:5" ht="15.75" thickBot="1">
      <c r="A4" s="964"/>
      <c r="B4" s="1310" t="s">
        <v>504</v>
      </c>
      <c r="C4" s="1311" t="s">
        <v>505</v>
      </c>
      <c r="D4" s="1311" t="s">
        <v>506</v>
      </c>
      <c r="E4" s="1311" t="s">
        <v>507</v>
      </c>
    </row>
    <row r="5" spans="1:5" ht="31.5" customHeight="1" thickBot="1">
      <c r="A5" s="965"/>
      <c r="B5" s="966" t="s">
        <v>497</v>
      </c>
      <c r="C5" s="967" t="s">
        <v>919</v>
      </c>
      <c r="D5" s="967" t="s">
        <v>1430</v>
      </c>
      <c r="E5" s="968" t="s">
        <v>266</v>
      </c>
    </row>
    <row r="6" spans="1:5" ht="15">
      <c r="A6" s="965">
        <v>1</v>
      </c>
      <c r="B6" s="1312" t="s">
        <v>267</v>
      </c>
      <c r="C6" s="1313"/>
      <c r="D6" s="1313"/>
      <c r="E6" s="1314"/>
    </row>
    <row r="7" spans="1:5" ht="15">
      <c r="A7" s="965">
        <v>2</v>
      </c>
      <c r="B7" s="969" t="s">
        <v>268</v>
      </c>
      <c r="C7" s="970">
        <v>242</v>
      </c>
      <c r="D7" s="970"/>
      <c r="E7" s="971">
        <v>7268</v>
      </c>
    </row>
    <row r="8" spans="1:5" ht="15">
      <c r="A8" s="965">
        <v>3</v>
      </c>
      <c r="B8" s="969" t="s">
        <v>269</v>
      </c>
      <c r="C8" s="970">
        <v>67453</v>
      </c>
      <c r="D8" s="970"/>
      <c r="E8" s="971">
        <v>501200</v>
      </c>
    </row>
    <row r="9" spans="1:5" ht="15">
      <c r="A9" s="965">
        <v>4</v>
      </c>
      <c r="B9" s="969" t="s">
        <v>270</v>
      </c>
      <c r="C9" s="970"/>
      <c r="D9" s="970"/>
      <c r="E9" s="971"/>
    </row>
    <row r="10" spans="1:5" ht="15">
      <c r="A10" s="965">
        <v>5</v>
      </c>
      <c r="B10" s="972" t="s">
        <v>271</v>
      </c>
      <c r="C10" s="973">
        <f>SUM(C6:C9)</f>
        <v>67695</v>
      </c>
      <c r="D10" s="973"/>
      <c r="E10" s="974">
        <f>SUM(E6:E9)</f>
        <v>508468</v>
      </c>
    </row>
    <row r="11" spans="1:5" ht="15">
      <c r="A11" s="965">
        <v>6</v>
      </c>
      <c r="B11" s="969" t="s">
        <v>272</v>
      </c>
      <c r="C11" s="970">
        <v>59550774</v>
      </c>
      <c r="D11" s="970"/>
      <c r="E11" s="971">
        <v>59341532</v>
      </c>
    </row>
    <row r="12" spans="1:5" ht="15">
      <c r="A12" s="965">
        <v>7</v>
      </c>
      <c r="B12" s="969" t="s">
        <v>273</v>
      </c>
      <c r="C12" s="970">
        <v>445842</v>
      </c>
      <c r="D12" s="970"/>
      <c r="E12" s="971">
        <v>481777</v>
      </c>
    </row>
    <row r="13" spans="1:5" ht="15">
      <c r="A13" s="965">
        <v>8</v>
      </c>
      <c r="B13" s="969" t="s">
        <v>274</v>
      </c>
      <c r="C13" s="970"/>
      <c r="D13" s="970"/>
      <c r="E13" s="971"/>
    </row>
    <row r="14" spans="1:5" ht="15">
      <c r="A14" s="965">
        <v>9</v>
      </c>
      <c r="B14" s="969" t="s">
        <v>275</v>
      </c>
      <c r="C14" s="970">
        <v>3122233</v>
      </c>
      <c r="D14" s="970"/>
      <c r="E14" s="971">
        <v>1931966</v>
      </c>
    </row>
    <row r="15" spans="1:5" ht="15">
      <c r="A15" s="965">
        <v>10</v>
      </c>
      <c r="B15" s="969" t="s">
        <v>276</v>
      </c>
      <c r="C15" s="970"/>
      <c r="D15" s="970"/>
      <c r="E15" s="971"/>
    </row>
    <row r="16" spans="1:5" ht="15">
      <c r="A16" s="965">
        <v>11</v>
      </c>
      <c r="B16" s="972" t="s">
        <v>277</v>
      </c>
      <c r="C16" s="973">
        <f>SUM(C11:C15)</f>
        <v>63118849</v>
      </c>
      <c r="D16" s="973"/>
      <c r="E16" s="974">
        <f>SUM(E11:E15)</f>
        <v>61755275</v>
      </c>
    </row>
    <row r="17" spans="1:5" ht="15">
      <c r="A17" s="965">
        <v>12</v>
      </c>
      <c r="B17" s="969" t="s">
        <v>278</v>
      </c>
      <c r="C17" s="970">
        <v>8779472</v>
      </c>
      <c r="D17" s="970"/>
      <c r="E17" s="971">
        <v>9661152</v>
      </c>
    </row>
    <row r="18" spans="1:5" ht="15">
      <c r="A18" s="965">
        <v>13</v>
      </c>
      <c r="B18" s="969" t="s">
        <v>279</v>
      </c>
      <c r="C18" s="970"/>
      <c r="D18" s="970"/>
      <c r="E18" s="971"/>
    </row>
    <row r="19" spans="1:5" ht="15">
      <c r="A19" s="965">
        <v>14</v>
      </c>
      <c r="B19" s="969" t="s">
        <v>280</v>
      </c>
      <c r="C19" s="970"/>
      <c r="D19" s="970"/>
      <c r="E19" s="971"/>
    </row>
    <row r="20" spans="1:5" ht="15">
      <c r="A20" s="965">
        <v>15</v>
      </c>
      <c r="B20" s="972" t="s">
        <v>281</v>
      </c>
      <c r="C20" s="973">
        <f>SUM(C17:C19)</f>
        <v>8779472</v>
      </c>
      <c r="D20" s="973"/>
      <c r="E20" s="974">
        <f>SUM(E17:E19)</f>
        <v>9661152</v>
      </c>
    </row>
    <row r="21" spans="1:5" ht="15">
      <c r="A21" s="965">
        <v>16</v>
      </c>
      <c r="B21" s="969" t="s">
        <v>282</v>
      </c>
      <c r="C21" s="970">
        <v>9879540</v>
      </c>
      <c r="D21" s="970"/>
      <c r="E21" s="971">
        <v>11576393</v>
      </c>
    </row>
    <row r="22" spans="1:5" ht="15">
      <c r="A22" s="965">
        <v>17</v>
      </c>
      <c r="B22" s="969" t="s">
        <v>283</v>
      </c>
      <c r="C22" s="970"/>
      <c r="D22" s="970"/>
      <c r="E22" s="971"/>
    </row>
    <row r="23" spans="1:5" ht="15">
      <c r="A23" s="965">
        <v>18</v>
      </c>
      <c r="B23" s="972" t="s">
        <v>284</v>
      </c>
      <c r="C23" s="973">
        <f>SUM(C21:C22)</f>
        <v>9879540</v>
      </c>
      <c r="D23" s="973"/>
      <c r="E23" s="974">
        <f>SUM(E21:E22)</f>
        <v>11576393</v>
      </c>
    </row>
    <row r="24" spans="1:5" ht="15.75" thickBot="1">
      <c r="A24" s="965">
        <v>19</v>
      </c>
      <c r="B24" s="975" t="s">
        <v>285</v>
      </c>
      <c r="C24" s="976">
        <f>SUM(C10,C16,C20,C23)</f>
        <v>81845556</v>
      </c>
      <c r="D24" s="976"/>
      <c r="E24" s="977">
        <f>SUM(E10,E16,E20,E23)</f>
        <v>83501288</v>
      </c>
    </row>
    <row r="25" spans="1:5" ht="15.75" thickTop="1">
      <c r="A25" s="965">
        <v>20</v>
      </c>
      <c r="B25" s="969" t="s">
        <v>286</v>
      </c>
      <c r="C25" s="970">
        <v>48631</v>
      </c>
      <c r="D25" s="970"/>
      <c r="E25" s="971">
        <v>46091</v>
      </c>
    </row>
    <row r="26" spans="1:5" ht="15">
      <c r="A26" s="965">
        <v>21</v>
      </c>
      <c r="B26" s="969" t="s">
        <v>287</v>
      </c>
      <c r="C26" s="970"/>
      <c r="D26" s="970"/>
      <c r="E26" s="971"/>
    </row>
    <row r="27" spans="1:5" ht="15">
      <c r="A27" s="965">
        <v>22</v>
      </c>
      <c r="B27" s="969" t="s">
        <v>288</v>
      </c>
      <c r="C27" s="970"/>
      <c r="D27" s="970"/>
      <c r="E27" s="971"/>
    </row>
    <row r="28" spans="1:5" ht="15">
      <c r="A28" s="965">
        <v>23</v>
      </c>
      <c r="B28" s="969" t="s">
        <v>289</v>
      </c>
      <c r="C28" s="970">
        <v>46147</v>
      </c>
      <c r="D28" s="970"/>
      <c r="E28" s="971">
        <v>41521</v>
      </c>
    </row>
    <row r="29" spans="1:5" ht="15">
      <c r="A29" s="965">
        <v>24</v>
      </c>
      <c r="B29" s="969" t="s">
        <v>290</v>
      </c>
      <c r="C29" s="970"/>
      <c r="D29" s="970"/>
      <c r="E29" s="971"/>
    </row>
    <row r="30" spans="1:5" ht="15">
      <c r="A30" s="965">
        <v>25</v>
      </c>
      <c r="B30" s="972" t="s">
        <v>291</v>
      </c>
      <c r="C30" s="973">
        <f>SUM(C25:C29)</f>
        <v>94778</v>
      </c>
      <c r="D30" s="973"/>
      <c r="E30" s="974">
        <f>SUM(E25:E29)</f>
        <v>87612</v>
      </c>
    </row>
    <row r="31" spans="1:5" ht="15">
      <c r="A31" s="965">
        <v>26</v>
      </c>
      <c r="B31" s="969" t="s">
        <v>292</v>
      </c>
      <c r="C31" s="970"/>
      <c r="D31" s="970"/>
      <c r="E31" s="971"/>
    </row>
    <row r="32" spans="1:5" ht="15">
      <c r="A32" s="965">
        <v>27</v>
      </c>
      <c r="B32" s="969" t="s">
        <v>293</v>
      </c>
      <c r="C32" s="970"/>
      <c r="D32" s="970"/>
      <c r="E32" s="971"/>
    </row>
    <row r="33" spans="1:5" ht="15">
      <c r="A33" s="965">
        <v>28</v>
      </c>
      <c r="B33" s="972" t="s">
        <v>294</v>
      </c>
      <c r="C33" s="973">
        <f>SUM(C31:C32)</f>
        <v>0</v>
      </c>
      <c r="D33" s="973"/>
      <c r="E33" s="974">
        <f>SUM(E31:E32)</f>
        <v>0</v>
      </c>
    </row>
    <row r="34" spans="1:5" ht="15.75" thickBot="1">
      <c r="A34" s="965">
        <v>29</v>
      </c>
      <c r="B34" s="975" t="s">
        <v>1393</v>
      </c>
      <c r="C34" s="976">
        <f>SUM(C30,C33)</f>
        <v>94778</v>
      </c>
      <c r="D34" s="976"/>
      <c r="E34" s="977">
        <f>SUM(E30,E33)</f>
        <v>87612</v>
      </c>
    </row>
    <row r="35" spans="1:5" ht="15.75" thickTop="1">
      <c r="A35" s="965">
        <v>30</v>
      </c>
      <c r="B35" s="969" t="s">
        <v>1394</v>
      </c>
      <c r="C35" s="970"/>
      <c r="D35" s="970"/>
      <c r="E35" s="971"/>
    </row>
    <row r="36" spans="1:5" ht="15">
      <c r="A36" s="965">
        <v>31</v>
      </c>
      <c r="B36" s="969" t="s">
        <v>295</v>
      </c>
      <c r="C36" s="970">
        <v>365</v>
      </c>
      <c r="D36" s="970"/>
      <c r="E36" s="971">
        <v>356</v>
      </c>
    </row>
    <row r="37" spans="1:5" ht="15">
      <c r="A37" s="965">
        <v>32</v>
      </c>
      <c r="B37" s="969" t="s">
        <v>1395</v>
      </c>
      <c r="C37" s="970">
        <v>2015816</v>
      </c>
      <c r="D37" s="970"/>
      <c r="E37" s="971">
        <v>2202826</v>
      </c>
    </row>
    <row r="38" spans="1:5" ht="15">
      <c r="A38" s="965">
        <v>33</v>
      </c>
      <c r="B38" s="969" t="s">
        <v>1396</v>
      </c>
      <c r="C38" s="970">
        <v>35089</v>
      </c>
      <c r="D38" s="970"/>
      <c r="E38" s="971"/>
    </row>
    <row r="39" spans="1:5" ht="15.75" thickBot="1">
      <c r="A39" s="965">
        <v>34</v>
      </c>
      <c r="B39" s="975" t="s">
        <v>1397</v>
      </c>
      <c r="C39" s="976">
        <f>SUM(C35:C38)</f>
        <v>2051270</v>
      </c>
      <c r="D39" s="976"/>
      <c r="E39" s="977">
        <f>SUM(E35:E38)</f>
        <v>2203182</v>
      </c>
    </row>
    <row r="40" spans="1:5" ht="15" customHeight="1" thickTop="1">
      <c r="A40" s="965">
        <v>35</v>
      </c>
      <c r="B40" s="969" t="s">
        <v>296</v>
      </c>
      <c r="C40" s="970"/>
      <c r="D40" s="970"/>
      <c r="E40" s="971"/>
    </row>
    <row r="41" spans="1:5" ht="15" customHeight="1">
      <c r="A41" s="965">
        <v>36</v>
      </c>
      <c r="B41" s="969" t="s">
        <v>297</v>
      </c>
      <c r="C41" s="970"/>
      <c r="D41" s="970"/>
      <c r="E41" s="971"/>
    </row>
    <row r="42" spans="1:5" ht="15">
      <c r="A42" s="965">
        <v>37</v>
      </c>
      <c r="B42" s="969" t="s">
        <v>298</v>
      </c>
      <c r="C42" s="970">
        <v>173657</v>
      </c>
      <c r="D42" s="970"/>
      <c r="E42" s="971">
        <v>202944</v>
      </c>
    </row>
    <row r="43" spans="1:5" ht="15">
      <c r="A43" s="965">
        <v>38</v>
      </c>
      <c r="B43" s="969" t="s">
        <v>299</v>
      </c>
      <c r="C43" s="970">
        <v>123379</v>
      </c>
      <c r="D43" s="970"/>
      <c r="E43" s="971">
        <v>124833</v>
      </c>
    </row>
    <row r="44" spans="1:5" ht="15">
      <c r="A44" s="965">
        <v>39</v>
      </c>
      <c r="B44" s="969" t="s">
        <v>300</v>
      </c>
      <c r="C44" s="970">
        <v>16186</v>
      </c>
      <c r="D44" s="970"/>
      <c r="E44" s="971">
        <v>5856</v>
      </c>
    </row>
    <row r="45" spans="1:5" ht="15">
      <c r="A45" s="965">
        <v>40</v>
      </c>
      <c r="B45" s="969" t="s">
        <v>301</v>
      </c>
      <c r="C45" s="970">
        <v>4360</v>
      </c>
      <c r="D45" s="970"/>
      <c r="E45" s="971">
        <v>4360</v>
      </c>
    </row>
    <row r="46" spans="1:5" ht="15">
      <c r="A46" s="965">
        <v>41</v>
      </c>
      <c r="B46" s="969" t="s">
        <v>302</v>
      </c>
      <c r="C46" s="970">
        <v>6370</v>
      </c>
      <c r="D46" s="970"/>
      <c r="E46" s="971">
        <v>2861</v>
      </c>
    </row>
    <row r="47" spans="1:5" ht="15" customHeight="1">
      <c r="A47" s="965">
        <v>42</v>
      </c>
      <c r="B47" s="969" t="s">
        <v>303</v>
      </c>
      <c r="C47" s="970">
        <v>6370</v>
      </c>
      <c r="D47" s="970"/>
      <c r="E47" s="971">
        <v>2861</v>
      </c>
    </row>
    <row r="48" spans="1:5" ht="15">
      <c r="A48" s="965">
        <v>43</v>
      </c>
      <c r="B48" s="969" t="s">
        <v>304</v>
      </c>
      <c r="C48" s="970"/>
      <c r="D48" s="970"/>
      <c r="E48" s="971"/>
    </row>
    <row r="49" spans="1:5" ht="15">
      <c r="A49" s="965">
        <v>44</v>
      </c>
      <c r="B49" s="972" t="s">
        <v>305</v>
      </c>
      <c r="C49" s="973">
        <f>SUM(C40:C48)-C47</f>
        <v>323952</v>
      </c>
      <c r="D49" s="973"/>
      <c r="E49" s="974">
        <f>SUM(E40:E48)-E47</f>
        <v>340854</v>
      </c>
    </row>
    <row r="50" spans="1:5" ht="15" customHeight="1">
      <c r="A50" s="965">
        <v>45</v>
      </c>
      <c r="B50" s="969" t="s">
        <v>306</v>
      </c>
      <c r="C50" s="970"/>
      <c r="D50" s="970"/>
      <c r="E50" s="971"/>
    </row>
    <row r="51" spans="1:5" ht="15" customHeight="1">
      <c r="A51" s="965">
        <v>46</v>
      </c>
      <c r="B51" s="969" t="s">
        <v>307</v>
      </c>
      <c r="C51" s="970"/>
      <c r="D51" s="970"/>
      <c r="E51" s="971">
        <v>35000</v>
      </c>
    </row>
    <row r="52" spans="1:5" ht="15">
      <c r="A52" s="965">
        <v>47</v>
      </c>
      <c r="B52" s="969" t="s">
        <v>308</v>
      </c>
      <c r="C52" s="970"/>
      <c r="D52" s="970"/>
      <c r="E52" s="971"/>
    </row>
    <row r="53" spans="1:5" ht="15">
      <c r="A53" s="965">
        <v>48</v>
      </c>
      <c r="B53" s="969" t="s">
        <v>309</v>
      </c>
      <c r="C53" s="970">
        <v>107391</v>
      </c>
      <c r="D53" s="970"/>
      <c r="E53" s="971">
        <v>44162</v>
      </c>
    </row>
    <row r="54" spans="1:5" ht="15">
      <c r="A54" s="965">
        <v>49</v>
      </c>
      <c r="B54" s="969" t="s">
        <v>310</v>
      </c>
      <c r="C54" s="970">
        <v>3207</v>
      </c>
      <c r="D54" s="970"/>
      <c r="E54" s="971"/>
    </row>
    <row r="55" spans="1:5" ht="15">
      <c r="A55" s="965">
        <v>50</v>
      </c>
      <c r="B55" s="969" t="s">
        <v>311</v>
      </c>
      <c r="C55" s="970">
        <v>3830</v>
      </c>
      <c r="D55" s="970"/>
      <c r="E55" s="971">
        <v>3830</v>
      </c>
    </row>
    <row r="56" spans="1:5" ht="15">
      <c r="A56" s="965">
        <v>51</v>
      </c>
      <c r="B56" s="969" t="s">
        <v>312</v>
      </c>
      <c r="C56" s="970"/>
      <c r="D56" s="970"/>
      <c r="E56" s="971"/>
    </row>
    <row r="57" spans="1:5" ht="15" customHeight="1">
      <c r="A57" s="965">
        <v>52</v>
      </c>
      <c r="B57" s="969" t="s">
        <v>313</v>
      </c>
      <c r="C57" s="970"/>
      <c r="D57" s="970"/>
      <c r="E57" s="971"/>
    </row>
    <row r="58" spans="1:5" ht="15">
      <c r="A58" s="965">
        <v>53</v>
      </c>
      <c r="B58" s="969" t="s">
        <v>314</v>
      </c>
      <c r="C58" s="970"/>
      <c r="D58" s="970"/>
      <c r="E58" s="971"/>
    </row>
    <row r="59" spans="1:5" ht="15">
      <c r="A59" s="965">
        <v>54</v>
      </c>
      <c r="B59" s="972" t="s">
        <v>315</v>
      </c>
      <c r="C59" s="973">
        <f>SUM(C50:C58)</f>
        <v>114428</v>
      </c>
      <c r="D59" s="973"/>
      <c r="E59" s="974">
        <f>SUM(E50:E58)</f>
        <v>82992</v>
      </c>
    </row>
    <row r="60" spans="1:5" ht="15">
      <c r="A60" s="965">
        <v>55</v>
      </c>
      <c r="B60" s="969" t="s">
        <v>1398</v>
      </c>
      <c r="C60" s="970">
        <f>SUM(C61:C66)</f>
        <v>103222</v>
      </c>
      <c r="D60" s="970"/>
      <c r="E60" s="971">
        <f>SUM(E61:E66)</f>
        <v>14619</v>
      </c>
    </row>
    <row r="61" spans="1:5" ht="15">
      <c r="A61" s="965">
        <v>56</v>
      </c>
      <c r="B61" s="969" t="s">
        <v>316</v>
      </c>
      <c r="C61" s="970"/>
      <c r="D61" s="970"/>
      <c r="E61" s="971"/>
    </row>
    <row r="62" spans="1:5" ht="15">
      <c r="A62" s="965">
        <v>57</v>
      </c>
      <c r="B62" s="969" t="s">
        <v>317</v>
      </c>
      <c r="C62" s="970">
        <v>79162</v>
      </c>
      <c r="D62" s="970"/>
      <c r="E62" s="971">
        <v>2190</v>
      </c>
    </row>
    <row r="63" spans="1:5" ht="15">
      <c r="A63" s="965">
        <v>58</v>
      </c>
      <c r="B63" s="969" t="s">
        <v>318</v>
      </c>
      <c r="C63" s="970"/>
      <c r="D63" s="970"/>
      <c r="E63" s="971"/>
    </row>
    <row r="64" spans="1:5" ht="15">
      <c r="A64" s="965">
        <v>59</v>
      </c>
      <c r="B64" s="969" t="s">
        <v>1399</v>
      </c>
      <c r="C64" s="970">
        <v>18415</v>
      </c>
      <c r="D64" s="970"/>
      <c r="E64" s="971">
        <v>11989</v>
      </c>
    </row>
    <row r="65" spans="1:5" ht="15">
      <c r="A65" s="965">
        <v>60</v>
      </c>
      <c r="B65" s="969" t="s">
        <v>1400</v>
      </c>
      <c r="C65" s="970">
        <v>860</v>
      </c>
      <c r="D65" s="970"/>
      <c r="E65" s="971">
        <v>438</v>
      </c>
    </row>
    <row r="66" spans="1:5" ht="15">
      <c r="A66" s="965">
        <v>61</v>
      </c>
      <c r="B66" s="969" t="s">
        <v>1401</v>
      </c>
      <c r="C66" s="970">
        <v>4785</v>
      </c>
      <c r="D66" s="970"/>
      <c r="E66" s="971">
        <v>2</v>
      </c>
    </row>
    <row r="67" spans="1:5" ht="15">
      <c r="A67" s="965">
        <v>62</v>
      </c>
      <c r="B67" s="969" t="s">
        <v>319</v>
      </c>
      <c r="C67" s="970"/>
      <c r="D67" s="970"/>
      <c r="E67" s="971"/>
    </row>
    <row r="68" spans="1:5" ht="15">
      <c r="A68" s="965">
        <v>63</v>
      </c>
      <c r="B68" s="969" t="s">
        <v>320</v>
      </c>
      <c r="C68" s="970"/>
      <c r="D68" s="970"/>
      <c r="E68" s="971"/>
    </row>
    <row r="69" spans="1:5" ht="15">
      <c r="A69" s="965">
        <v>64</v>
      </c>
      <c r="B69" s="969" t="s">
        <v>321</v>
      </c>
      <c r="C69" s="970">
        <v>4100</v>
      </c>
      <c r="D69" s="970"/>
      <c r="E69" s="971">
        <v>3000</v>
      </c>
    </row>
    <row r="70" spans="1:5" ht="15">
      <c r="A70" s="965">
        <v>65</v>
      </c>
      <c r="B70" s="969" t="s">
        <v>322</v>
      </c>
      <c r="C70" s="970">
        <v>18781</v>
      </c>
      <c r="D70" s="970"/>
      <c r="E70" s="971">
        <v>22349</v>
      </c>
    </row>
    <row r="71" spans="1:5" ht="15" customHeight="1">
      <c r="A71" s="965">
        <v>66</v>
      </c>
      <c r="B71" s="969" t="s">
        <v>323</v>
      </c>
      <c r="C71" s="970"/>
      <c r="D71" s="970"/>
      <c r="E71" s="971"/>
    </row>
    <row r="72" spans="1:5" ht="15" customHeight="1">
      <c r="A72" s="965">
        <v>67</v>
      </c>
      <c r="B72" s="969" t="s">
        <v>324</v>
      </c>
      <c r="C72" s="970">
        <v>240</v>
      </c>
      <c r="D72" s="970"/>
      <c r="E72" s="971"/>
    </row>
    <row r="73" spans="1:5" ht="15">
      <c r="A73" s="965">
        <v>68</v>
      </c>
      <c r="B73" s="969" t="s">
        <v>1402</v>
      </c>
      <c r="C73" s="970"/>
      <c r="D73" s="970"/>
      <c r="E73" s="971"/>
    </row>
    <row r="74" spans="1:5" ht="15">
      <c r="A74" s="965">
        <v>69</v>
      </c>
      <c r="B74" s="969" t="s">
        <v>1403</v>
      </c>
      <c r="C74" s="970"/>
      <c r="D74" s="970"/>
      <c r="E74" s="971"/>
    </row>
    <row r="75" spans="1:5" ht="15">
      <c r="A75" s="965">
        <v>70</v>
      </c>
      <c r="B75" s="972" t="s">
        <v>1404</v>
      </c>
      <c r="C75" s="973">
        <f>SUM(C67:C74,C60)</f>
        <v>126343</v>
      </c>
      <c r="D75" s="973"/>
      <c r="E75" s="974">
        <f>SUM(E67:E74,E60)</f>
        <v>39968</v>
      </c>
    </row>
    <row r="76" spans="1:5" ht="15.75" thickBot="1">
      <c r="A76" s="965">
        <v>71</v>
      </c>
      <c r="B76" s="975" t="s">
        <v>325</v>
      </c>
      <c r="C76" s="976">
        <f>SUM(C49,C59,C75)</f>
        <v>564723</v>
      </c>
      <c r="D76" s="976"/>
      <c r="E76" s="977">
        <f>SUM(E49,E59,E75)</f>
        <v>463814</v>
      </c>
    </row>
    <row r="77" spans="1:5" ht="16.5" thickBot="1" thickTop="1">
      <c r="A77" s="965">
        <v>72</v>
      </c>
      <c r="B77" s="978" t="s">
        <v>326</v>
      </c>
      <c r="C77" s="979">
        <v>58456</v>
      </c>
      <c r="D77" s="979"/>
      <c r="E77" s="980">
        <v>73753</v>
      </c>
    </row>
    <row r="78" spans="1:5" ht="15.75" thickTop="1">
      <c r="A78" s="965">
        <v>73</v>
      </c>
      <c r="B78" s="969" t="s">
        <v>327</v>
      </c>
      <c r="C78" s="970"/>
      <c r="D78" s="970"/>
      <c r="E78" s="971">
        <v>4612</v>
      </c>
    </row>
    <row r="79" spans="1:5" ht="15">
      <c r="A79" s="965">
        <v>74</v>
      </c>
      <c r="B79" s="969" t="s">
        <v>328</v>
      </c>
      <c r="C79" s="970">
        <v>5631</v>
      </c>
      <c r="D79" s="970"/>
      <c r="E79" s="971">
        <v>5982</v>
      </c>
    </row>
    <row r="80" spans="1:5" ht="15">
      <c r="A80" s="965">
        <v>75</v>
      </c>
      <c r="B80" s="969" t="s">
        <v>329</v>
      </c>
      <c r="C80" s="970"/>
      <c r="D80" s="970"/>
      <c r="E80" s="971"/>
    </row>
    <row r="81" spans="1:5" ht="15.75" thickBot="1">
      <c r="A81" s="965">
        <v>76</v>
      </c>
      <c r="B81" s="975" t="s">
        <v>330</v>
      </c>
      <c r="C81" s="976">
        <f>SUM(C78:C80)</f>
        <v>5631</v>
      </c>
      <c r="D81" s="976"/>
      <c r="E81" s="977">
        <f>SUM(E78:E80)</f>
        <v>10594</v>
      </c>
    </row>
    <row r="82" spans="1:5" ht="33" customHeight="1" thickBot="1" thickTop="1">
      <c r="A82" s="965">
        <v>77</v>
      </c>
      <c r="B82" s="981" t="s">
        <v>331</v>
      </c>
      <c r="C82" s="982">
        <f>SUM(C24,C34,C39,C76,C77,C81)</f>
        <v>84620414</v>
      </c>
      <c r="D82" s="982">
        <f>SUM(D24,D34,D39,D76,D77,D81)</f>
        <v>0</v>
      </c>
      <c r="E82" s="983">
        <f>SUM(E24,E34,E39,E76,E77,E81)</f>
        <v>86340243</v>
      </c>
    </row>
    <row r="83" spans="1:5" ht="15">
      <c r="A83" s="965">
        <v>78</v>
      </c>
      <c r="B83" s="1312" t="s">
        <v>332</v>
      </c>
      <c r="C83" s="1313"/>
      <c r="D83" s="1313"/>
      <c r="E83" s="1314"/>
    </row>
    <row r="84" spans="1:5" ht="15">
      <c r="A84" s="965">
        <v>79</v>
      </c>
      <c r="B84" s="969" t="s">
        <v>333</v>
      </c>
      <c r="C84" s="970">
        <v>83997173</v>
      </c>
      <c r="D84" s="970"/>
      <c r="E84" s="971">
        <v>83997173</v>
      </c>
    </row>
    <row r="85" spans="1:5" ht="15">
      <c r="A85" s="965">
        <v>80</v>
      </c>
      <c r="B85" s="969" t="s">
        <v>334</v>
      </c>
      <c r="C85" s="970">
        <v>4675722</v>
      </c>
      <c r="D85" s="970"/>
      <c r="E85" s="971">
        <v>4679290</v>
      </c>
    </row>
    <row r="86" spans="1:5" ht="15">
      <c r="A86" s="965">
        <v>81</v>
      </c>
      <c r="B86" s="969" t="s">
        <v>335</v>
      </c>
      <c r="C86" s="970">
        <v>988187</v>
      </c>
      <c r="D86" s="970"/>
      <c r="E86" s="971">
        <v>988187</v>
      </c>
    </row>
    <row r="87" spans="1:5" ht="15">
      <c r="A87" s="965">
        <v>82</v>
      </c>
      <c r="B87" s="969" t="s">
        <v>336</v>
      </c>
      <c r="C87" s="970">
        <v>-15225220</v>
      </c>
      <c r="D87" s="970"/>
      <c r="E87" s="971">
        <v>-7160938</v>
      </c>
    </row>
    <row r="88" spans="1:5" ht="15">
      <c r="A88" s="965">
        <v>83</v>
      </c>
      <c r="B88" s="969" t="s">
        <v>337</v>
      </c>
      <c r="C88" s="970"/>
      <c r="D88" s="970"/>
      <c r="E88" s="971"/>
    </row>
    <row r="89" spans="1:5" ht="15">
      <c r="A89" s="965">
        <v>84</v>
      </c>
      <c r="B89" s="969" t="s">
        <v>338</v>
      </c>
      <c r="C89" s="970">
        <v>8064281</v>
      </c>
      <c r="D89" s="970">
        <v>-356471</v>
      </c>
      <c r="E89" s="971">
        <v>-805034</v>
      </c>
    </row>
    <row r="90" spans="1:5" ht="15.75" thickBot="1">
      <c r="A90" s="965">
        <v>85</v>
      </c>
      <c r="B90" s="975" t="s">
        <v>339</v>
      </c>
      <c r="C90" s="976">
        <f>SUM(C83:C89)</f>
        <v>82500143</v>
      </c>
      <c r="D90" s="976">
        <f>SUM(D83:D89)</f>
        <v>-356471</v>
      </c>
      <c r="E90" s="977">
        <f>SUM(E83:E89)</f>
        <v>81698678</v>
      </c>
    </row>
    <row r="91" spans="1:5" ht="15.75" thickTop="1">
      <c r="A91" s="965">
        <v>86</v>
      </c>
      <c r="B91" s="969" t="s">
        <v>340</v>
      </c>
      <c r="C91" s="970"/>
      <c r="D91" s="970"/>
      <c r="E91" s="971"/>
    </row>
    <row r="92" spans="1:5" ht="15">
      <c r="A92" s="965">
        <v>87</v>
      </c>
      <c r="B92" s="969" t="s">
        <v>341</v>
      </c>
      <c r="C92" s="970"/>
      <c r="D92" s="970"/>
      <c r="E92" s="971">
        <v>971</v>
      </c>
    </row>
    <row r="93" spans="1:5" ht="15">
      <c r="A93" s="965">
        <v>88</v>
      </c>
      <c r="B93" s="969" t="s">
        <v>342</v>
      </c>
      <c r="C93" s="970">
        <v>98343</v>
      </c>
      <c r="D93" s="970"/>
      <c r="E93" s="971">
        <v>54845</v>
      </c>
    </row>
    <row r="94" spans="1:5" ht="15">
      <c r="A94" s="965">
        <v>89</v>
      </c>
      <c r="B94" s="969" t="s">
        <v>343</v>
      </c>
      <c r="C94" s="970">
        <v>258</v>
      </c>
      <c r="D94" s="970"/>
      <c r="E94" s="971">
        <v>1269</v>
      </c>
    </row>
    <row r="95" spans="1:5" ht="15">
      <c r="A95" s="965">
        <v>90</v>
      </c>
      <c r="B95" s="969" t="s">
        <v>344</v>
      </c>
      <c r="C95" s="970">
        <v>253</v>
      </c>
      <c r="D95" s="970"/>
      <c r="E95" s="971"/>
    </row>
    <row r="96" spans="1:5" ht="15">
      <c r="A96" s="965">
        <v>91</v>
      </c>
      <c r="B96" s="969" t="s">
        <v>345</v>
      </c>
      <c r="C96" s="970">
        <v>577061</v>
      </c>
      <c r="D96" s="970"/>
      <c r="E96" s="971">
        <v>8317</v>
      </c>
    </row>
    <row r="97" spans="1:5" ht="15">
      <c r="A97" s="965">
        <v>92</v>
      </c>
      <c r="B97" s="969" t="s">
        <v>346</v>
      </c>
      <c r="C97" s="970">
        <v>35574</v>
      </c>
      <c r="D97" s="970"/>
      <c r="E97" s="971">
        <v>780</v>
      </c>
    </row>
    <row r="98" spans="1:5" ht="15">
      <c r="A98" s="965">
        <v>93</v>
      </c>
      <c r="B98" s="969" t="s">
        <v>347</v>
      </c>
      <c r="C98" s="970"/>
      <c r="D98" s="970"/>
      <c r="E98" s="971"/>
    </row>
    <row r="99" spans="1:5" ht="15">
      <c r="A99" s="965">
        <v>94</v>
      </c>
      <c r="B99" s="969" t="s">
        <v>348</v>
      </c>
      <c r="C99" s="970">
        <v>84682</v>
      </c>
      <c r="D99" s="970"/>
      <c r="E99" s="971"/>
    </row>
    <row r="100" spans="1:5" ht="15">
      <c r="A100" s="965">
        <v>95</v>
      </c>
      <c r="B100" s="969" t="s">
        <v>1405</v>
      </c>
      <c r="C100" s="970"/>
      <c r="D100" s="970"/>
      <c r="E100" s="971"/>
    </row>
    <row r="101" spans="1:5" ht="15">
      <c r="A101" s="965">
        <v>96</v>
      </c>
      <c r="B101" s="972" t="s">
        <v>349</v>
      </c>
      <c r="C101" s="973">
        <f>SUM(C91:C100)</f>
        <v>796171</v>
      </c>
      <c r="D101" s="973"/>
      <c r="E101" s="974">
        <f>SUM(E91:E100)</f>
        <v>66182</v>
      </c>
    </row>
    <row r="102" spans="1:5" ht="15">
      <c r="A102" s="965">
        <v>97</v>
      </c>
      <c r="B102" s="969" t="s">
        <v>350</v>
      </c>
      <c r="C102" s="970"/>
      <c r="D102" s="970"/>
      <c r="E102" s="971"/>
    </row>
    <row r="103" spans="1:5" ht="15" customHeight="1">
      <c r="A103" s="965">
        <v>98</v>
      </c>
      <c r="B103" s="969" t="s">
        <v>351</v>
      </c>
      <c r="C103" s="970">
        <v>7033</v>
      </c>
      <c r="D103" s="970"/>
      <c r="E103" s="971">
        <v>6439</v>
      </c>
    </row>
    <row r="104" spans="1:5" ht="15" customHeight="1">
      <c r="A104" s="965">
        <v>99</v>
      </c>
      <c r="B104" s="969" t="s">
        <v>352</v>
      </c>
      <c r="C104" s="970">
        <v>80053</v>
      </c>
      <c r="D104" s="970"/>
      <c r="E104" s="971">
        <v>137458</v>
      </c>
    </row>
    <row r="105" spans="1:5" ht="15" customHeight="1">
      <c r="A105" s="965">
        <v>100</v>
      </c>
      <c r="B105" s="969" t="s">
        <v>353</v>
      </c>
      <c r="C105" s="970"/>
      <c r="D105" s="970"/>
      <c r="E105" s="971"/>
    </row>
    <row r="106" spans="1:5" ht="15" customHeight="1">
      <c r="A106" s="965">
        <v>101</v>
      </c>
      <c r="B106" s="969" t="s">
        <v>354</v>
      </c>
      <c r="C106" s="970"/>
      <c r="D106" s="970"/>
      <c r="E106" s="971"/>
    </row>
    <row r="107" spans="1:5" ht="15" customHeight="1">
      <c r="A107" s="965">
        <v>102</v>
      </c>
      <c r="B107" s="969" t="s">
        <v>355</v>
      </c>
      <c r="C107" s="970">
        <v>1585</v>
      </c>
      <c r="D107" s="970"/>
      <c r="E107" s="971"/>
    </row>
    <row r="108" spans="1:5" ht="15" customHeight="1">
      <c r="A108" s="965">
        <v>103</v>
      </c>
      <c r="B108" s="969" t="s">
        <v>356</v>
      </c>
      <c r="C108" s="970"/>
      <c r="D108" s="970"/>
      <c r="E108" s="971"/>
    </row>
    <row r="109" spans="1:5" ht="15" customHeight="1">
      <c r="A109" s="965">
        <v>104</v>
      </c>
      <c r="B109" s="969" t="s">
        <v>357</v>
      </c>
      <c r="C109" s="970">
        <v>43605</v>
      </c>
      <c r="D109" s="970"/>
      <c r="E109" s="971">
        <v>43605</v>
      </c>
    </row>
    <row r="110" spans="1:5" ht="15">
      <c r="A110" s="965">
        <v>105</v>
      </c>
      <c r="B110" s="969" t="s">
        <v>358</v>
      </c>
      <c r="C110" s="970">
        <v>320547</v>
      </c>
      <c r="D110" s="970"/>
      <c r="E110" s="971">
        <v>869701</v>
      </c>
    </row>
    <row r="111" spans="1:5" ht="15">
      <c r="A111" s="965">
        <v>106</v>
      </c>
      <c r="B111" s="969" t="s">
        <v>1429</v>
      </c>
      <c r="C111" s="970">
        <v>320547</v>
      </c>
      <c r="D111" s="970"/>
      <c r="E111" s="971">
        <v>784392</v>
      </c>
    </row>
    <row r="112" spans="1:5" ht="15">
      <c r="A112" s="965">
        <v>107</v>
      </c>
      <c r="B112" s="972" t="s">
        <v>359</v>
      </c>
      <c r="C112" s="973">
        <f>SUM(C102:C111)-C111</f>
        <v>452823</v>
      </c>
      <c r="D112" s="973"/>
      <c r="E112" s="974">
        <f>SUM(E102:E111)-E111</f>
        <v>1057203</v>
      </c>
    </row>
    <row r="113" spans="1:5" ht="15">
      <c r="A113" s="965">
        <v>108</v>
      </c>
      <c r="B113" s="969" t="s">
        <v>360</v>
      </c>
      <c r="C113" s="970">
        <v>242518</v>
      </c>
      <c r="D113" s="970"/>
      <c r="E113" s="971">
        <v>310570</v>
      </c>
    </row>
    <row r="114" spans="1:5" ht="15">
      <c r="A114" s="965">
        <v>109</v>
      </c>
      <c r="B114" s="969" t="s">
        <v>361</v>
      </c>
      <c r="C114" s="970"/>
      <c r="D114" s="970"/>
      <c r="E114" s="971"/>
    </row>
    <row r="115" spans="1:5" ht="15">
      <c r="A115" s="965">
        <v>110</v>
      </c>
      <c r="B115" s="969" t="s">
        <v>362</v>
      </c>
      <c r="C115" s="970">
        <v>48</v>
      </c>
      <c r="D115" s="970"/>
      <c r="E115" s="971">
        <v>74</v>
      </c>
    </row>
    <row r="116" spans="1:5" ht="15">
      <c r="A116" s="965">
        <v>111</v>
      </c>
      <c r="B116" s="969" t="s">
        <v>363</v>
      </c>
      <c r="C116" s="970"/>
      <c r="D116" s="970"/>
      <c r="E116" s="971"/>
    </row>
    <row r="117" spans="1:5" ht="15" customHeight="1">
      <c r="A117" s="965">
        <v>112</v>
      </c>
      <c r="B117" s="969" t="s">
        <v>364</v>
      </c>
      <c r="C117" s="970"/>
      <c r="D117" s="970"/>
      <c r="E117" s="971"/>
    </row>
    <row r="118" spans="1:5" ht="15" customHeight="1">
      <c r="A118" s="965">
        <v>113</v>
      </c>
      <c r="B118" s="969" t="s">
        <v>365</v>
      </c>
      <c r="C118" s="970"/>
      <c r="D118" s="970"/>
      <c r="E118" s="971"/>
    </row>
    <row r="119" spans="1:5" ht="15">
      <c r="A119" s="965">
        <v>114</v>
      </c>
      <c r="B119" s="969" t="s">
        <v>366</v>
      </c>
      <c r="C119" s="970"/>
      <c r="D119" s="970"/>
      <c r="E119" s="971"/>
    </row>
    <row r="120" spans="1:5" ht="15">
      <c r="A120" s="965">
        <v>115</v>
      </c>
      <c r="B120" s="969" t="s">
        <v>1406</v>
      </c>
      <c r="C120" s="970">
        <v>10576</v>
      </c>
      <c r="D120" s="970"/>
      <c r="E120" s="971">
        <v>13565</v>
      </c>
    </row>
    <row r="121" spans="1:5" ht="15">
      <c r="A121" s="965">
        <v>116</v>
      </c>
      <c r="B121" s="969" t="s">
        <v>1407</v>
      </c>
      <c r="C121" s="970"/>
      <c r="D121" s="970"/>
      <c r="E121" s="971"/>
    </row>
    <row r="122" spans="1:5" ht="15">
      <c r="A122" s="965">
        <v>117</v>
      </c>
      <c r="B122" s="969" t="s">
        <v>1408</v>
      </c>
      <c r="C122" s="970"/>
      <c r="D122" s="970"/>
      <c r="E122" s="971"/>
    </row>
    <row r="123" spans="1:5" ht="15">
      <c r="A123" s="965">
        <v>118</v>
      </c>
      <c r="B123" s="972" t="s">
        <v>1409</v>
      </c>
      <c r="C123" s="973">
        <f>SUM(C113:C122)</f>
        <v>253142</v>
      </c>
      <c r="D123" s="973"/>
      <c r="E123" s="974">
        <f>SUM(E113:E122)</f>
        <v>324209</v>
      </c>
    </row>
    <row r="124" spans="1:5" ht="15.75" thickBot="1">
      <c r="A124" s="965">
        <v>119</v>
      </c>
      <c r="B124" s="975" t="s">
        <v>861</v>
      </c>
      <c r="C124" s="976">
        <f>SUM(C101,C112,C123)</f>
        <v>1502136</v>
      </c>
      <c r="D124" s="976"/>
      <c r="E124" s="977">
        <f>SUM(E101,E112,E123)</f>
        <v>1447594</v>
      </c>
    </row>
    <row r="125" spans="1:5" ht="16.5" thickBot="1" thickTop="1">
      <c r="A125" s="965">
        <v>120</v>
      </c>
      <c r="B125" s="984" t="s">
        <v>862</v>
      </c>
      <c r="C125" s="985"/>
      <c r="D125" s="985"/>
      <c r="E125" s="986"/>
    </row>
    <row r="126" spans="1:5" ht="16.5" thickBot="1" thickTop="1">
      <c r="A126" s="965">
        <v>121</v>
      </c>
      <c r="B126" s="984" t="s">
        <v>863</v>
      </c>
      <c r="C126" s="985"/>
      <c r="D126" s="985"/>
      <c r="E126" s="986"/>
    </row>
    <row r="127" spans="1:5" ht="15.75" thickTop="1">
      <c r="A127" s="965">
        <v>122</v>
      </c>
      <c r="B127" s="969" t="s">
        <v>864</v>
      </c>
      <c r="C127" s="970"/>
      <c r="D127" s="970"/>
      <c r="E127" s="971">
        <v>115</v>
      </c>
    </row>
    <row r="128" spans="1:5" ht="15">
      <c r="A128" s="965">
        <v>123</v>
      </c>
      <c r="B128" s="969" t="s">
        <v>865</v>
      </c>
      <c r="C128" s="970">
        <v>403468</v>
      </c>
      <c r="D128" s="970"/>
      <c r="E128" s="971">
        <v>428830</v>
      </c>
    </row>
    <row r="129" spans="1:5" ht="15">
      <c r="A129" s="965">
        <v>124</v>
      </c>
      <c r="B129" s="969" t="s">
        <v>866</v>
      </c>
      <c r="C129" s="970">
        <v>214667</v>
      </c>
      <c r="D129" s="970">
        <v>356471</v>
      </c>
      <c r="E129" s="971">
        <v>2765026</v>
      </c>
    </row>
    <row r="130" spans="1:5" ht="15.75" thickBot="1">
      <c r="A130" s="965">
        <v>125</v>
      </c>
      <c r="B130" s="975" t="s">
        <v>867</v>
      </c>
      <c r="C130" s="976">
        <f>SUM(C127:C129)</f>
        <v>618135</v>
      </c>
      <c r="D130" s="976">
        <f>SUM(D127:D129)</f>
        <v>356471</v>
      </c>
      <c r="E130" s="977">
        <f>SUM(E127:E129)</f>
        <v>3193971</v>
      </c>
    </row>
    <row r="131" spans="1:5" ht="33" customHeight="1" thickBot="1" thickTop="1">
      <c r="A131" s="965">
        <v>126</v>
      </c>
      <c r="B131" s="981" t="s">
        <v>868</v>
      </c>
      <c r="C131" s="982">
        <f>SUM(C90,C124,C125,C126,C130)</f>
        <v>84620414</v>
      </c>
      <c r="D131" s="982">
        <f>SUM(D90,D124,D125,D126,D130)</f>
        <v>0</v>
      </c>
      <c r="E131" s="983">
        <f>SUM(E90,E124,E125,E126,E130)</f>
        <v>86340243</v>
      </c>
    </row>
    <row r="132" spans="3:5" ht="15">
      <c r="C132" s="113">
        <f>+C131-C82</f>
        <v>0</v>
      </c>
      <c r="D132" s="113">
        <f>+D131-D82</f>
        <v>0</v>
      </c>
      <c r="E132" s="113">
        <f>+E131-E82</f>
        <v>0</v>
      </c>
    </row>
  </sheetData>
  <sheetProtection/>
  <mergeCells count="1">
    <mergeCell ref="B2:E2"/>
  </mergeCells>
  <printOptions horizontalCentered="1"/>
  <pageMargins left="0.1968503937007874" right="0.1968503937007874" top="0.5905511811023623" bottom="0.5905511811023623" header="0.5118110236220472" footer="0.5118110236220472"/>
  <pageSetup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dimension ref="A1:H143"/>
  <sheetViews>
    <sheetView view="pageBreakPreview" zoomScaleSheetLayoutView="100" zoomScalePageLayoutView="0" workbookViewId="0" topLeftCell="A1">
      <selection activeCell="B1" sqref="B1:C1"/>
    </sheetView>
  </sheetViews>
  <sheetFormatPr defaultColWidth="9.00390625" defaultRowHeight="12.75"/>
  <cols>
    <col min="1" max="1" width="2.75390625" style="871" bestFit="1" customWidth="1"/>
    <col min="2" max="2" width="52.25390625" style="1013" customWidth="1"/>
    <col min="3" max="3" width="15.625" style="1009" customWidth="1"/>
    <col min="4" max="6" width="15.75390625" style="1009" customWidth="1"/>
    <col min="7" max="7" width="16.75390625" style="1009" customWidth="1"/>
    <col min="8" max="8" width="15.375" style="1009" bestFit="1" customWidth="1"/>
    <col min="9" max="16384" width="9.125" style="1010" customWidth="1"/>
  </cols>
  <sheetData>
    <row r="1" spans="1:8" s="991" customFormat="1" ht="21.75" customHeight="1">
      <c r="A1" s="988"/>
      <c r="B1" s="1606" t="s">
        <v>1645</v>
      </c>
      <c r="C1" s="1606"/>
      <c r="D1" s="989"/>
      <c r="E1" s="989"/>
      <c r="F1" s="989"/>
      <c r="G1" s="989"/>
      <c r="H1" s="990"/>
    </row>
    <row r="2" spans="1:8" s="991" customFormat="1" ht="21.75" customHeight="1">
      <c r="A2" s="988"/>
      <c r="B2" s="1604" t="s">
        <v>431</v>
      </c>
      <c r="C2" s="1604"/>
      <c r="D2" s="1604"/>
      <c r="E2" s="1604"/>
      <c r="F2" s="1604"/>
      <c r="G2" s="1604"/>
      <c r="H2" s="1604"/>
    </row>
    <row r="3" spans="1:8" s="991" customFormat="1" ht="21.75" customHeight="1">
      <c r="A3" s="988"/>
      <c r="B3" s="1604" t="s">
        <v>892</v>
      </c>
      <c r="C3" s="1604"/>
      <c r="D3" s="1604"/>
      <c r="E3" s="1604"/>
      <c r="F3" s="1604"/>
      <c r="G3" s="1604"/>
      <c r="H3" s="1604"/>
    </row>
    <row r="4" spans="1:8" s="865" customFormat="1" ht="14.25">
      <c r="A4" s="871"/>
      <c r="B4" s="992"/>
      <c r="C4" s="549"/>
      <c r="D4" s="549"/>
      <c r="E4" s="549"/>
      <c r="F4" s="549"/>
      <c r="G4" s="549"/>
      <c r="H4" s="993" t="s">
        <v>496</v>
      </c>
    </row>
    <row r="5" spans="2:8" s="871" customFormat="1" ht="15" thickBot="1">
      <c r="B5" s="232" t="s">
        <v>504</v>
      </c>
      <c r="C5" s="548" t="s">
        <v>505</v>
      </c>
      <c r="D5" s="548" t="s">
        <v>506</v>
      </c>
      <c r="E5" s="548" t="s">
        <v>507</v>
      </c>
      <c r="F5" s="548" t="s">
        <v>508</v>
      </c>
      <c r="G5" s="548" t="s">
        <v>509</v>
      </c>
      <c r="H5" s="994" t="s">
        <v>510</v>
      </c>
    </row>
    <row r="6" spans="2:8" s="871" customFormat="1" ht="105.75" thickBot="1">
      <c r="B6" s="995" t="s">
        <v>869</v>
      </c>
      <c r="C6" s="996" t="s">
        <v>870</v>
      </c>
      <c r="D6" s="997" t="s">
        <v>871</v>
      </c>
      <c r="E6" s="996" t="s">
        <v>872</v>
      </c>
      <c r="F6" s="996" t="s">
        <v>873</v>
      </c>
      <c r="G6" s="996" t="s">
        <v>874</v>
      </c>
      <c r="H6" s="996" t="s">
        <v>875</v>
      </c>
    </row>
    <row r="7" spans="1:8" s="1001" customFormat="1" ht="21.75" customHeight="1">
      <c r="A7" s="988">
        <v>1</v>
      </c>
      <c r="B7" s="998" t="s">
        <v>225</v>
      </c>
      <c r="C7" s="999">
        <v>-754057</v>
      </c>
      <c r="D7" s="999">
        <v>760139</v>
      </c>
      <c r="E7" s="999">
        <f>C7+D7</f>
        <v>6082</v>
      </c>
      <c r="F7" s="999">
        <v>3619</v>
      </c>
      <c r="G7" s="999"/>
      <c r="H7" s="1000">
        <f aca="true" t="shared" si="0" ref="H7:H22">E7-F7</f>
        <v>2463</v>
      </c>
    </row>
    <row r="8" spans="1:8" s="1001" customFormat="1" ht="21.75" customHeight="1">
      <c r="A8" s="988">
        <v>2</v>
      </c>
      <c r="B8" s="998" t="s">
        <v>1327</v>
      </c>
      <c r="C8" s="999">
        <v>-164229</v>
      </c>
      <c r="D8" s="999">
        <v>175705</v>
      </c>
      <c r="E8" s="999">
        <f aca="true" t="shared" si="1" ref="E8:E23">C8+D8</f>
        <v>11476</v>
      </c>
      <c r="F8" s="999"/>
      <c r="G8" s="999"/>
      <c r="H8" s="1000">
        <f t="shared" si="0"/>
        <v>11476</v>
      </c>
    </row>
    <row r="9" spans="1:8" s="1001" customFormat="1" ht="21.75" customHeight="1">
      <c r="A9" s="988">
        <v>3</v>
      </c>
      <c r="B9" s="998" t="s">
        <v>1224</v>
      </c>
      <c r="C9" s="999">
        <v>-282095</v>
      </c>
      <c r="D9" s="999">
        <v>288950</v>
      </c>
      <c r="E9" s="999">
        <f t="shared" si="1"/>
        <v>6855</v>
      </c>
      <c r="F9" s="999"/>
      <c r="G9" s="999"/>
      <c r="H9" s="1000">
        <f t="shared" si="0"/>
        <v>6855</v>
      </c>
    </row>
    <row r="10" spans="1:8" s="1001" customFormat="1" ht="21.75" customHeight="1">
      <c r="A10" s="988">
        <v>4</v>
      </c>
      <c r="B10" s="998" t="s">
        <v>1225</v>
      </c>
      <c r="C10" s="999">
        <v>-319143</v>
      </c>
      <c r="D10" s="999">
        <v>333484</v>
      </c>
      <c r="E10" s="999">
        <f t="shared" si="1"/>
        <v>14341</v>
      </c>
      <c r="F10" s="999"/>
      <c r="G10" s="999"/>
      <c r="H10" s="1000">
        <f t="shared" si="0"/>
        <v>14341</v>
      </c>
    </row>
    <row r="11" spans="1:8" s="1001" customFormat="1" ht="21.75" customHeight="1">
      <c r="A11" s="988">
        <v>5</v>
      </c>
      <c r="B11" s="1002" t="s">
        <v>1226</v>
      </c>
      <c r="C11" s="999">
        <v>-226333</v>
      </c>
      <c r="D11" s="999">
        <v>253583</v>
      </c>
      <c r="E11" s="999">
        <f t="shared" si="1"/>
        <v>27250</v>
      </c>
      <c r="F11" s="999"/>
      <c r="G11" s="999"/>
      <c r="H11" s="1000">
        <f t="shared" si="0"/>
        <v>27250</v>
      </c>
    </row>
    <row r="12" spans="1:8" s="1001" customFormat="1" ht="21.75" customHeight="1">
      <c r="A12" s="988">
        <v>6</v>
      </c>
      <c r="B12" s="998" t="s">
        <v>1227</v>
      </c>
      <c r="C12" s="999">
        <v>-270882</v>
      </c>
      <c r="D12" s="999">
        <v>289793</v>
      </c>
      <c r="E12" s="999">
        <f t="shared" si="1"/>
        <v>18911</v>
      </c>
      <c r="F12" s="999"/>
      <c r="G12" s="999"/>
      <c r="H12" s="1000">
        <f t="shared" si="0"/>
        <v>18911</v>
      </c>
    </row>
    <row r="13" spans="1:8" s="1001" customFormat="1" ht="21.75" customHeight="1">
      <c r="A13" s="988">
        <v>7</v>
      </c>
      <c r="B13" s="1002" t="s">
        <v>1228</v>
      </c>
      <c r="C13" s="999">
        <v>-114597</v>
      </c>
      <c r="D13" s="999">
        <v>131879</v>
      </c>
      <c r="E13" s="999">
        <f t="shared" si="1"/>
        <v>17282</v>
      </c>
      <c r="F13" s="999"/>
      <c r="G13" s="999"/>
      <c r="H13" s="1000">
        <f t="shared" si="0"/>
        <v>17282</v>
      </c>
    </row>
    <row r="14" spans="1:8" s="1001" customFormat="1" ht="21.75" customHeight="1">
      <c r="A14" s="988">
        <v>8</v>
      </c>
      <c r="B14" s="1002" t="s">
        <v>803</v>
      </c>
      <c r="C14" s="999">
        <v>-160214</v>
      </c>
      <c r="D14" s="999">
        <v>188980</v>
      </c>
      <c r="E14" s="999">
        <f t="shared" si="1"/>
        <v>28766</v>
      </c>
      <c r="F14" s="999">
        <v>1845</v>
      </c>
      <c r="G14" s="999"/>
      <c r="H14" s="1000">
        <f t="shared" si="0"/>
        <v>26921</v>
      </c>
    </row>
    <row r="15" spans="1:8" s="1001" customFormat="1" ht="21.75" customHeight="1">
      <c r="A15" s="988">
        <v>9</v>
      </c>
      <c r="B15" s="1002" t="s">
        <v>804</v>
      </c>
      <c r="C15" s="999">
        <v>-412829</v>
      </c>
      <c r="D15" s="999">
        <v>436006</v>
      </c>
      <c r="E15" s="999">
        <f t="shared" si="1"/>
        <v>23177</v>
      </c>
      <c r="F15" s="999"/>
      <c r="G15" s="999"/>
      <c r="H15" s="1000">
        <f t="shared" si="0"/>
        <v>23177</v>
      </c>
    </row>
    <row r="16" spans="1:8" s="1001" customFormat="1" ht="21.75" customHeight="1">
      <c r="A16" s="988">
        <v>10</v>
      </c>
      <c r="B16" s="1002" t="s">
        <v>811</v>
      </c>
      <c r="C16" s="999">
        <v>-58789</v>
      </c>
      <c r="D16" s="999">
        <v>68220</v>
      </c>
      <c r="E16" s="999">
        <f t="shared" si="1"/>
        <v>9431</v>
      </c>
      <c r="F16" s="999">
        <v>35</v>
      </c>
      <c r="G16" s="999"/>
      <c r="H16" s="1000">
        <f t="shared" si="0"/>
        <v>9396</v>
      </c>
    </row>
    <row r="17" spans="1:8" s="1001" customFormat="1" ht="21.75" customHeight="1">
      <c r="A17" s="988">
        <v>11</v>
      </c>
      <c r="B17" s="998" t="s">
        <v>876</v>
      </c>
      <c r="C17" s="999">
        <v>-204895</v>
      </c>
      <c r="D17" s="999">
        <v>230596</v>
      </c>
      <c r="E17" s="999">
        <f t="shared" si="1"/>
        <v>25701</v>
      </c>
      <c r="F17" s="999">
        <v>1759</v>
      </c>
      <c r="G17" s="999"/>
      <c r="H17" s="1000">
        <f t="shared" si="0"/>
        <v>23942</v>
      </c>
    </row>
    <row r="18" spans="1:8" s="1001" customFormat="1" ht="21.75" customHeight="1">
      <c r="A18" s="988">
        <v>12</v>
      </c>
      <c r="B18" s="998" t="s">
        <v>541</v>
      </c>
      <c r="C18" s="999">
        <v>-74636</v>
      </c>
      <c r="D18" s="999">
        <v>89371</v>
      </c>
      <c r="E18" s="999">
        <f t="shared" si="1"/>
        <v>14735</v>
      </c>
      <c r="F18" s="999">
        <v>316</v>
      </c>
      <c r="G18" s="999"/>
      <c r="H18" s="1000">
        <f t="shared" si="0"/>
        <v>14419</v>
      </c>
    </row>
    <row r="19" spans="1:8" s="1001" customFormat="1" ht="21.75" customHeight="1">
      <c r="A19" s="988">
        <v>13</v>
      </c>
      <c r="B19" s="998" t="s">
        <v>809</v>
      </c>
      <c r="C19" s="999">
        <v>-346485</v>
      </c>
      <c r="D19" s="999">
        <v>363062</v>
      </c>
      <c r="E19" s="999">
        <f t="shared" si="1"/>
        <v>16577</v>
      </c>
      <c r="F19" s="999"/>
      <c r="G19" s="999"/>
      <c r="H19" s="1000">
        <f t="shared" si="0"/>
        <v>16577</v>
      </c>
    </row>
    <row r="20" spans="1:8" s="1001" customFormat="1" ht="21.75" customHeight="1">
      <c r="A20" s="988">
        <v>14</v>
      </c>
      <c r="B20" s="998" t="s">
        <v>810</v>
      </c>
      <c r="C20" s="999">
        <v>-64705</v>
      </c>
      <c r="D20" s="999">
        <v>162352</v>
      </c>
      <c r="E20" s="999">
        <f t="shared" si="1"/>
        <v>97647</v>
      </c>
      <c r="F20" s="999">
        <v>1685</v>
      </c>
      <c r="G20" s="999"/>
      <c r="H20" s="1000">
        <f t="shared" si="0"/>
        <v>95962</v>
      </c>
    </row>
    <row r="21" spans="1:8" s="1001" customFormat="1" ht="21.75" customHeight="1">
      <c r="A21" s="988">
        <v>15</v>
      </c>
      <c r="B21" s="998" t="s">
        <v>877</v>
      </c>
      <c r="C21" s="999">
        <v>-66089</v>
      </c>
      <c r="D21" s="999">
        <v>70057</v>
      </c>
      <c r="E21" s="999">
        <f t="shared" si="1"/>
        <v>3968</v>
      </c>
      <c r="F21" s="999">
        <v>1011</v>
      </c>
      <c r="G21" s="999"/>
      <c r="H21" s="1000">
        <f t="shared" si="0"/>
        <v>2957</v>
      </c>
    </row>
    <row r="22" spans="1:8" s="1001" customFormat="1" ht="21.75" customHeight="1">
      <c r="A22" s="988">
        <v>16</v>
      </c>
      <c r="B22" s="1002" t="s">
        <v>562</v>
      </c>
      <c r="C22" s="999">
        <v>-375161</v>
      </c>
      <c r="D22" s="999">
        <v>419704</v>
      </c>
      <c r="E22" s="999">
        <f t="shared" si="1"/>
        <v>44543</v>
      </c>
      <c r="F22" s="999">
        <v>40653</v>
      </c>
      <c r="G22" s="999"/>
      <c r="H22" s="1000">
        <f t="shared" si="0"/>
        <v>3890</v>
      </c>
    </row>
    <row r="23" spans="1:8" s="1001" customFormat="1" ht="21.75" customHeight="1" thickBot="1">
      <c r="A23" s="988">
        <v>17</v>
      </c>
      <c r="B23" s="1002" t="s">
        <v>558</v>
      </c>
      <c r="C23" s="1003">
        <v>-1309825</v>
      </c>
      <c r="D23" s="1003">
        <v>1504316</v>
      </c>
      <c r="E23" s="999">
        <f t="shared" si="1"/>
        <v>194491</v>
      </c>
      <c r="F23" s="999">
        <v>78284</v>
      </c>
      <c r="G23" s="1003"/>
      <c r="H23" s="1000">
        <f>E23-F23</f>
        <v>116207</v>
      </c>
    </row>
    <row r="24" spans="1:8" s="1007" customFormat="1" ht="24.75" customHeight="1" thickBot="1">
      <c r="A24" s="988">
        <v>18</v>
      </c>
      <c r="B24" s="1004" t="s">
        <v>878</v>
      </c>
      <c r="C24" s="1005">
        <f aca="true" t="shared" si="2" ref="C24:H24">SUM(C7:C23)</f>
        <v>-5204964</v>
      </c>
      <c r="D24" s="1005">
        <f t="shared" si="2"/>
        <v>5766197</v>
      </c>
      <c r="E24" s="1005">
        <f t="shared" si="2"/>
        <v>561233</v>
      </c>
      <c r="F24" s="1005">
        <f>SUM(F7:F23)</f>
        <v>129207</v>
      </c>
      <c r="G24" s="1005">
        <f t="shared" si="2"/>
        <v>0</v>
      </c>
      <c r="H24" s="1006">
        <f t="shared" si="2"/>
        <v>432026</v>
      </c>
    </row>
    <row r="25" spans="1:8" s="1001" customFormat="1" ht="21.75" customHeight="1" thickBot="1">
      <c r="A25" s="988">
        <v>19</v>
      </c>
      <c r="B25" s="1002" t="s">
        <v>396</v>
      </c>
      <c r="C25" s="999">
        <v>4748518</v>
      </c>
      <c r="D25" s="999">
        <v>-3116653</v>
      </c>
      <c r="E25" s="999">
        <f>C25+D25</f>
        <v>1631865</v>
      </c>
      <c r="F25" s="999">
        <v>1231865</v>
      </c>
      <c r="G25" s="999">
        <v>9486</v>
      </c>
      <c r="H25" s="1000">
        <f>E25-F25</f>
        <v>400000</v>
      </c>
    </row>
    <row r="26" spans="1:8" s="1007" customFormat="1" ht="24.75" customHeight="1" thickBot="1">
      <c r="A26" s="988">
        <v>20</v>
      </c>
      <c r="B26" s="1004" t="s">
        <v>879</v>
      </c>
      <c r="C26" s="1005">
        <f aca="true" t="shared" si="3" ref="C26:H26">SUM(C24:C25)</f>
        <v>-456446</v>
      </c>
      <c r="D26" s="1005">
        <f t="shared" si="3"/>
        <v>2649544</v>
      </c>
      <c r="E26" s="1005">
        <f t="shared" si="3"/>
        <v>2193098</v>
      </c>
      <c r="F26" s="1005">
        <f>SUM(F24:F25)</f>
        <v>1361072</v>
      </c>
      <c r="G26" s="1005">
        <f t="shared" si="3"/>
        <v>9486</v>
      </c>
      <c r="H26" s="1006">
        <f t="shared" si="3"/>
        <v>832026</v>
      </c>
    </row>
    <row r="27" spans="1:7" ht="15.75">
      <c r="A27" s="988"/>
      <c r="B27" s="4"/>
      <c r="C27" s="1008"/>
      <c r="D27" s="1008"/>
      <c r="E27" s="1008"/>
      <c r="F27" s="1008"/>
      <c r="G27" s="1008"/>
    </row>
    <row r="28" spans="2:7" ht="15.75">
      <c r="B28" s="4"/>
      <c r="C28" s="1008"/>
      <c r="D28" s="1008"/>
      <c r="E28" s="1008"/>
      <c r="F28" s="1008"/>
      <c r="G28" s="1008"/>
    </row>
    <row r="29" spans="2:7" ht="15.75">
      <c r="B29" s="4"/>
      <c r="C29" s="1008"/>
      <c r="D29" s="1008"/>
      <c r="E29" s="1008"/>
      <c r="F29" s="1008"/>
      <c r="G29" s="1008"/>
    </row>
    <row r="30" spans="2:7" ht="15.75">
      <c r="B30" s="4"/>
      <c r="C30" s="1011"/>
      <c r="D30" s="1011"/>
      <c r="E30" s="1008"/>
      <c r="F30" s="1008"/>
      <c r="G30" s="1008"/>
    </row>
    <row r="31" spans="2:7" ht="15.75">
      <c r="B31" s="4"/>
      <c r="C31" s="1008"/>
      <c r="D31" s="1008"/>
      <c r="E31" s="1008"/>
      <c r="F31" s="1008"/>
      <c r="G31" s="1008"/>
    </row>
    <row r="32" spans="2:7" ht="15.75">
      <c r="B32" s="1012"/>
      <c r="C32" s="1008"/>
      <c r="D32" s="1008"/>
      <c r="E32" s="1008"/>
      <c r="F32" s="1008"/>
      <c r="G32" s="1008"/>
    </row>
    <row r="33" spans="2:7" ht="15.75">
      <c r="B33" s="4"/>
      <c r="C33" s="1008"/>
      <c r="D33" s="1008"/>
      <c r="E33" s="1008"/>
      <c r="F33" s="1008"/>
      <c r="G33" s="1008"/>
    </row>
    <row r="34" spans="2:7" ht="15.75">
      <c r="B34" s="4"/>
      <c r="C34" s="1008"/>
      <c r="D34" s="1008"/>
      <c r="E34" s="1008"/>
      <c r="F34" s="1008"/>
      <c r="G34" s="1008"/>
    </row>
    <row r="35" spans="2:7" ht="15.75">
      <c r="B35" s="4"/>
      <c r="C35" s="1008"/>
      <c r="D35" s="1008"/>
      <c r="E35" s="1008"/>
      <c r="F35" s="1008"/>
      <c r="G35" s="1008"/>
    </row>
    <row r="36" spans="2:7" ht="15.75">
      <c r="B36" s="4"/>
      <c r="C36" s="1011"/>
      <c r="D36" s="1011"/>
      <c r="E36" s="1008"/>
      <c r="F36" s="1008"/>
      <c r="G36" s="1008"/>
    </row>
    <row r="37" spans="2:7" ht="15.75">
      <c r="B37" s="1012"/>
      <c r="C37" s="1008"/>
      <c r="D37" s="1008"/>
      <c r="E37" s="1008"/>
      <c r="F37" s="1008"/>
      <c r="G37" s="1008"/>
    </row>
    <row r="38" spans="2:7" ht="15.75">
      <c r="B38" s="4"/>
      <c r="C38" s="1008"/>
      <c r="D38" s="1008"/>
      <c r="E38" s="1008"/>
      <c r="F38" s="1008"/>
      <c r="G38" s="1008"/>
    </row>
    <row r="39" spans="2:7" ht="15.75">
      <c r="B39" s="4"/>
      <c r="C39" s="1008"/>
      <c r="D39" s="1008"/>
      <c r="E39" s="1008"/>
      <c r="F39" s="1008"/>
      <c r="G39" s="1008"/>
    </row>
    <row r="40" spans="2:7" ht="15.75">
      <c r="B40" s="4"/>
      <c r="C40" s="1008"/>
      <c r="D40" s="1008"/>
      <c r="E40" s="1008"/>
      <c r="F40" s="1008"/>
      <c r="G40" s="1008"/>
    </row>
    <row r="41" spans="2:7" ht="15.75">
      <c r="B41" s="4"/>
      <c r="C41" s="1008"/>
      <c r="D41" s="1008"/>
      <c r="E41" s="1008"/>
      <c r="F41" s="1008"/>
      <c r="G41" s="1008"/>
    </row>
    <row r="42" spans="2:7" ht="15.75">
      <c r="B42" s="4"/>
      <c r="C42" s="1008"/>
      <c r="D42" s="1008"/>
      <c r="E42" s="1008"/>
      <c r="F42" s="1008"/>
      <c r="G42" s="1008"/>
    </row>
    <row r="43" spans="2:7" ht="15.75">
      <c r="B43" s="1012"/>
      <c r="C43" s="1008"/>
      <c r="D43" s="1008"/>
      <c r="E43" s="1008"/>
      <c r="F43" s="1008"/>
      <c r="G43" s="1008"/>
    </row>
    <row r="44" spans="2:7" ht="15.75">
      <c r="B44" s="4"/>
      <c r="C44" s="1011"/>
      <c r="D44" s="1011"/>
      <c r="E44" s="1011"/>
      <c r="F44" s="1008"/>
      <c r="G44" s="1008"/>
    </row>
    <row r="45" spans="2:7" ht="15.75">
      <c r="B45" s="4"/>
      <c r="C45" s="1008"/>
      <c r="D45" s="1008"/>
      <c r="E45" s="1008"/>
      <c r="F45" s="1011"/>
      <c r="G45" s="1011"/>
    </row>
    <row r="46" spans="2:7" ht="15.75">
      <c r="B46" s="4"/>
      <c r="C46" s="1011"/>
      <c r="D46" s="1011"/>
      <c r="E46" s="1008"/>
      <c r="F46" s="1008"/>
      <c r="G46" s="1008"/>
    </row>
    <row r="47" spans="2:7" ht="15.75">
      <c r="B47" s="4"/>
      <c r="C47" s="1011"/>
      <c r="D47" s="1011"/>
      <c r="E47" s="1008"/>
      <c r="F47" s="1008"/>
      <c r="G47" s="1008"/>
    </row>
    <row r="48" spans="2:7" ht="15.75">
      <c r="B48" s="4"/>
      <c r="C48" s="1008"/>
      <c r="D48" s="1008"/>
      <c r="E48" s="1008"/>
      <c r="F48" s="1008"/>
      <c r="G48" s="1008"/>
    </row>
    <row r="49" spans="2:7" ht="15.75">
      <c r="B49" s="4"/>
      <c r="C49" s="1008"/>
      <c r="D49" s="1008"/>
      <c r="E49" s="1008"/>
      <c r="F49" s="1008"/>
      <c r="G49" s="1008"/>
    </row>
    <row r="50" spans="2:7" ht="15.75">
      <c r="B50" s="1012"/>
      <c r="C50" s="1008"/>
      <c r="D50" s="1008"/>
      <c r="E50" s="1008"/>
      <c r="F50" s="1008"/>
      <c r="G50" s="1008"/>
    </row>
    <row r="51" spans="2:7" ht="15.75">
      <c r="B51" s="4"/>
      <c r="C51" s="1008"/>
      <c r="D51" s="1008"/>
      <c r="E51" s="1008"/>
      <c r="F51" s="1008"/>
      <c r="G51" s="1008"/>
    </row>
    <row r="52" spans="2:7" ht="15.75">
      <c r="B52" s="4"/>
      <c r="C52" s="1008"/>
      <c r="D52" s="1008"/>
      <c r="E52" s="1008"/>
      <c r="F52" s="1008"/>
      <c r="G52" s="1008"/>
    </row>
    <row r="53" spans="2:7" ht="15.75">
      <c r="B53" s="1012"/>
      <c r="C53" s="1008"/>
      <c r="D53" s="1008"/>
      <c r="E53" s="1011"/>
      <c r="F53" s="1008"/>
      <c r="G53" s="1008"/>
    </row>
    <row r="54" spans="2:7" ht="15.75">
      <c r="B54" s="4"/>
      <c r="C54" s="1008"/>
      <c r="D54" s="1008"/>
      <c r="E54" s="1011"/>
      <c r="F54" s="1011"/>
      <c r="G54" s="1011"/>
    </row>
    <row r="55" spans="2:7" ht="15.75">
      <c r="B55" s="4"/>
      <c r="C55" s="1008"/>
      <c r="D55" s="1008"/>
      <c r="E55" s="1011"/>
      <c r="F55" s="1011"/>
      <c r="G55" s="1011"/>
    </row>
    <row r="56" spans="2:7" ht="15.75">
      <c r="B56" s="4"/>
      <c r="C56" s="1008"/>
      <c r="D56" s="1008"/>
      <c r="E56" s="1011"/>
      <c r="F56" s="1011"/>
      <c r="G56" s="1011"/>
    </row>
    <row r="57" spans="2:7" ht="15.75">
      <c r="B57" s="1012"/>
      <c r="C57" s="1011"/>
      <c r="D57" s="1011"/>
      <c r="E57" s="1008"/>
      <c r="F57" s="1008"/>
      <c r="G57" s="1008"/>
    </row>
    <row r="58" spans="2:7" ht="15.75">
      <c r="B58" s="4"/>
      <c r="C58" s="1011"/>
      <c r="D58" s="1011"/>
      <c r="E58" s="1011"/>
      <c r="F58" s="1011"/>
      <c r="G58" s="1011"/>
    </row>
    <row r="59" spans="2:7" ht="15.75">
      <c r="B59" s="1012"/>
      <c r="C59" s="1011"/>
      <c r="D59" s="1011"/>
      <c r="E59" s="1011"/>
      <c r="F59" s="1011"/>
      <c r="G59" s="1011"/>
    </row>
    <row r="60" spans="2:7" ht="15.75">
      <c r="B60" s="4"/>
      <c r="C60" s="1008"/>
      <c r="D60" s="1008"/>
      <c r="E60" s="1008"/>
      <c r="F60" s="1008"/>
      <c r="G60" s="1008"/>
    </row>
    <row r="61" spans="2:7" ht="15.75">
      <c r="B61" s="4"/>
      <c r="C61" s="1008"/>
      <c r="D61" s="1008"/>
      <c r="E61" s="1008"/>
      <c r="F61" s="1008"/>
      <c r="G61" s="1008"/>
    </row>
    <row r="62" spans="2:7" ht="15.75">
      <c r="B62" s="4"/>
      <c r="C62" s="1008"/>
      <c r="D62" s="1008"/>
      <c r="E62" s="1008"/>
      <c r="F62" s="1008"/>
      <c r="G62" s="1008"/>
    </row>
    <row r="63" spans="2:7" ht="15.75">
      <c r="B63" s="4"/>
      <c r="C63" s="1008"/>
      <c r="D63" s="1008"/>
      <c r="E63" s="1008"/>
      <c r="F63" s="1008"/>
      <c r="G63" s="1008"/>
    </row>
    <row r="64" spans="2:7" ht="15.75">
      <c r="B64" s="4"/>
      <c r="C64" s="1008"/>
      <c r="D64" s="1008"/>
      <c r="E64" s="1008"/>
      <c r="F64" s="1008"/>
      <c r="G64" s="1008"/>
    </row>
    <row r="65" spans="2:7" ht="15.75">
      <c r="B65" s="4"/>
      <c r="C65" s="1008"/>
      <c r="D65" s="1008"/>
      <c r="E65" s="1008"/>
      <c r="F65" s="1008"/>
      <c r="G65" s="1008"/>
    </row>
    <row r="66" spans="2:7" ht="15.75">
      <c r="B66" s="4"/>
      <c r="C66" s="1008"/>
      <c r="D66" s="1008"/>
      <c r="E66" s="1008"/>
      <c r="F66" s="1008"/>
      <c r="G66" s="1008"/>
    </row>
    <row r="67" spans="2:7" ht="15.75">
      <c r="B67" s="4"/>
      <c r="C67" s="1008"/>
      <c r="D67" s="1008"/>
      <c r="E67" s="1008"/>
      <c r="F67" s="1008"/>
      <c r="G67" s="1008"/>
    </row>
    <row r="68" spans="2:7" ht="15.75">
      <c r="B68" s="4"/>
      <c r="C68" s="1008"/>
      <c r="D68" s="1008"/>
      <c r="E68" s="1008"/>
      <c r="F68" s="1008"/>
      <c r="G68" s="1008"/>
    </row>
    <row r="69" spans="2:7" ht="15.75">
      <c r="B69" s="4"/>
      <c r="C69" s="1008"/>
      <c r="D69" s="1008"/>
      <c r="E69" s="1008"/>
      <c r="F69" s="1008"/>
      <c r="G69" s="1008"/>
    </row>
    <row r="70" spans="2:7" ht="15.75">
      <c r="B70" s="4"/>
      <c r="C70" s="1008"/>
      <c r="D70" s="1008"/>
      <c r="E70" s="1008"/>
      <c r="F70" s="1008"/>
      <c r="G70" s="1008"/>
    </row>
    <row r="71" spans="2:7" ht="15.75">
      <c r="B71" s="4"/>
      <c r="C71" s="1008"/>
      <c r="D71" s="1008"/>
      <c r="E71" s="1008"/>
      <c r="F71" s="1008"/>
      <c r="G71" s="1008"/>
    </row>
    <row r="72" spans="2:7" ht="15.75">
      <c r="B72" s="4"/>
      <c r="C72" s="1008"/>
      <c r="D72" s="1008"/>
      <c r="E72" s="1008"/>
      <c r="F72" s="1008"/>
      <c r="G72" s="1008"/>
    </row>
    <row r="73" spans="2:7" ht="15.75">
      <c r="B73" s="4"/>
      <c r="C73" s="1008"/>
      <c r="D73" s="1008"/>
      <c r="E73" s="1008"/>
      <c r="F73" s="1008"/>
      <c r="G73" s="1008"/>
    </row>
    <row r="74" spans="2:7" ht="15.75">
      <c r="B74" s="4"/>
      <c r="C74" s="1008"/>
      <c r="D74" s="1008"/>
      <c r="E74" s="1008"/>
      <c r="F74" s="1008"/>
      <c r="G74" s="1008"/>
    </row>
    <row r="75" spans="2:7" ht="15.75">
      <c r="B75" s="4"/>
      <c r="C75" s="1008"/>
      <c r="D75" s="1008"/>
      <c r="E75" s="1008"/>
      <c r="F75" s="1008"/>
      <c r="G75" s="1008"/>
    </row>
    <row r="76" spans="2:7" ht="15.75">
      <c r="B76" s="4"/>
      <c r="C76" s="1008"/>
      <c r="D76" s="1008"/>
      <c r="E76" s="1008"/>
      <c r="F76" s="1008"/>
      <c r="G76" s="1008"/>
    </row>
    <row r="77" spans="2:7" ht="15.75">
      <c r="B77" s="4"/>
      <c r="C77" s="1008"/>
      <c r="D77" s="1008"/>
      <c r="E77" s="1008"/>
      <c r="F77" s="1008"/>
      <c r="G77" s="1008"/>
    </row>
    <row r="78" spans="2:7" ht="15.75">
      <c r="B78" s="4"/>
      <c r="C78" s="1008"/>
      <c r="D78" s="1008"/>
      <c r="E78" s="1008"/>
      <c r="F78" s="1008"/>
      <c r="G78" s="1008"/>
    </row>
    <row r="79" spans="2:7" ht="15.75">
      <c r="B79" s="4"/>
      <c r="C79" s="1008"/>
      <c r="D79" s="1008"/>
      <c r="E79" s="1008"/>
      <c r="F79" s="1008"/>
      <c r="G79" s="1008"/>
    </row>
    <row r="80" spans="2:7" ht="15.75">
      <c r="B80" s="4"/>
      <c r="C80" s="1008"/>
      <c r="D80" s="1008"/>
      <c r="E80" s="1008"/>
      <c r="F80" s="1008"/>
      <c r="G80" s="1008"/>
    </row>
    <row r="81" spans="2:7" ht="15.75">
      <c r="B81" s="4"/>
      <c r="C81" s="1008"/>
      <c r="D81" s="1008"/>
      <c r="E81" s="1008"/>
      <c r="F81" s="1008"/>
      <c r="G81" s="1008"/>
    </row>
    <row r="82" spans="2:7" ht="15.75">
      <c r="B82" s="4"/>
      <c r="C82" s="1008"/>
      <c r="D82" s="1008"/>
      <c r="E82" s="1008"/>
      <c r="F82" s="1008"/>
      <c r="G82" s="1008"/>
    </row>
    <row r="83" spans="2:7" ht="15.75">
      <c r="B83" s="4"/>
      <c r="C83" s="1008"/>
      <c r="D83" s="1008"/>
      <c r="E83" s="1008"/>
      <c r="F83" s="1008"/>
      <c r="G83" s="1008"/>
    </row>
    <row r="84" spans="2:7" ht="15.75">
      <c r="B84" s="4"/>
      <c r="C84" s="1008"/>
      <c r="D84" s="1008"/>
      <c r="E84" s="1008"/>
      <c r="F84" s="1008"/>
      <c r="G84" s="1008"/>
    </row>
    <row r="85" spans="2:7" ht="15.75">
      <c r="B85" s="4"/>
      <c r="C85" s="1008"/>
      <c r="D85" s="1008"/>
      <c r="E85" s="1008"/>
      <c r="F85" s="1008"/>
      <c r="G85" s="1008"/>
    </row>
    <row r="86" spans="2:7" ht="15.75">
      <c r="B86" s="4"/>
      <c r="C86" s="1008"/>
      <c r="D86" s="1008"/>
      <c r="E86" s="1008"/>
      <c r="F86" s="1008"/>
      <c r="G86" s="1008"/>
    </row>
    <row r="87" spans="2:7" ht="15.75">
      <c r="B87" s="4"/>
      <c r="C87" s="1008"/>
      <c r="D87" s="1008"/>
      <c r="E87" s="1008"/>
      <c r="F87" s="1008"/>
      <c r="G87" s="1008"/>
    </row>
    <row r="88" spans="2:7" ht="15.75">
      <c r="B88" s="4"/>
      <c r="C88" s="1008"/>
      <c r="D88" s="1008"/>
      <c r="E88" s="1008"/>
      <c r="F88" s="1008"/>
      <c r="G88" s="1008"/>
    </row>
    <row r="89" spans="2:7" ht="15.75">
      <c r="B89" s="4"/>
      <c r="C89" s="1008"/>
      <c r="D89" s="1008"/>
      <c r="E89" s="1008"/>
      <c r="F89" s="1008"/>
      <c r="G89" s="1008"/>
    </row>
    <row r="90" spans="2:7" ht="15.75">
      <c r="B90" s="4"/>
      <c r="C90" s="1008"/>
      <c r="D90" s="1008"/>
      <c r="E90" s="1008"/>
      <c r="F90" s="1008"/>
      <c r="G90" s="1008"/>
    </row>
    <row r="91" spans="2:7" ht="15.75">
      <c r="B91" s="4"/>
      <c r="C91" s="1008"/>
      <c r="D91" s="1008"/>
      <c r="E91" s="1008"/>
      <c r="F91" s="1008"/>
      <c r="G91" s="1008"/>
    </row>
    <row r="92" spans="2:7" ht="15.75">
      <c r="B92" s="4"/>
      <c r="C92" s="1008"/>
      <c r="D92" s="1008"/>
      <c r="E92" s="1008"/>
      <c r="F92" s="1008"/>
      <c r="G92" s="1008"/>
    </row>
    <row r="93" spans="2:7" ht="15.75">
      <c r="B93" s="4"/>
      <c r="C93" s="1008"/>
      <c r="D93" s="1008"/>
      <c r="E93" s="1008"/>
      <c r="F93" s="1008"/>
      <c r="G93" s="1008"/>
    </row>
    <row r="94" spans="2:7" ht="15.75">
      <c r="B94" s="4"/>
      <c r="C94" s="1008"/>
      <c r="D94" s="1008"/>
      <c r="E94" s="1008"/>
      <c r="F94" s="1008"/>
      <c r="G94" s="1008"/>
    </row>
    <row r="95" spans="2:7" ht="15.75">
      <c r="B95" s="4"/>
      <c r="C95" s="1008"/>
      <c r="D95" s="1008"/>
      <c r="E95" s="1008"/>
      <c r="F95" s="1008"/>
      <c r="G95" s="1008"/>
    </row>
    <row r="96" spans="2:7" ht="15.75">
      <c r="B96" s="4"/>
      <c r="C96" s="1008"/>
      <c r="D96" s="1008"/>
      <c r="E96" s="1008"/>
      <c r="F96" s="1008"/>
      <c r="G96" s="1008"/>
    </row>
    <row r="97" spans="2:7" ht="15.75">
      <c r="B97" s="4"/>
      <c r="C97" s="1008"/>
      <c r="D97" s="1008"/>
      <c r="E97" s="1008"/>
      <c r="F97" s="1008"/>
      <c r="G97" s="1008"/>
    </row>
    <row r="98" spans="2:7" ht="15.75">
      <c r="B98" s="4"/>
      <c r="C98" s="1008"/>
      <c r="D98" s="1008"/>
      <c r="E98" s="1008"/>
      <c r="F98" s="1008"/>
      <c r="G98" s="1008"/>
    </row>
    <row r="99" spans="2:7" ht="15.75">
      <c r="B99" s="4"/>
      <c r="C99" s="1008"/>
      <c r="D99" s="1008"/>
      <c r="E99" s="1008"/>
      <c r="F99" s="1008"/>
      <c r="G99" s="1008"/>
    </row>
    <row r="100" spans="2:7" ht="15.75">
      <c r="B100" s="4"/>
      <c r="C100" s="1008"/>
      <c r="D100" s="1008"/>
      <c r="E100" s="1008"/>
      <c r="F100" s="1008"/>
      <c r="G100" s="1008"/>
    </row>
    <row r="101" spans="2:7" ht="15.75">
      <c r="B101" s="4"/>
      <c r="C101" s="1008"/>
      <c r="D101" s="1008"/>
      <c r="E101" s="1008"/>
      <c r="F101" s="1008"/>
      <c r="G101" s="1008"/>
    </row>
    <row r="102" spans="2:7" ht="15.75">
      <c r="B102" s="4"/>
      <c r="C102" s="1008"/>
      <c r="D102" s="1008"/>
      <c r="E102" s="1008"/>
      <c r="F102" s="1008"/>
      <c r="G102" s="1008"/>
    </row>
    <row r="103" spans="2:7" ht="15.75">
      <c r="B103" s="4"/>
      <c r="C103" s="1008"/>
      <c r="D103" s="1008"/>
      <c r="E103" s="1008"/>
      <c r="F103" s="1008"/>
      <c r="G103" s="1008"/>
    </row>
    <row r="104" spans="2:7" ht="15.75">
      <c r="B104" s="4"/>
      <c r="C104" s="1008"/>
      <c r="D104" s="1008"/>
      <c r="E104" s="1008"/>
      <c r="F104" s="1008"/>
      <c r="G104" s="1008"/>
    </row>
    <row r="105" spans="2:7" ht="15.75">
      <c r="B105" s="4"/>
      <c r="C105" s="1008"/>
      <c r="D105" s="1008"/>
      <c r="E105" s="1008"/>
      <c r="F105" s="1008"/>
      <c r="G105" s="1008"/>
    </row>
    <row r="106" spans="2:7" ht="15.75">
      <c r="B106" s="4"/>
      <c r="C106" s="1008"/>
      <c r="D106" s="1008"/>
      <c r="E106" s="1008"/>
      <c r="F106" s="1008"/>
      <c r="G106" s="1008"/>
    </row>
    <row r="107" spans="2:7" ht="15.75">
      <c r="B107" s="4"/>
      <c r="C107" s="1008"/>
      <c r="D107" s="1008"/>
      <c r="E107" s="1008"/>
      <c r="F107" s="1008"/>
      <c r="G107" s="1008"/>
    </row>
    <row r="108" spans="2:7" ht="15.75">
      <c r="B108" s="4"/>
      <c r="C108" s="1008"/>
      <c r="D108" s="1008"/>
      <c r="E108" s="1008"/>
      <c r="F108" s="1008"/>
      <c r="G108" s="1008"/>
    </row>
    <row r="109" spans="2:7" ht="15.75">
      <c r="B109" s="4"/>
      <c r="C109" s="1008"/>
      <c r="D109" s="1008"/>
      <c r="E109" s="1008"/>
      <c r="F109" s="1008"/>
      <c r="G109" s="1008"/>
    </row>
    <row r="110" spans="2:7" ht="15.75">
      <c r="B110" s="4"/>
      <c r="C110" s="1008"/>
      <c r="D110" s="1008"/>
      <c r="E110" s="1008"/>
      <c r="F110" s="1008"/>
      <c r="G110" s="1008"/>
    </row>
    <row r="111" spans="2:7" ht="15.75">
      <c r="B111" s="4"/>
      <c r="C111" s="1008"/>
      <c r="D111" s="1008"/>
      <c r="E111" s="1008"/>
      <c r="F111" s="1008"/>
      <c r="G111" s="1008"/>
    </row>
    <row r="112" spans="2:7" ht="15.75">
      <c r="B112" s="4"/>
      <c r="C112" s="1008"/>
      <c r="D112" s="1008"/>
      <c r="E112" s="1008"/>
      <c r="F112" s="1008"/>
      <c r="G112" s="1008"/>
    </row>
    <row r="113" spans="2:7" ht="15.75">
      <c r="B113" s="4"/>
      <c r="C113" s="1008"/>
      <c r="D113" s="1008"/>
      <c r="E113" s="1008"/>
      <c r="F113" s="1008"/>
      <c r="G113" s="1008"/>
    </row>
    <row r="114" spans="2:7" ht="15.75">
      <c r="B114" s="4"/>
      <c r="C114" s="1008"/>
      <c r="D114" s="1008"/>
      <c r="E114" s="1008"/>
      <c r="F114" s="1008"/>
      <c r="G114" s="1008"/>
    </row>
    <row r="115" spans="2:7" ht="15.75">
      <c r="B115" s="4"/>
      <c r="C115" s="1008"/>
      <c r="D115" s="1008"/>
      <c r="E115" s="1008"/>
      <c r="F115" s="1008"/>
      <c r="G115" s="1008"/>
    </row>
    <row r="116" spans="2:7" ht="15.75">
      <c r="B116" s="4"/>
      <c r="C116" s="1008"/>
      <c r="D116" s="1008"/>
      <c r="E116" s="1008"/>
      <c r="F116" s="1008"/>
      <c r="G116" s="1008"/>
    </row>
    <row r="117" spans="2:7" ht="15.75">
      <c r="B117" s="4"/>
      <c r="C117" s="1008"/>
      <c r="D117" s="1008"/>
      <c r="E117" s="1008"/>
      <c r="F117" s="1008"/>
      <c r="G117" s="1008"/>
    </row>
    <row r="118" spans="2:7" ht="15.75">
      <c r="B118" s="4"/>
      <c r="C118" s="1008"/>
      <c r="D118" s="1008"/>
      <c r="E118" s="1008"/>
      <c r="F118" s="1008"/>
      <c r="G118" s="1008"/>
    </row>
    <row r="119" spans="2:7" ht="15.75">
      <c r="B119" s="4"/>
      <c r="C119" s="1008"/>
      <c r="D119" s="1008"/>
      <c r="E119" s="1008"/>
      <c r="F119" s="1008"/>
      <c r="G119" s="1008"/>
    </row>
    <row r="120" spans="2:7" ht="15.75">
      <c r="B120" s="4"/>
      <c r="C120" s="1008"/>
      <c r="D120" s="1008"/>
      <c r="E120" s="1008"/>
      <c r="F120" s="1008"/>
      <c r="G120" s="1008"/>
    </row>
    <row r="121" spans="2:7" ht="15.75">
      <c r="B121" s="4"/>
      <c r="C121" s="1008"/>
      <c r="D121" s="1008"/>
      <c r="E121" s="1008"/>
      <c r="F121" s="1008"/>
      <c r="G121" s="1008"/>
    </row>
    <row r="122" spans="2:7" ht="15.75">
      <c r="B122" s="4"/>
      <c r="C122" s="1008"/>
      <c r="D122" s="1008"/>
      <c r="E122" s="1008"/>
      <c r="F122" s="1008"/>
      <c r="G122" s="1008"/>
    </row>
    <row r="123" spans="2:7" ht="15.75">
      <c r="B123" s="4"/>
      <c r="C123" s="1008"/>
      <c r="D123" s="1008"/>
      <c r="E123" s="1008"/>
      <c r="F123" s="1008"/>
      <c r="G123" s="1008"/>
    </row>
    <row r="124" spans="2:7" ht="15.75">
      <c r="B124" s="4"/>
      <c r="C124" s="1008"/>
      <c r="D124" s="1008"/>
      <c r="E124" s="1008"/>
      <c r="F124" s="1008"/>
      <c r="G124" s="1008"/>
    </row>
    <row r="125" spans="2:7" ht="15.75">
      <c r="B125" s="4"/>
      <c r="C125" s="1008"/>
      <c r="D125" s="1008"/>
      <c r="E125" s="1008"/>
      <c r="F125" s="1008"/>
      <c r="G125" s="1008"/>
    </row>
    <row r="126" spans="2:7" ht="15.75">
      <c r="B126" s="4"/>
      <c r="C126" s="1008"/>
      <c r="D126" s="1008"/>
      <c r="E126" s="1008"/>
      <c r="F126" s="1008"/>
      <c r="G126" s="1008"/>
    </row>
    <row r="127" spans="2:7" ht="15.75">
      <c r="B127" s="4"/>
      <c r="C127" s="1008"/>
      <c r="D127" s="1008"/>
      <c r="E127" s="1008"/>
      <c r="F127" s="1008"/>
      <c r="G127" s="1008"/>
    </row>
    <row r="128" spans="2:7" ht="15.75">
      <c r="B128" s="4"/>
      <c r="C128" s="1008"/>
      <c r="D128" s="1008"/>
      <c r="E128" s="1008"/>
      <c r="F128" s="1008"/>
      <c r="G128" s="1008"/>
    </row>
    <row r="129" spans="2:7" ht="15.75">
      <c r="B129" s="4"/>
      <c r="C129" s="1008"/>
      <c r="D129" s="1008"/>
      <c r="E129" s="1008"/>
      <c r="F129" s="1008"/>
      <c r="G129" s="1008"/>
    </row>
    <row r="130" spans="2:7" ht="15.75">
      <c r="B130" s="4"/>
      <c r="C130" s="1008"/>
      <c r="D130" s="1008"/>
      <c r="E130" s="1008"/>
      <c r="F130" s="1008"/>
      <c r="G130" s="1008"/>
    </row>
    <row r="131" spans="2:7" ht="15.75">
      <c r="B131" s="4"/>
      <c r="C131" s="1008"/>
      <c r="D131" s="1008"/>
      <c r="E131" s="1008"/>
      <c r="F131" s="1008"/>
      <c r="G131" s="1008"/>
    </row>
    <row r="132" spans="2:7" ht="15.75">
      <c r="B132" s="4"/>
      <c r="C132" s="1008"/>
      <c r="D132" s="1008"/>
      <c r="E132" s="1008"/>
      <c r="F132" s="1008"/>
      <c r="G132" s="1008"/>
    </row>
    <row r="133" spans="2:7" ht="15.75">
      <c r="B133" s="4"/>
      <c r="C133" s="1008"/>
      <c r="D133" s="1008"/>
      <c r="E133" s="1008"/>
      <c r="F133" s="1008"/>
      <c r="G133" s="1008"/>
    </row>
    <row r="134" spans="2:7" ht="15.75">
      <c r="B134" s="4"/>
      <c r="C134" s="1008"/>
      <c r="D134" s="1008"/>
      <c r="E134" s="1008"/>
      <c r="F134" s="1008"/>
      <c r="G134" s="1008"/>
    </row>
    <row r="135" spans="2:7" ht="15.75">
      <c r="B135" s="4"/>
      <c r="C135" s="1008"/>
      <c r="D135" s="1008"/>
      <c r="E135" s="1008"/>
      <c r="F135" s="1008"/>
      <c r="G135" s="1008"/>
    </row>
    <row r="136" spans="2:7" ht="15.75">
      <c r="B136" s="4"/>
      <c r="C136" s="1008"/>
      <c r="D136" s="1008"/>
      <c r="E136" s="1008"/>
      <c r="F136" s="1008"/>
      <c r="G136" s="1008"/>
    </row>
    <row r="137" spans="2:7" ht="15.75">
      <c r="B137" s="4"/>
      <c r="C137" s="1008"/>
      <c r="D137" s="1008"/>
      <c r="E137" s="1008"/>
      <c r="F137" s="1008"/>
      <c r="G137" s="1008"/>
    </row>
    <row r="138" spans="2:7" ht="15.75">
      <c r="B138" s="4"/>
      <c r="C138" s="1008"/>
      <c r="D138" s="1008"/>
      <c r="E138" s="1008"/>
      <c r="F138" s="1008"/>
      <c r="G138" s="1008"/>
    </row>
    <row r="139" spans="2:7" ht="15.75">
      <c r="B139" s="4"/>
      <c r="C139" s="1008"/>
      <c r="D139" s="1008"/>
      <c r="E139" s="1008"/>
      <c r="F139" s="1008"/>
      <c r="G139" s="1008"/>
    </row>
    <row r="140" spans="2:7" ht="15.75">
      <c r="B140" s="4"/>
      <c r="C140" s="1008"/>
      <c r="D140" s="1008"/>
      <c r="E140" s="1008"/>
      <c r="F140" s="1008"/>
      <c r="G140" s="1008"/>
    </row>
    <row r="141" spans="2:7" ht="15.75">
      <c r="B141" s="4"/>
      <c r="C141" s="1008"/>
      <c r="D141" s="1008"/>
      <c r="E141" s="1008"/>
      <c r="F141" s="1008"/>
      <c r="G141" s="1008"/>
    </row>
    <row r="142" spans="2:7" ht="15.75">
      <c r="B142" s="4"/>
      <c r="C142" s="1008"/>
      <c r="D142" s="1008"/>
      <c r="E142" s="1008"/>
      <c r="F142" s="1008"/>
      <c r="G142" s="1008"/>
    </row>
    <row r="143" spans="2:7" ht="15.75">
      <c r="B143" s="4"/>
      <c r="C143" s="1008"/>
      <c r="D143" s="1008"/>
      <c r="E143" s="1008"/>
      <c r="F143" s="1008"/>
      <c r="G143" s="1008"/>
    </row>
  </sheetData>
  <sheetProtection/>
  <mergeCells count="3">
    <mergeCell ref="B1:C1"/>
    <mergeCell ref="B2:H2"/>
    <mergeCell ref="B3:H3"/>
  </mergeCells>
  <printOptions horizontalCentered="1" verticalCentered="1"/>
  <pageMargins left="0" right="0" top="0" bottom="0" header="0.5118110236220472" footer="0.511811023622047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A1" sqref="A1:B1"/>
    </sheetView>
  </sheetViews>
  <sheetFormatPr defaultColWidth="8.875" defaultRowHeight="12.75"/>
  <cols>
    <col min="1" max="1" width="7.75390625" style="1315" customWidth="1"/>
    <col min="2" max="2" width="60.75390625" style="1315" customWidth="1"/>
    <col min="3" max="3" width="12.75390625" style="1315" customWidth="1"/>
    <col min="4" max="16384" width="8.875" style="1315" customWidth="1"/>
  </cols>
  <sheetData>
    <row r="1" spans="1:3" ht="33" customHeight="1">
      <c r="A1" s="1607" t="s">
        <v>1646</v>
      </c>
      <c r="B1" s="1607"/>
      <c r="C1" s="1014"/>
    </row>
    <row r="2" spans="1:3" ht="33" customHeight="1">
      <c r="A2" s="1608" t="s">
        <v>431</v>
      </c>
      <c r="B2" s="1608"/>
      <c r="C2" s="1608"/>
    </row>
    <row r="3" spans="1:3" ht="33" customHeight="1">
      <c r="A3" s="1463" t="s">
        <v>880</v>
      </c>
      <c r="B3" s="1463"/>
      <c r="C3" s="1463"/>
    </row>
    <row r="4" spans="1:3" ht="33" customHeight="1">
      <c r="A4" s="1609" t="s">
        <v>881</v>
      </c>
      <c r="B4" s="1609"/>
      <c r="C4" s="1609"/>
    </row>
    <row r="5" spans="1:3" ht="33" customHeight="1">
      <c r="A5" s="1316"/>
      <c r="B5" s="1317" t="s">
        <v>504</v>
      </c>
      <c r="C5" s="1318" t="s">
        <v>505</v>
      </c>
    </row>
    <row r="6" spans="1:3" ht="33" customHeight="1">
      <c r="A6" s="1015" t="s">
        <v>882</v>
      </c>
      <c r="B6" s="1016" t="s">
        <v>497</v>
      </c>
      <c r="C6" s="1017" t="s">
        <v>883</v>
      </c>
    </row>
    <row r="7" spans="1:3" ht="33" customHeight="1">
      <c r="A7" s="1319">
        <v>1</v>
      </c>
      <c r="B7" s="1320" t="s">
        <v>893</v>
      </c>
      <c r="C7" s="1321">
        <f>SUM(C9:C10)</f>
        <v>2051270</v>
      </c>
    </row>
    <row r="8" spans="1:3" ht="33" customHeight="1">
      <c r="A8" s="1018">
        <v>2</v>
      </c>
      <c r="B8" s="1019" t="s">
        <v>884</v>
      </c>
      <c r="C8" s="1020"/>
    </row>
    <row r="9" spans="1:3" ht="25.5" customHeight="1">
      <c r="A9" s="1018">
        <v>3</v>
      </c>
      <c r="B9" s="1322" t="s">
        <v>885</v>
      </c>
      <c r="C9" s="1020">
        <f>2015816+35089</f>
        <v>2050905</v>
      </c>
    </row>
    <row r="10" spans="1:3" ht="25.5" customHeight="1">
      <c r="A10" s="1018">
        <v>4</v>
      </c>
      <c r="B10" s="1322" t="s">
        <v>886</v>
      </c>
      <c r="C10" s="1020">
        <v>365</v>
      </c>
    </row>
    <row r="11" spans="1:3" ht="33" customHeight="1">
      <c r="A11" s="1018">
        <v>5</v>
      </c>
      <c r="B11" s="1021" t="s">
        <v>887</v>
      </c>
      <c r="C11" s="1020">
        <v>21446042</v>
      </c>
    </row>
    <row r="12" spans="1:3" ht="33" customHeight="1">
      <c r="A12" s="1018">
        <v>6</v>
      </c>
      <c r="B12" s="1021" t="s">
        <v>888</v>
      </c>
      <c r="C12" s="1020">
        <v>-39679</v>
      </c>
    </row>
    <row r="13" spans="1:3" ht="33" customHeight="1">
      <c r="A13" s="1018">
        <v>7</v>
      </c>
      <c r="B13" s="1021" t="s">
        <v>889</v>
      </c>
      <c r="C13" s="1020">
        <v>21328268</v>
      </c>
    </row>
    <row r="14" spans="1:3" ht="33" customHeight="1">
      <c r="A14" s="1022">
        <v>8</v>
      </c>
      <c r="B14" s="1023" t="s">
        <v>890</v>
      </c>
      <c r="C14" s="1024">
        <v>-73817</v>
      </c>
    </row>
    <row r="15" spans="1:3" ht="33" customHeight="1">
      <c r="A15" s="1319">
        <v>9</v>
      </c>
      <c r="B15" s="1323" t="s">
        <v>894</v>
      </c>
      <c r="C15" s="1321">
        <f>+C7+C11+C12-C13-C14</f>
        <v>2203182</v>
      </c>
    </row>
    <row r="16" spans="1:3" ht="33" customHeight="1">
      <c r="A16" s="1018">
        <v>10</v>
      </c>
      <c r="B16" s="1019" t="s">
        <v>884</v>
      </c>
      <c r="C16" s="1020"/>
    </row>
    <row r="17" spans="1:3" ht="25.5" customHeight="1">
      <c r="A17" s="1018">
        <v>11</v>
      </c>
      <c r="B17" s="1324" t="s">
        <v>885</v>
      </c>
      <c r="C17" s="1020">
        <v>2202826</v>
      </c>
    </row>
    <row r="18" spans="1:3" ht="25.5" customHeight="1">
      <c r="A18" s="1018">
        <v>12</v>
      </c>
      <c r="B18" s="1324" t="s">
        <v>886</v>
      </c>
      <c r="C18" s="1020">
        <v>356</v>
      </c>
    </row>
    <row r="19" ht="12.75">
      <c r="C19" s="1325">
        <f>+C15-C17-C18</f>
        <v>0</v>
      </c>
    </row>
  </sheetData>
  <sheetProtection/>
  <mergeCells count="4">
    <mergeCell ref="A1:B1"/>
    <mergeCell ref="A2:C2"/>
    <mergeCell ref="A3:C3"/>
    <mergeCell ref="A4:C4"/>
  </mergeCells>
  <printOptions horizontalCentered="1"/>
  <pageMargins left="0.7086614173228347" right="0.7086614173228347" top="1.3385826771653544" bottom="1.14173228346456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V14"/>
  <sheetViews>
    <sheetView zoomScalePageLayoutView="0" workbookViewId="0" topLeftCell="A1">
      <selection activeCell="A1" sqref="A1:B1"/>
    </sheetView>
  </sheetViews>
  <sheetFormatPr defaultColWidth="8.00390625" defaultRowHeight="12.75"/>
  <cols>
    <col min="1" max="1" width="3.375" style="1352" bestFit="1" customWidth="1"/>
    <col min="2" max="2" width="34.875" style="1372" customWidth="1"/>
    <col min="3" max="3" width="14.625" style="1352" bestFit="1" customWidth="1"/>
    <col min="4" max="4" width="13.75390625" style="1352" bestFit="1" customWidth="1"/>
    <col min="5" max="5" width="15.125" style="1352" bestFit="1" customWidth="1"/>
    <col min="6" max="6" width="10.75390625" style="1352" customWidth="1"/>
    <col min="7" max="8" width="13.625" style="1352" customWidth="1"/>
    <col min="9" max="9" width="16.00390625" style="1352" customWidth="1"/>
    <col min="10" max="10" width="13.625" style="1352" customWidth="1"/>
    <col min="11" max="11" width="12.00390625" style="1374" customWidth="1"/>
    <col min="12" max="12" width="14.25390625" style="1374" customWidth="1"/>
    <col min="13" max="251" width="8.00390625" style="1374" customWidth="1"/>
    <col min="252" max="16384" width="8.00390625" style="1013" customWidth="1"/>
  </cols>
  <sheetData>
    <row r="1" spans="1:4" ht="15">
      <c r="A1" s="1610" t="s">
        <v>1647</v>
      </c>
      <c r="B1" s="1610"/>
      <c r="C1" s="31"/>
      <c r="D1" s="31"/>
    </row>
    <row r="2" spans="1:251" ht="15">
      <c r="A2" s="1612" t="s">
        <v>431</v>
      </c>
      <c r="B2" s="1612"/>
      <c r="C2" s="1612"/>
      <c r="D2" s="1612"/>
      <c r="E2" s="1612"/>
      <c r="F2" s="1612"/>
      <c r="G2" s="1612"/>
      <c r="H2" s="1612"/>
      <c r="I2" s="1612"/>
      <c r="J2" s="1612"/>
      <c r="K2" s="1353"/>
      <c r="L2" s="1353"/>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5"/>
      <c r="AK2" s="1375"/>
      <c r="AL2" s="1375"/>
      <c r="AM2" s="1375"/>
      <c r="AN2" s="1375"/>
      <c r="AO2" s="1375"/>
      <c r="AP2" s="1375"/>
      <c r="AQ2" s="1375"/>
      <c r="AR2" s="1375"/>
      <c r="AS2" s="1375"/>
      <c r="AT2" s="1375"/>
      <c r="AU2" s="1375"/>
      <c r="AV2" s="1375"/>
      <c r="AW2" s="1375"/>
      <c r="AX2" s="1375"/>
      <c r="AY2" s="1375"/>
      <c r="AZ2" s="1375"/>
      <c r="BA2" s="1375"/>
      <c r="BB2" s="1375"/>
      <c r="BC2" s="1375"/>
      <c r="BD2" s="1375"/>
      <c r="BE2" s="1375"/>
      <c r="BF2" s="1375"/>
      <c r="BG2" s="1375"/>
      <c r="BH2" s="1375"/>
      <c r="BI2" s="1375"/>
      <c r="BJ2" s="1375"/>
      <c r="BK2" s="1375"/>
      <c r="BL2" s="1375"/>
      <c r="BM2" s="1375"/>
      <c r="BN2" s="1375"/>
      <c r="BO2" s="1375"/>
      <c r="BP2" s="1375"/>
      <c r="BQ2" s="1375"/>
      <c r="BR2" s="1375"/>
      <c r="BS2" s="1375"/>
      <c r="BT2" s="1375"/>
      <c r="BU2" s="1375"/>
      <c r="BV2" s="1375"/>
      <c r="BW2" s="1375"/>
      <c r="BX2" s="1375"/>
      <c r="BY2" s="1375"/>
      <c r="BZ2" s="1375"/>
      <c r="CA2" s="1375"/>
      <c r="CB2" s="1375"/>
      <c r="CC2" s="1375"/>
      <c r="CD2" s="1375"/>
      <c r="CE2" s="1375"/>
      <c r="CF2" s="1375"/>
      <c r="CG2" s="1375"/>
      <c r="CH2" s="1375"/>
      <c r="CI2" s="1375"/>
      <c r="CJ2" s="1375"/>
      <c r="CK2" s="1375"/>
      <c r="CL2" s="1375"/>
      <c r="CM2" s="1375"/>
      <c r="CN2" s="1375"/>
      <c r="CO2" s="1375"/>
      <c r="CP2" s="1375"/>
      <c r="CQ2" s="1375"/>
      <c r="CR2" s="1375"/>
      <c r="CS2" s="1375"/>
      <c r="CT2" s="1375"/>
      <c r="CU2" s="1375"/>
      <c r="CV2" s="1375"/>
      <c r="CW2" s="1375"/>
      <c r="CX2" s="1375"/>
      <c r="CY2" s="1375"/>
      <c r="CZ2" s="1375"/>
      <c r="DA2" s="1375"/>
      <c r="DB2" s="1375"/>
      <c r="DC2" s="1375"/>
      <c r="DD2" s="1375"/>
      <c r="DE2" s="1375"/>
      <c r="DF2" s="1375"/>
      <c r="DG2" s="1375"/>
      <c r="DH2" s="1375"/>
      <c r="DI2" s="1375"/>
      <c r="DJ2" s="1375"/>
      <c r="DK2" s="1375"/>
      <c r="DL2" s="1375"/>
      <c r="DM2" s="1375"/>
      <c r="DN2" s="1375"/>
      <c r="DO2" s="1375"/>
      <c r="DP2" s="1375"/>
      <c r="DQ2" s="1375"/>
      <c r="DR2" s="1375"/>
      <c r="DS2" s="1375"/>
      <c r="DT2" s="1375"/>
      <c r="DU2" s="1375"/>
      <c r="DV2" s="1375"/>
      <c r="DW2" s="1375"/>
      <c r="DX2" s="1375"/>
      <c r="DY2" s="1375"/>
      <c r="DZ2" s="1375"/>
      <c r="EA2" s="1375"/>
      <c r="EB2" s="1375"/>
      <c r="EC2" s="1375"/>
      <c r="ED2" s="1375"/>
      <c r="EE2" s="1375"/>
      <c r="EF2" s="1375"/>
      <c r="EG2" s="1375"/>
      <c r="EH2" s="1375"/>
      <c r="EI2" s="1375"/>
      <c r="EJ2" s="1375"/>
      <c r="EK2" s="1375"/>
      <c r="EL2" s="1375"/>
      <c r="EM2" s="1375"/>
      <c r="EN2" s="1375"/>
      <c r="EO2" s="1375"/>
      <c r="EP2" s="1375"/>
      <c r="EQ2" s="1375"/>
      <c r="ER2" s="1375"/>
      <c r="ES2" s="1375"/>
      <c r="ET2" s="1375"/>
      <c r="EU2" s="1375"/>
      <c r="EV2" s="1375"/>
      <c r="EW2" s="1375"/>
      <c r="EX2" s="1375"/>
      <c r="EY2" s="1375"/>
      <c r="EZ2" s="1375"/>
      <c r="FA2" s="1375"/>
      <c r="FB2" s="1375"/>
      <c r="FC2" s="1375"/>
      <c r="FD2" s="1375"/>
      <c r="FE2" s="1375"/>
      <c r="FF2" s="1375"/>
      <c r="FG2" s="1375"/>
      <c r="FH2" s="1375"/>
      <c r="FI2" s="1375"/>
      <c r="FJ2" s="1375"/>
      <c r="FK2" s="1375"/>
      <c r="FL2" s="1375"/>
      <c r="FM2" s="1375"/>
      <c r="FN2" s="1375"/>
      <c r="FO2" s="1375"/>
      <c r="FP2" s="1375"/>
      <c r="FQ2" s="1375"/>
      <c r="FR2" s="1375"/>
      <c r="FS2" s="1375"/>
      <c r="FT2" s="1375"/>
      <c r="FU2" s="1375"/>
      <c r="FV2" s="1375"/>
      <c r="FW2" s="1375"/>
      <c r="FX2" s="1375"/>
      <c r="FY2" s="1375"/>
      <c r="FZ2" s="1375"/>
      <c r="GA2" s="1375"/>
      <c r="GB2" s="1375"/>
      <c r="GC2" s="1375"/>
      <c r="GD2" s="1375"/>
      <c r="GE2" s="1375"/>
      <c r="GF2" s="1375"/>
      <c r="GG2" s="1375"/>
      <c r="GH2" s="1375"/>
      <c r="GI2" s="1375"/>
      <c r="GJ2" s="1375"/>
      <c r="GK2" s="1375"/>
      <c r="GL2" s="1375"/>
      <c r="GM2" s="1375"/>
      <c r="GN2" s="1375"/>
      <c r="GO2" s="1375"/>
      <c r="GP2" s="1375"/>
      <c r="GQ2" s="1375"/>
      <c r="GR2" s="1375"/>
      <c r="GS2" s="1375"/>
      <c r="GT2" s="1375"/>
      <c r="GU2" s="1375"/>
      <c r="GV2" s="1375"/>
      <c r="GW2" s="1375"/>
      <c r="GX2" s="1375"/>
      <c r="GY2" s="1375"/>
      <c r="GZ2" s="1375"/>
      <c r="HA2" s="1375"/>
      <c r="HB2" s="1375"/>
      <c r="HC2" s="1375"/>
      <c r="HD2" s="1375"/>
      <c r="HE2" s="1375"/>
      <c r="HF2" s="1375"/>
      <c r="HG2" s="1375"/>
      <c r="HH2" s="1375"/>
      <c r="HI2" s="1375"/>
      <c r="HJ2" s="1375"/>
      <c r="HK2" s="1375"/>
      <c r="HL2" s="1375"/>
      <c r="HM2" s="1375"/>
      <c r="HN2" s="1375"/>
      <c r="HO2" s="1375"/>
      <c r="HP2" s="1375"/>
      <c r="HQ2" s="1375"/>
      <c r="HR2" s="1375"/>
      <c r="HS2" s="1375"/>
      <c r="HT2" s="1375"/>
      <c r="HU2" s="1375"/>
      <c r="HV2" s="1375"/>
      <c r="HW2" s="1375"/>
      <c r="HX2" s="1375"/>
      <c r="HY2" s="1375"/>
      <c r="HZ2" s="1375"/>
      <c r="IA2" s="1375"/>
      <c r="IB2" s="1375"/>
      <c r="IC2" s="1375"/>
      <c r="ID2" s="1375"/>
      <c r="IE2" s="1375"/>
      <c r="IF2" s="1375"/>
      <c r="IG2" s="1375"/>
      <c r="IH2" s="1375"/>
      <c r="II2" s="1375"/>
      <c r="IJ2" s="1375"/>
      <c r="IK2" s="1375"/>
      <c r="IL2" s="1375"/>
      <c r="IM2" s="1375"/>
      <c r="IN2" s="1375"/>
      <c r="IO2" s="1375"/>
      <c r="IP2" s="1375"/>
      <c r="IQ2" s="1375"/>
    </row>
    <row r="3" spans="1:251" ht="15">
      <c r="A3" s="1612" t="s">
        <v>1198</v>
      </c>
      <c r="B3" s="1612"/>
      <c r="C3" s="1612"/>
      <c r="D3" s="1612"/>
      <c r="E3" s="1612"/>
      <c r="F3" s="1612"/>
      <c r="G3" s="1612"/>
      <c r="H3" s="1612"/>
      <c r="I3" s="1612"/>
      <c r="J3" s="1612"/>
      <c r="K3" s="1353"/>
      <c r="L3" s="1353"/>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75"/>
      <c r="AJ3" s="1375"/>
      <c r="AK3" s="1375"/>
      <c r="AL3" s="1375"/>
      <c r="AM3" s="1375"/>
      <c r="AN3" s="1375"/>
      <c r="AO3" s="1375"/>
      <c r="AP3" s="1375"/>
      <c r="AQ3" s="1375"/>
      <c r="AR3" s="1375"/>
      <c r="AS3" s="1375"/>
      <c r="AT3" s="1375"/>
      <c r="AU3" s="1375"/>
      <c r="AV3" s="1375"/>
      <c r="AW3" s="1375"/>
      <c r="AX3" s="1375"/>
      <c r="AY3" s="1375"/>
      <c r="AZ3" s="1375"/>
      <c r="BA3" s="1375"/>
      <c r="BB3" s="1375"/>
      <c r="BC3" s="1375"/>
      <c r="BD3" s="1375"/>
      <c r="BE3" s="1375"/>
      <c r="BF3" s="1375"/>
      <c r="BG3" s="1375"/>
      <c r="BH3" s="1375"/>
      <c r="BI3" s="1375"/>
      <c r="BJ3" s="1375"/>
      <c r="BK3" s="1375"/>
      <c r="BL3" s="1375"/>
      <c r="BM3" s="1375"/>
      <c r="BN3" s="1375"/>
      <c r="BO3" s="1375"/>
      <c r="BP3" s="1375"/>
      <c r="BQ3" s="1375"/>
      <c r="BR3" s="1375"/>
      <c r="BS3" s="1375"/>
      <c r="BT3" s="1375"/>
      <c r="BU3" s="1375"/>
      <c r="BV3" s="1375"/>
      <c r="BW3" s="1375"/>
      <c r="BX3" s="1375"/>
      <c r="BY3" s="1375"/>
      <c r="BZ3" s="1375"/>
      <c r="CA3" s="1375"/>
      <c r="CB3" s="1375"/>
      <c r="CC3" s="1375"/>
      <c r="CD3" s="1375"/>
      <c r="CE3" s="1375"/>
      <c r="CF3" s="1375"/>
      <c r="CG3" s="1375"/>
      <c r="CH3" s="1375"/>
      <c r="CI3" s="1375"/>
      <c r="CJ3" s="1375"/>
      <c r="CK3" s="1375"/>
      <c r="CL3" s="1375"/>
      <c r="CM3" s="1375"/>
      <c r="CN3" s="1375"/>
      <c r="CO3" s="1375"/>
      <c r="CP3" s="1375"/>
      <c r="CQ3" s="1375"/>
      <c r="CR3" s="1375"/>
      <c r="CS3" s="1375"/>
      <c r="CT3" s="1375"/>
      <c r="CU3" s="1375"/>
      <c r="CV3" s="1375"/>
      <c r="CW3" s="1375"/>
      <c r="CX3" s="1375"/>
      <c r="CY3" s="1375"/>
      <c r="CZ3" s="1375"/>
      <c r="DA3" s="1375"/>
      <c r="DB3" s="1375"/>
      <c r="DC3" s="1375"/>
      <c r="DD3" s="1375"/>
      <c r="DE3" s="1375"/>
      <c r="DF3" s="1375"/>
      <c r="DG3" s="1375"/>
      <c r="DH3" s="1375"/>
      <c r="DI3" s="1375"/>
      <c r="DJ3" s="1375"/>
      <c r="DK3" s="1375"/>
      <c r="DL3" s="1375"/>
      <c r="DM3" s="1375"/>
      <c r="DN3" s="1375"/>
      <c r="DO3" s="1375"/>
      <c r="DP3" s="1375"/>
      <c r="DQ3" s="1375"/>
      <c r="DR3" s="1375"/>
      <c r="DS3" s="1375"/>
      <c r="DT3" s="1375"/>
      <c r="DU3" s="1375"/>
      <c r="DV3" s="1375"/>
      <c r="DW3" s="1375"/>
      <c r="DX3" s="1375"/>
      <c r="DY3" s="1375"/>
      <c r="DZ3" s="1375"/>
      <c r="EA3" s="1375"/>
      <c r="EB3" s="1375"/>
      <c r="EC3" s="1375"/>
      <c r="ED3" s="1375"/>
      <c r="EE3" s="1375"/>
      <c r="EF3" s="1375"/>
      <c r="EG3" s="1375"/>
      <c r="EH3" s="1375"/>
      <c r="EI3" s="1375"/>
      <c r="EJ3" s="1375"/>
      <c r="EK3" s="1375"/>
      <c r="EL3" s="1375"/>
      <c r="EM3" s="1375"/>
      <c r="EN3" s="1375"/>
      <c r="EO3" s="1375"/>
      <c r="EP3" s="1375"/>
      <c r="EQ3" s="1375"/>
      <c r="ER3" s="1375"/>
      <c r="ES3" s="1375"/>
      <c r="ET3" s="1375"/>
      <c r="EU3" s="1375"/>
      <c r="EV3" s="1375"/>
      <c r="EW3" s="1375"/>
      <c r="EX3" s="1375"/>
      <c r="EY3" s="1375"/>
      <c r="EZ3" s="1375"/>
      <c r="FA3" s="1375"/>
      <c r="FB3" s="1375"/>
      <c r="FC3" s="1375"/>
      <c r="FD3" s="1375"/>
      <c r="FE3" s="1375"/>
      <c r="FF3" s="1375"/>
      <c r="FG3" s="1375"/>
      <c r="FH3" s="1375"/>
      <c r="FI3" s="1375"/>
      <c r="FJ3" s="1375"/>
      <c r="FK3" s="1375"/>
      <c r="FL3" s="1375"/>
      <c r="FM3" s="1375"/>
      <c r="FN3" s="1375"/>
      <c r="FO3" s="1375"/>
      <c r="FP3" s="1375"/>
      <c r="FQ3" s="1375"/>
      <c r="FR3" s="1375"/>
      <c r="FS3" s="1375"/>
      <c r="FT3" s="1375"/>
      <c r="FU3" s="1375"/>
      <c r="FV3" s="1375"/>
      <c r="FW3" s="1375"/>
      <c r="FX3" s="1375"/>
      <c r="FY3" s="1375"/>
      <c r="FZ3" s="1375"/>
      <c r="GA3" s="1375"/>
      <c r="GB3" s="1375"/>
      <c r="GC3" s="1375"/>
      <c r="GD3" s="1375"/>
      <c r="GE3" s="1375"/>
      <c r="GF3" s="1375"/>
      <c r="GG3" s="1375"/>
      <c r="GH3" s="1375"/>
      <c r="GI3" s="1375"/>
      <c r="GJ3" s="1375"/>
      <c r="GK3" s="1375"/>
      <c r="GL3" s="1375"/>
      <c r="GM3" s="1375"/>
      <c r="GN3" s="1375"/>
      <c r="GO3" s="1375"/>
      <c r="GP3" s="1375"/>
      <c r="GQ3" s="1375"/>
      <c r="GR3" s="1375"/>
      <c r="GS3" s="1375"/>
      <c r="GT3" s="1375"/>
      <c r="GU3" s="1375"/>
      <c r="GV3" s="1375"/>
      <c r="GW3" s="1375"/>
      <c r="GX3" s="1375"/>
      <c r="GY3" s="1375"/>
      <c r="GZ3" s="1375"/>
      <c r="HA3" s="1375"/>
      <c r="HB3" s="1375"/>
      <c r="HC3" s="1375"/>
      <c r="HD3" s="1375"/>
      <c r="HE3" s="1375"/>
      <c r="HF3" s="1375"/>
      <c r="HG3" s="1375"/>
      <c r="HH3" s="1375"/>
      <c r="HI3" s="1375"/>
      <c r="HJ3" s="1375"/>
      <c r="HK3" s="1375"/>
      <c r="HL3" s="1375"/>
      <c r="HM3" s="1375"/>
      <c r="HN3" s="1375"/>
      <c r="HO3" s="1375"/>
      <c r="HP3" s="1375"/>
      <c r="HQ3" s="1375"/>
      <c r="HR3" s="1375"/>
      <c r="HS3" s="1375"/>
      <c r="HT3" s="1375"/>
      <c r="HU3" s="1375"/>
      <c r="HV3" s="1375"/>
      <c r="HW3" s="1375"/>
      <c r="HX3" s="1375"/>
      <c r="HY3" s="1375"/>
      <c r="HZ3" s="1375"/>
      <c r="IA3" s="1375"/>
      <c r="IB3" s="1375"/>
      <c r="IC3" s="1375"/>
      <c r="ID3" s="1375"/>
      <c r="IE3" s="1375"/>
      <c r="IF3" s="1375"/>
      <c r="IG3" s="1375"/>
      <c r="IH3" s="1375"/>
      <c r="II3" s="1375"/>
      <c r="IJ3" s="1375"/>
      <c r="IK3" s="1375"/>
      <c r="IL3" s="1375"/>
      <c r="IM3" s="1375"/>
      <c r="IN3" s="1375"/>
      <c r="IO3" s="1375"/>
      <c r="IP3" s="1375"/>
      <c r="IQ3" s="1375"/>
    </row>
    <row r="4" spans="1:251" ht="15">
      <c r="A4" s="1612" t="s">
        <v>853</v>
      </c>
      <c r="B4" s="1612"/>
      <c r="C4" s="1612"/>
      <c r="D4" s="1612"/>
      <c r="E4" s="1612"/>
      <c r="F4" s="1612"/>
      <c r="G4" s="1612"/>
      <c r="H4" s="1612"/>
      <c r="I4" s="1612"/>
      <c r="J4" s="1612"/>
      <c r="K4" s="1353"/>
      <c r="L4" s="1353"/>
      <c r="M4" s="1375"/>
      <c r="N4" s="1375"/>
      <c r="O4" s="1375"/>
      <c r="P4" s="1375"/>
      <c r="Q4" s="1375"/>
      <c r="R4" s="1375"/>
      <c r="S4" s="1375"/>
      <c r="T4" s="1375"/>
      <c r="U4" s="1375"/>
      <c r="V4" s="1375"/>
      <c r="W4" s="1375"/>
      <c r="X4" s="1375"/>
      <c r="Y4" s="1375"/>
      <c r="Z4" s="1375"/>
      <c r="AA4" s="1375"/>
      <c r="AB4" s="1375"/>
      <c r="AC4" s="1375"/>
      <c r="AD4" s="1375"/>
      <c r="AE4" s="1375"/>
      <c r="AF4" s="1375"/>
      <c r="AG4" s="1375"/>
      <c r="AH4" s="1375"/>
      <c r="AI4" s="1375"/>
      <c r="AJ4" s="1375"/>
      <c r="AK4" s="1375"/>
      <c r="AL4" s="1375"/>
      <c r="AM4" s="1375"/>
      <c r="AN4" s="1375"/>
      <c r="AO4" s="1375"/>
      <c r="AP4" s="1375"/>
      <c r="AQ4" s="1375"/>
      <c r="AR4" s="1375"/>
      <c r="AS4" s="1375"/>
      <c r="AT4" s="1375"/>
      <c r="AU4" s="1375"/>
      <c r="AV4" s="1375"/>
      <c r="AW4" s="1375"/>
      <c r="AX4" s="1375"/>
      <c r="AY4" s="1375"/>
      <c r="AZ4" s="1375"/>
      <c r="BA4" s="1375"/>
      <c r="BB4" s="1375"/>
      <c r="BC4" s="1375"/>
      <c r="BD4" s="1375"/>
      <c r="BE4" s="1375"/>
      <c r="BF4" s="1375"/>
      <c r="BG4" s="1375"/>
      <c r="BH4" s="1375"/>
      <c r="BI4" s="1375"/>
      <c r="BJ4" s="1375"/>
      <c r="BK4" s="1375"/>
      <c r="BL4" s="1375"/>
      <c r="BM4" s="1375"/>
      <c r="BN4" s="1375"/>
      <c r="BO4" s="1375"/>
      <c r="BP4" s="1375"/>
      <c r="BQ4" s="1375"/>
      <c r="BR4" s="1375"/>
      <c r="BS4" s="1375"/>
      <c r="BT4" s="1375"/>
      <c r="BU4" s="1375"/>
      <c r="BV4" s="1375"/>
      <c r="BW4" s="1375"/>
      <c r="BX4" s="1375"/>
      <c r="BY4" s="1375"/>
      <c r="BZ4" s="1375"/>
      <c r="CA4" s="1375"/>
      <c r="CB4" s="1375"/>
      <c r="CC4" s="1375"/>
      <c r="CD4" s="1375"/>
      <c r="CE4" s="1375"/>
      <c r="CF4" s="1375"/>
      <c r="CG4" s="1375"/>
      <c r="CH4" s="1375"/>
      <c r="CI4" s="1375"/>
      <c r="CJ4" s="1375"/>
      <c r="CK4" s="1375"/>
      <c r="CL4" s="1375"/>
      <c r="CM4" s="1375"/>
      <c r="CN4" s="1375"/>
      <c r="CO4" s="1375"/>
      <c r="CP4" s="1375"/>
      <c r="CQ4" s="1375"/>
      <c r="CR4" s="1375"/>
      <c r="CS4" s="1375"/>
      <c r="CT4" s="1375"/>
      <c r="CU4" s="1375"/>
      <c r="CV4" s="1375"/>
      <c r="CW4" s="1375"/>
      <c r="CX4" s="1375"/>
      <c r="CY4" s="1375"/>
      <c r="CZ4" s="1375"/>
      <c r="DA4" s="1375"/>
      <c r="DB4" s="1375"/>
      <c r="DC4" s="1375"/>
      <c r="DD4" s="1375"/>
      <c r="DE4" s="1375"/>
      <c r="DF4" s="1375"/>
      <c r="DG4" s="1375"/>
      <c r="DH4" s="1375"/>
      <c r="DI4" s="1375"/>
      <c r="DJ4" s="1375"/>
      <c r="DK4" s="1375"/>
      <c r="DL4" s="1375"/>
      <c r="DM4" s="1375"/>
      <c r="DN4" s="1375"/>
      <c r="DO4" s="1375"/>
      <c r="DP4" s="1375"/>
      <c r="DQ4" s="1375"/>
      <c r="DR4" s="1375"/>
      <c r="DS4" s="1375"/>
      <c r="DT4" s="1375"/>
      <c r="DU4" s="1375"/>
      <c r="DV4" s="1375"/>
      <c r="DW4" s="1375"/>
      <c r="DX4" s="1375"/>
      <c r="DY4" s="1375"/>
      <c r="DZ4" s="1375"/>
      <c r="EA4" s="1375"/>
      <c r="EB4" s="1375"/>
      <c r="EC4" s="1375"/>
      <c r="ED4" s="1375"/>
      <c r="EE4" s="1375"/>
      <c r="EF4" s="1375"/>
      <c r="EG4" s="1375"/>
      <c r="EH4" s="1375"/>
      <c r="EI4" s="1375"/>
      <c r="EJ4" s="1375"/>
      <c r="EK4" s="1375"/>
      <c r="EL4" s="1375"/>
      <c r="EM4" s="1375"/>
      <c r="EN4" s="1375"/>
      <c r="EO4" s="1375"/>
      <c r="EP4" s="1375"/>
      <c r="EQ4" s="1375"/>
      <c r="ER4" s="1375"/>
      <c r="ES4" s="1375"/>
      <c r="ET4" s="1375"/>
      <c r="EU4" s="1375"/>
      <c r="EV4" s="1375"/>
      <c r="EW4" s="1375"/>
      <c r="EX4" s="1375"/>
      <c r="EY4" s="1375"/>
      <c r="EZ4" s="1375"/>
      <c r="FA4" s="1375"/>
      <c r="FB4" s="1375"/>
      <c r="FC4" s="1375"/>
      <c r="FD4" s="1375"/>
      <c r="FE4" s="1375"/>
      <c r="FF4" s="1375"/>
      <c r="FG4" s="1375"/>
      <c r="FH4" s="1375"/>
      <c r="FI4" s="1375"/>
      <c r="FJ4" s="1375"/>
      <c r="FK4" s="1375"/>
      <c r="FL4" s="1375"/>
      <c r="FM4" s="1375"/>
      <c r="FN4" s="1375"/>
      <c r="FO4" s="1375"/>
      <c r="FP4" s="1375"/>
      <c r="FQ4" s="1375"/>
      <c r="FR4" s="1375"/>
      <c r="FS4" s="1375"/>
      <c r="FT4" s="1375"/>
      <c r="FU4" s="1375"/>
      <c r="FV4" s="1375"/>
      <c r="FW4" s="1375"/>
      <c r="FX4" s="1375"/>
      <c r="FY4" s="1375"/>
      <c r="FZ4" s="1375"/>
      <c r="GA4" s="1375"/>
      <c r="GB4" s="1375"/>
      <c r="GC4" s="1375"/>
      <c r="GD4" s="1375"/>
      <c r="GE4" s="1375"/>
      <c r="GF4" s="1375"/>
      <c r="GG4" s="1375"/>
      <c r="GH4" s="1375"/>
      <c r="GI4" s="1375"/>
      <c r="GJ4" s="1375"/>
      <c r="GK4" s="1375"/>
      <c r="GL4" s="1375"/>
      <c r="GM4" s="1375"/>
      <c r="GN4" s="1375"/>
      <c r="GO4" s="1375"/>
      <c r="GP4" s="1375"/>
      <c r="GQ4" s="1375"/>
      <c r="GR4" s="1375"/>
      <c r="GS4" s="1375"/>
      <c r="GT4" s="1375"/>
      <c r="GU4" s="1375"/>
      <c r="GV4" s="1375"/>
      <c r="GW4" s="1375"/>
      <c r="GX4" s="1375"/>
      <c r="GY4" s="1375"/>
      <c r="GZ4" s="1375"/>
      <c r="HA4" s="1375"/>
      <c r="HB4" s="1375"/>
      <c r="HC4" s="1375"/>
      <c r="HD4" s="1375"/>
      <c r="HE4" s="1375"/>
      <c r="HF4" s="1375"/>
      <c r="HG4" s="1375"/>
      <c r="HH4" s="1375"/>
      <c r="HI4" s="1375"/>
      <c r="HJ4" s="1375"/>
      <c r="HK4" s="1375"/>
      <c r="HL4" s="1375"/>
      <c r="HM4" s="1375"/>
      <c r="HN4" s="1375"/>
      <c r="HO4" s="1375"/>
      <c r="HP4" s="1375"/>
      <c r="HQ4" s="1375"/>
      <c r="HR4" s="1375"/>
      <c r="HS4" s="1375"/>
      <c r="HT4" s="1375"/>
      <c r="HU4" s="1375"/>
      <c r="HV4" s="1375"/>
      <c r="HW4" s="1375"/>
      <c r="HX4" s="1375"/>
      <c r="HY4" s="1375"/>
      <c r="HZ4" s="1375"/>
      <c r="IA4" s="1375"/>
      <c r="IB4" s="1375"/>
      <c r="IC4" s="1375"/>
      <c r="ID4" s="1375"/>
      <c r="IE4" s="1375"/>
      <c r="IF4" s="1375"/>
      <c r="IG4" s="1375"/>
      <c r="IH4" s="1375"/>
      <c r="II4" s="1375"/>
      <c r="IJ4" s="1375"/>
      <c r="IK4" s="1375"/>
      <c r="IL4" s="1375"/>
      <c r="IM4" s="1375"/>
      <c r="IN4" s="1375"/>
      <c r="IO4" s="1375"/>
      <c r="IP4" s="1375"/>
      <c r="IQ4" s="1375"/>
    </row>
    <row r="5" spans="1:256" ht="30" customHeight="1">
      <c r="A5" s="1385"/>
      <c r="B5" s="1385"/>
      <c r="C5" s="1385"/>
      <c r="D5" s="1385"/>
      <c r="E5" s="1385"/>
      <c r="F5" s="1385"/>
      <c r="G5" s="1385"/>
      <c r="H5" s="1385"/>
      <c r="I5" s="1383"/>
      <c r="J5" s="1386" t="s">
        <v>496</v>
      </c>
      <c r="K5" s="1384"/>
      <c r="L5" s="1384"/>
      <c r="M5" s="1384"/>
      <c r="N5" s="1384"/>
      <c r="O5" s="1384"/>
      <c r="P5" s="1384"/>
      <c r="Q5" s="1384"/>
      <c r="R5" s="1384"/>
      <c r="S5" s="1384"/>
      <c r="T5" s="1384"/>
      <c r="U5" s="1384"/>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4"/>
      <c r="CE5" s="1384"/>
      <c r="CF5" s="1384"/>
      <c r="CG5" s="1384"/>
      <c r="CH5" s="1384"/>
      <c r="CI5" s="1384"/>
      <c r="CJ5" s="1384"/>
      <c r="CK5" s="1384"/>
      <c r="CL5" s="1384"/>
      <c r="CM5" s="1384"/>
      <c r="CN5" s="1384"/>
      <c r="CO5" s="1384"/>
      <c r="CP5" s="1384"/>
      <c r="CQ5" s="1384"/>
      <c r="CR5" s="1384"/>
      <c r="CS5" s="1384"/>
      <c r="CT5" s="1384"/>
      <c r="CU5" s="1384"/>
      <c r="CV5" s="1384"/>
      <c r="CW5" s="1384"/>
      <c r="CX5" s="1384"/>
      <c r="CY5" s="1384"/>
      <c r="CZ5" s="1384"/>
      <c r="DA5" s="1384"/>
      <c r="DB5" s="1384"/>
      <c r="DC5" s="1384"/>
      <c r="DD5" s="1384"/>
      <c r="DE5" s="1384"/>
      <c r="DF5" s="1384"/>
      <c r="DG5" s="1384"/>
      <c r="DH5" s="1384"/>
      <c r="DI5" s="1384"/>
      <c r="DJ5" s="1384"/>
      <c r="DK5" s="1384"/>
      <c r="DL5" s="1384"/>
      <c r="DM5" s="1384"/>
      <c r="DN5" s="1384"/>
      <c r="DO5" s="1384"/>
      <c r="DP5" s="1384"/>
      <c r="DQ5" s="1384"/>
      <c r="DR5" s="1384"/>
      <c r="DS5" s="1384"/>
      <c r="DT5" s="1384"/>
      <c r="DU5" s="1384"/>
      <c r="DV5" s="1384"/>
      <c r="DW5" s="1384"/>
      <c r="DX5" s="1384"/>
      <c r="DY5" s="1384"/>
      <c r="DZ5" s="1384"/>
      <c r="EA5" s="1384"/>
      <c r="EB5" s="1384"/>
      <c r="EC5" s="1384"/>
      <c r="ED5" s="1384"/>
      <c r="EE5" s="1384"/>
      <c r="EF5" s="1384"/>
      <c r="EG5" s="1384"/>
      <c r="EH5" s="1384"/>
      <c r="EI5" s="1384"/>
      <c r="EJ5" s="1384"/>
      <c r="EK5" s="1384"/>
      <c r="EL5" s="1384"/>
      <c r="EM5" s="1384"/>
      <c r="EN5" s="1384"/>
      <c r="EO5" s="1384"/>
      <c r="EP5" s="1384"/>
      <c r="EQ5" s="1384"/>
      <c r="ER5" s="1384"/>
      <c r="ES5" s="1384"/>
      <c r="ET5" s="1384"/>
      <c r="EU5" s="1384"/>
      <c r="EV5" s="1384"/>
      <c r="EW5" s="1384"/>
      <c r="EX5" s="1384"/>
      <c r="EY5" s="1384"/>
      <c r="EZ5" s="1384"/>
      <c r="FA5" s="1384"/>
      <c r="FB5" s="1384"/>
      <c r="FC5" s="1384"/>
      <c r="FD5" s="1384"/>
      <c r="FE5" s="1384"/>
      <c r="FF5" s="1384"/>
      <c r="FG5" s="1384"/>
      <c r="FH5" s="1384"/>
      <c r="FI5" s="1384"/>
      <c r="FJ5" s="1384"/>
      <c r="FK5" s="1384"/>
      <c r="FL5" s="1384"/>
      <c r="FM5" s="1384"/>
      <c r="FN5" s="1384"/>
      <c r="FO5" s="1384"/>
      <c r="FP5" s="1384"/>
      <c r="FQ5" s="1384"/>
      <c r="FR5" s="1384"/>
      <c r="FS5" s="1384"/>
      <c r="FT5" s="1384"/>
      <c r="FU5" s="1384"/>
      <c r="FV5" s="1384"/>
      <c r="FW5" s="1384"/>
      <c r="FX5" s="1384"/>
      <c r="FY5" s="1384"/>
      <c r="FZ5" s="1384"/>
      <c r="GA5" s="1384"/>
      <c r="GB5" s="1384"/>
      <c r="GC5" s="1384"/>
      <c r="GD5" s="1384"/>
      <c r="GE5" s="1384"/>
      <c r="GF5" s="1384"/>
      <c r="GG5" s="1384"/>
      <c r="GH5" s="1384"/>
      <c r="GI5" s="1384"/>
      <c r="GJ5" s="1384"/>
      <c r="GK5" s="1384"/>
      <c r="GL5" s="1384"/>
      <c r="GM5" s="1384"/>
      <c r="GN5" s="1384"/>
      <c r="GO5" s="1384"/>
      <c r="GP5" s="1384"/>
      <c r="GQ5" s="1384"/>
      <c r="GR5" s="1384"/>
      <c r="GS5" s="1384"/>
      <c r="GT5" s="1384"/>
      <c r="GU5" s="1384"/>
      <c r="GV5" s="1384"/>
      <c r="GW5" s="1384"/>
      <c r="GX5" s="1384"/>
      <c r="GY5" s="1384"/>
      <c r="GZ5" s="1384"/>
      <c r="HA5" s="1384"/>
      <c r="HB5" s="1384"/>
      <c r="HC5" s="1384"/>
      <c r="HD5" s="1384"/>
      <c r="HE5" s="1384"/>
      <c r="HF5" s="1384"/>
      <c r="HG5" s="1384"/>
      <c r="HH5" s="1384"/>
      <c r="HI5" s="1384"/>
      <c r="HJ5" s="1384"/>
      <c r="HK5" s="1384"/>
      <c r="HL5" s="1384"/>
      <c r="HM5" s="1384"/>
      <c r="HN5" s="1384"/>
      <c r="HO5" s="1384"/>
      <c r="HP5" s="1384"/>
      <c r="HQ5" s="1384"/>
      <c r="HR5" s="1384"/>
      <c r="HS5" s="1384"/>
      <c r="HT5" s="1384"/>
      <c r="HU5" s="1384"/>
      <c r="HV5" s="1384"/>
      <c r="HW5" s="1384"/>
      <c r="HX5" s="1384"/>
      <c r="HY5" s="1384"/>
      <c r="HZ5" s="1384"/>
      <c r="IA5" s="1384"/>
      <c r="IB5" s="1384"/>
      <c r="IC5" s="1384"/>
      <c r="ID5" s="1384"/>
      <c r="IE5" s="1384"/>
      <c r="IF5" s="1384"/>
      <c r="IG5" s="1384"/>
      <c r="IH5" s="1384"/>
      <c r="II5" s="1384"/>
      <c r="IJ5" s="1384"/>
      <c r="IK5" s="1384"/>
      <c r="IL5" s="1384"/>
      <c r="IM5" s="1384"/>
      <c r="IN5" s="1384"/>
      <c r="IO5" s="1384"/>
      <c r="IP5" s="1384"/>
      <c r="IQ5" s="1384"/>
      <c r="IR5" s="869"/>
      <c r="IS5" s="869"/>
      <c r="IT5" s="869"/>
      <c r="IU5" s="869"/>
      <c r="IV5" s="869"/>
    </row>
    <row r="6" spans="1:256" ht="15.75" thickBot="1">
      <c r="A6" s="1613" t="s">
        <v>504</v>
      </c>
      <c r="B6" s="1613"/>
      <c r="C6" s="1377" t="s">
        <v>505</v>
      </c>
      <c r="D6" s="1377" t="s">
        <v>506</v>
      </c>
      <c r="E6" s="1377" t="s">
        <v>507</v>
      </c>
      <c r="F6" s="1377" t="s">
        <v>508</v>
      </c>
      <c r="G6" s="1377" t="s">
        <v>509</v>
      </c>
      <c r="H6" s="1377" t="s">
        <v>510</v>
      </c>
      <c r="I6" s="1377" t="s">
        <v>394</v>
      </c>
      <c r="J6" s="1377" t="s">
        <v>395</v>
      </c>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378"/>
      <c r="AJ6" s="1378"/>
      <c r="AK6" s="1378"/>
      <c r="AL6" s="1378"/>
      <c r="AM6" s="1378"/>
      <c r="AN6" s="1378"/>
      <c r="AO6" s="1378"/>
      <c r="AP6" s="1378"/>
      <c r="AQ6" s="1378"/>
      <c r="AR6" s="1378"/>
      <c r="AS6" s="1378"/>
      <c r="AT6" s="1378"/>
      <c r="AU6" s="1378"/>
      <c r="AV6" s="1378"/>
      <c r="AW6" s="1378"/>
      <c r="AX6" s="1378"/>
      <c r="AY6" s="1378"/>
      <c r="AZ6" s="1378"/>
      <c r="BA6" s="1378"/>
      <c r="BB6" s="1378"/>
      <c r="BC6" s="1378"/>
      <c r="BD6" s="1378"/>
      <c r="BE6" s="1378"/>
      <c r="BF6" s="1378"/>
      <c r="BG6" s="1378"/>
      <c r="BH6" s="1378"/>
      <c r="BI6" s="1378"/>
      <c r="BJ6" s="1378"/>
      <c r="BK6" s="1378"/>
      <c r="BL6" s="1378"/>
      <c r="BM6" s="1378"/>
      <c r="BN6" s="1378"/>
      <c r="BO6" s="1378"/>
      <c r="BP6" s="1378"/>
      <c r="BQ6" s="1378"/>
      <c r="BR6" s="1378"/>
      <c r="BS6" s="1378"/>
      <c r="BT6" s="1378"/>
      <c r="BU6" s="1378"/>
      <c r="BV6" s="1378"/>
      <c r="BW6" s="1378"/>
      <c r="BX6" s="1378"/>
      <c r="BY6" s="1378"/>
      <c r="BZ6" s="1378"/>
      <c r="CA6" s="1378"/>
      <c r="CB6" s="1378"/>
      <c r="CC6" s="1378"/>
      <c r="CD6" s="1378"/>
      <c r="CE6" s="1378"/>
      <c r="CF6" s="1378"/>
      <c r="CG6" s="1378"/>
      <c r="CH6" s="1378"/>
      <c r="CI6" s="1378"/>
      <c r="CJ6" s="1378"/>
      <c r="CK6" s="1378"/>
      <c r="CL6" s="1378"/>
      <c r="CM6" s="1378"/>
      <c r="CN6" s="1378"/>
      <c r="CO6" s="1378"/>
      <c r="CP6" s="1378"/>
      <c r="CQ6" s="1378"/>
      <c r="CR6" s="1378"/>
      <c r="CS6" s="1378"/>
      <c r="CT6" s="1378"/>
      <c r="CU6" s="1378"/>
      <c r="CV6" s="1378"/>
      <c r="CW6" s="1378"/>
      <c r="CX6" s="1378"/>
      <c r="CY6" s="1378"/>
      <c r="CZ6" s="1378"/>
      <c r="DA6" s="1378"/>
      <c r="DB6" s="1378"/>
      <c r="DC6" s="1378"/>
      <c r="DD6" s="1378"/>
      <c r="DE6" s="1378"/>
      <c r="DF6" s="1378"/>
      <c r="DG6" s="1378"/>
      <c r="DH6" s="1378"/>
      <c r="DI6" s="1378"/>
      <c r="DJ6" s="1378"/>
      <c r="DK6" s="1378"/>
      <c r="DL6" s="1378"/>
      <c r="DM6" s="1378"/>
      <c r="DN6" s="1378"/>
      <c r="DO6" s="1378"/>
      <c r="DP6" s="1378"/>
      <c r="DQ6" s="1378"/>
      <c r="DR6" s="1378"/>
      <c r="DS6" s="1378"/>
      <c r="DT6" s="1378"/>
      <c r="DU6" s="1378"/>
      <c r="DV6" s="1378"/>
      <c r="DW6" s="1378"/>
      <c r="DX6" s="1378"/>
      <c r="DY6" s="1378"/>
      <c r="DZ6" s="1378"/>
      <c r="EA6" s="1378"/>
      <c r="EB6" s="1378"/>
      <c r="EC6" s="1378"/>
      <c r="ED6" s="1378"/>
      <c r="EE6" s="1378"/>
      <c r="EF6" s="1378"/>
      <c r="EG6" s="1378"/>
      <c r="EH6" s="1378"/>
      <c r="EI6" s="1378"/>
      <c r="EJ6" s="1378"/>
      <c r="EK6" s="1378"/>
      <c r="EL6" s="1378"/>
      <c r="EM6" s="1378"/>
      <c r="EN6" s="1378"/>
      <c r="EO6" s="1378"/>
      <c r="EP6" s="1378"/>
      <c r="EQ6" s="1378"/>
      <c r="ER6" s="1378"/>
      <c r="ES6" s="1378"/>
      <c r="ET6" s="1378"/>
      <c r="EU6" s="1378"/>
      <c r="EV6" s="1378"/>
      <c r="EW6" s="1378"/>
      <c r="EX6" s="1378"/>
      <c r="EY6" s="1378"/>
      <c r="EZ6" s="1378"/>
      <c r="FA6" s="1378"/>
      <c r="FB6" s="1378"/>
      <c r="FC6" s="1378"/>
      <c r="FD6" s="1378"/>
      <c r="FE6" s="1378"/>
      <c r="FF6" s="1378"/>
      <c r="FG6" s="1378"/>
      <c r="FH6" s="1378"/>
      <c r="FI6" s="1378"/>
      <c r="FJ6" s="1378"/>
      <c r="FK6" s="1378"/>
      <c r="FL6" s="1378"/>
      <c r="FM6" s="1378"/>
      <c r="FN6" s="1378"/>
      <c r="FO6" s="1378"/>
      <c r="FP6" s="1378"/>
      <c r="FQ6" s="1378"/>
      <c r="FR6" s="1378"/>
      <c r="FS6" s="1378"/>
      <c r="FT6" s="1378"/>
      <c r="FU6" s="1378"/>
      <c r="FV6" s="1378"/>
      <c r="FW6" s="1378"/>
      <c r="FX6" s="1378"/>
      <c r="FY6" s="1378"/>
      <c r="FZ6" s="1378"/>
      <c r="GA6" s="1378"/>
      <c r="GB6" s="1378"/>
      <c r="GC6" s="1378"/>
      <c r="GD6" s="1378"/>
      <c r="GE6" s="1378"/>
      <c r="GF6" s="1378"/>
      <c r="GG6" s="1378"/>
      <c r="GH6" s="1378"/>
      <c r="GI6" s="1378"/>
      <c r="GJ6" s="1378"/>
      <c r="GK6" s="1378"/>
      <c r="GL6" s="1378"/>
      <c r="GM6" s="1378"/>
      <c r="GN6" s="1378"/>
      <c r="GO6" s="1378"/>
      <c r="GP6" s="1378"/>
      <c r="GQ6" s="1378"/>
      <c r="GR6" s="1378"/>
      <c r="GS6" s="1378"/>
      <c r="GT6" s="1378"/>
      <c r="GU6" s="1378"/>
      <c r="GV6" s="1378"/>
      <c r="GW6" s="1378"/>
      <c r="GX6" s="1378"/>
      <c r="GY6" s="1378"/>
      <c r="GZ6" s="1378"/>
      <c r="HA6" s="1378"/>
      <c r="HB6" s="1378"/>
      <c r="HC6" s="1378"/>
      <c r="HD6" s="1378"/>
      <c r="HE6" s="1378"/>
      <c r="HF6" s="1378"/>
      <c r="HG6" s="1378"/>
      <c r="HH6" s="1378"/>
      <c r="HI6" s="1378"/>
      <c r="HJ6" s="1378"/>
      <c r="HK6" s="1378"/>
      <c r="HL6" s="1378"/>
      <c r="HM6" s="1378"/>
      <c r="HN6" s="1378"/>
      <c r="HO6" s="1378"/>
      <c r="HP6" s="1378"/>
      <c r="HQ6" s="1378"/>
      <c r="HR6" s="1378"/>
      <c r="HS6" s="1378"/>
      <c r="HT6" s="1378"/>
      <c r="HU6" s="1378"/>
      <c r="HV6" s="1378"/>
      <c r="HW6" s="1378"/>
      <c r="HX6" s="1378"/>
      <c r="HY6" s="1378"/>
      <c r="HZ6" s="1378"/>
      <c r="IA6" s="1378"/>
      <c r="IB6" s="1378"/>
      <c r="IC6" s="1378"/>
      <c r="ID6" s="1378"/>
      <c r="IE6" s="1378"/>
      <c r="IF6" s="1378"/>
      <c r="IG6" s="1378"/>
      <c r="IH6" s="1378"/>
      <c r="II6" s="1378"/>
      <c r="IJ6" s="1378"/>
      <c r="IK6" s="1378"/>
      <c r="IL6" s="1378"/>
      <c r="IM6" s="1378"/>
      <c r="IN6" s="1378"/>
      <c r="IO6" s="1378"/>
      <c r="IP6" s="1378"/>
      <c r="IQ6" s="1378"/>
      <c r="IR6" s="865"/>
      <c r="IS6" s="865"/>
      <c r="IT6" s="865"/>
      <c r="IU6" s="865"/>
      <c r="IV6" s="865"/>
    </row>
    <row r="7" spans="1:251" ht="45" customHeight="1" thickBot="1">
      <c r="A7" s="1614" t="s">
        <v>678</v>
      </c>
      <c r="B7" s="1615"/>
      <c r="C7" s="1354" t="s">
        <v>688</v>
      </c>
      <c r="D7" s="1354" t="s">
        <v>689</v>
      </c>
      <c r="E7" s="1354" t="s">
        <v>690</v>
      </c>
      <c r="F7" s="1354" t="s">
        <v>679</v>
      </c>
      <c r="G7" s="1354" t="s">
        <v>1420</v>
      </c>
      <c r="H7" s="1354" t="s">
        <v>1417</v>
      </c>
      <c r="I7" s="1354" t="s">
        <v>1419</v>
      </c>
      <c r="J7" s="1355" t="s">
        <v>1418</v>
      </c>
      <c r="K7" s="1376"/>
      <c r="L7" s="1376"/>
      <c r="M7" s="1376"/>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6"/>
      <c r="AL7" s="1376"/>
      <c r="AM7" s="1376"/>
      <c r="AN7" s="1376"/>
      <c r="AO7" s="1376"/>
      <c r="AP7" s="1376"/>
      <c r="AQ7" s="1376"/>
      <c r="AR7" s="1376"/>
      <c r="AS7" s="1376"/>
      <c r="AT7" s="1376"/>
      <c r="AU7" s="1376"/>
      <c r="AV7" s="1376"/>
      <c r="AW7" s="1376"/>
      <c r="AX7" s="1376"/>
      <c r="AY7" s="1376"/>
      <c r="AZ7" s="1376"/>
      <c r="BA7" s="1376"/>
      <c r="BB7" s="1376"/>
      <c r="BC7" s="1376"/>
      <c r="BD7" s="1376"/>
      <c r="BE7" s="1376"/>
      <c r="BF7" s="1376"/>
      <c r="BG7" s="1376"/>
      <c r="BH7" s="1376"/>
      <c r="BI7" s="1376"/>
      <c r="BJ7" s="1376"/>
      <c r="BK7" s="1376"/>
      <c r="BL7" s="1376"/>
      <c r="BM7" s="1376"/>
      <c r="BN7" s="1376"/>
      <c r="BO7" s="1376"/>
      <c r="BP7" s="1376"/>
      <c r="BQ7" s="1376"/>
      <c r="BR7" s="1376"/>
      <c r="BS7" s="1376"/>
      <c r="BT7" s="1376"/>
      <c r="BU7" s="1376"/>
      <c r="BV7" s="1376"/>
      <c r="BW7" s="1376"/>
      <c r="BX7" s="1376"/>
      <c r="BY7" s="1376"/>
      <c r="BZ7" s="1376"/>
      <c r="CA7" s="1376"/>
      <c r="CB7" s="1376"/>
      <c r="CC7" s="1376"/>
      <c r="CD7" s="1376"/>
      <c r="CE7" s="1376"/>
      <c r="CF7" s="1376"/>
      <c r="CG7" s="1376"/>
      <c r="CH7" s="1376"/>
      <c r="CI7" s="1376"/>
      <c r="CJ7" s="1376"/>
      <c r="CK7" s="1376"/>
      <c r="CL7" s="1376"/>
      <c r="CM7" s="1376"/>
      <c r="CN7" s="1376"/>
      <c r="CO7" s="1376"/>
      <c r="CP7" s="1376"/>
      <c r="CQ7" s="1376"/>
      <c r="CR7" s="1376"/>
      <c r="CS7" s="1376"/>
      <c r="CT7" s="1376"/>
      <c r="CU7" s="1376"/>
      <c r="CV7" s="1376"/>
      <c r="CW7" s="1376"/>
      <c r="CX7" s="1376"/>
      <c r="CY7" s="1376"/>
      <c r="CZ7" s="1376"/>
      <c r="DA7" s="1376"/>
      <c r="DB7" s="1376"/>
      <c r="DC7" s="1376"/>
      <c r="DD7" s="1376"/>
      <c r="DE7" s="1376"/>
      <c r="DF7" s="1376"/>
      <c r="DG7" s="1376"/>
      <c r="DH7" s="1376"/>
      <c r="DI7" s="1376"/>
      <c r="DJ7" s="1376"/>
      <c r="DK7" s="1376"/>
      <c r="DL7" s="1376"/>
      <c r="DM7" s="1376"/>
      <c r="DN7" s="1376"/>
      <c r="DO7" s="1376"/>
      <c r="DP7" s="1376"/>
      <c r="DQ7" s="1376"/>
      <c r="DR7" s="1376"/>
      <c r="DS7" s="1376"/>
      <c r="DT7" s="1376"/>
      <c r="DU7" s="1376"/>
      <c r="DV7" s="1376"/>
      <c r="DW7" s="1376"/>
      <c r="DX7" s="1376"/>
      <c r="DY7" s="1376"/>
      <c r="DZ7" s="1376"/>
      <c r="EA7" s="1376"/>
      <c r="EB7" s="1376"/>
      <c r="EC7" s="1376"/>
      <c r="ED7" s="1376"/>
      <c r="EE7" s="1376"/>
      <c r="EF7" s="1376"/>
      <c r="EG7" s="1376"/>
      <c r="EH7" s="1376"/>
      <c r="EI7" s="1376"/>
      <c r="EJ7" s="1376"/>
      <c r="EK7" s="1376"/>
      <c r="EL7" s="1376"/>
      <c r="EM7" s="1376"/>
      <c r="EN7" s="1376"/>
      <c r="EO7" s="1376"/>
      <c r="EP7" s="1376"/>
      <c r="EQ7" s="1376"/>
      <c r="ER7" s="1376"/>
      <c r="ES7" s="1376"/>
      <c r="ET7" s="1376"/>
      <c r="EU7" s="1376"/>
      <c r="EV7" s="1376"/>
      <c r="EW7" s="1376"/>
      <c r="EX7" s="1376"/>
      <c r="EY7" s="1376"/>
      <c r="EZ7" s="1376"/>
      <c r="FA7" s="1376"/>
      <c r="FB7" s="1376"/>
      <c r="FC7" s="1376"/>
      <c r="FD7" s="1376"/>
      <c r="FE7" s="1376"/>
      <c r="FF7" s="1376"/>
      <c r="FG7" s="1376"/>
      <c r="FH7" s="1376"/>
      <c r="FI7" s="1376"/>
      <c r="FJ7" s="1376"/>
      <c r="FK7" s="1376"/>
      <c r="FL7" s="1376"/>
      <c r="FM7" s="1376"/>
      <c r="FN7" s="1376"/>
      <c r="FO7" s="1376"/>
      <c r="FP7" s="1376"/>
      <c r="FQ7" s="1376"/>
      <c r="FR7" s="1376"/>
      <c r="FS7" s="1376"/>
      <c r="FT7" s="1376"/>
      <c r="FU7" s="1376"/>
      <c r="FV7" s="1376"/>
      <c r="FW7" s="1376"/>
      <c r="FX7" s="1376"/>
      <c r="FY7" s="1376"/>
      <c r="FZ7" s="1376"/>
      <c r="GA7" s="1376"/>
      <c r="GB7" s="1376"/>
      <c r="GC7" s="1376"/>
      <c r="GD7" s="1376"/>
      <c r="GE7" s="1376"/>
      <c r="GF7" s="1376"/>
      <c r="GG7" s="1376"/>
      <c r="GH7" s="1376"/>
      <c r="GI7" s="1376"/>
      <c r="GJ7" s="1376"/>
      <c r="GK7" s="1376"/>
      <c r="GL7" s="1376"/>
      <c r="GM7" s="1376"/>
      <c r="GN7" s="1376"/>
      <c r="GO7" s="1376"/>
      <c r="GP7" s="1376"/>
      <c r="GQ7" s="1376"/>
      <c r="GR7" s="1376"/>
      <c r="GS7" s="1376"/>
      <c r="GT7" s="1376"/>
      <c r="GU7" s="1376"/>
      <c r="GV7" s="1376"/>
      <c r="GW7" s="1376"/>
      <c r="GX7" s="1376"/>
      <c r="GY7" s="1376"/>
      <c r="GZ7" s="1376"/>
      <c r="HA7" s="1376"/>
      <c r="HB7" s="1376"/>
      <c r="HC7" s="1376"/>
      <c r="HD7" s="1376"/>
      <c r="HE7" s="1376"/>
      <c r="HF7" s="1376"/>
      <c r="HG7" s="1376"/>
      <c r="HH7" s="1376"/>
      <c r="HI7" s="1376"/>
      <c r="HJ7" s="1376"/>
      <c r="HK7" s="1376"/>
      <c r="HL7" s="1376"/>
      <c r="HM7" s="1376"/>
      <c r="HN7" s="1376"/>
      <c r="HO7" s="1376"/>
      <c r="HP7" s="1376"/>
      <c r="HQ7" s="1376"/>
      <c r="HR7" s="1376"/>
      <c r="HS7" s="1376"/>
      <c r="HT7" s="1376"/>
      <c r="HU7" s="1376"/>
      <c r="HV7" s="1376"/>
      <c r="HW7" s="1376"/>
      <c r="HX7" s="1376"/>
      <c r="HY7" s="1376"/>
      <c r="HZ7" s="1376"/>
      <c r="IA7" s="1376"/>
      <c r="IB7" s="1376"/>
      <c r="IC7" s="1376"/>
      <c r="ID7" s="1376"/>
      <c r="IE7" s="1376"/>
      <c r="IF7" s="1376"/>
      <c r="IG7" s="1376"/>
      <c r="IH7" s="1376"/>
      <c r="II7" s="1376"/>
      <c r="IJ7" s="1376"/>
      <c r="IK7" s="1376"/>
      <c r="IL7" s="1376"/>
      <c r="IM7" s="1376"/>
      <c r="IN7" s="1376"/>
      <c r="IO7" s="1376"/>
      <c r="IP7" s="1376"/>
      <c r="IQ7" s="1376"/>
    </row>
    <row r="8" spans="1:10" ht="30" customHeight="1" thickTop="1">
      <c r="A8" s="1356">
        <v>1</v>
      </c>
      <c r="B8" s="1357" t="s">
        <v>1183</v>
      </c>
      <c r="C8" s="1358" t="s">
        <v>680</v>
      </c>
      <c r="D8" s="1359">
        <v>42005</v>
      </c>
      <c r="E8" s="1359">
        <v>42368</v>
      </c>
      <c r="F8" s="1360"/>
      <c r="G8" s="1360"/>
      <c r="H8" s="1360"/>
      <c r="I8" s="1360"/>
      <c r="J8" s="1361"/>
    </row>
    <row r="9" spans="1:10" ht="30" customHeight="1">
      <c r="A9" s="1362">
        <v>2</v>
      </c>
      <c r="B9" s="1363" t="s">
        <v>682</v>
      </c>
      <c r="C9" s="1364" t="s">
        <v>683</v>
      </c>
      <c r="D9" s="1359">
        <v>40736</v>
      </c>
      <c r="E9" s="1359">
        <v>48040</v>
      </c>
      <c r="F9" s="1365">
        <v>484000</v>
      </c>
      <c r="G9" s="1365">
        <v>101325</v>
      </c>
      <c r="H9" s="1365"/>
      <c r="I9" s="1365">
        <f>3085*4</f>
        <v>12340</v>
      </c>
      <c r="J9" s="1373">
        <f>G9+H9-I9</f>
        <v>88985</v>
      </c>
    </row>
    <row r="10" spans="1:10" ht="30" customHeight="1">
      <c r="A10" s="1362">
        <v>3</v>
      </c>
      <c r="B10" s="1363" t="s">
        <v>684</v>
      </c>
      <c r="C10" s="1364" t="s">
        <v>683</v>
      </c>
      <c r="D10" s="1359">
        <v>41502</v>
      </c>
      <c r="E10" s="1359">
        <v>45153</v>
      </c>
      <c r="F10" s="1365">
        <v>650000</v>
      </c>
      <c r="G10" s="1365">
        <v>199762</v>
      </c>
      <c r="H10" s="1365">
        <f>76611+15839</f>
        <v>92450</v>
      </c>
      <c r="I10" s="1365">
        <v>14443</v>
      </c>
      <c r="J10" s="1373">
        <f>G10+H10-I10</f>
        <v>277769</v>
      </c>
    </row>
    <row r="11" spans="1:10" ht="30" customHeight="1">
      <c r="A11" s="1362">
        <v>4</v>
      </c>
      <c r="B11" s="1363" t="s">
        <v>685</v>
      </c>
      <c r="C11" s="1364" t="s">
        <v>681</v>
      </c>
      <c r="D11" s="1359">
        <v>41555</v>
      </c>
      <c r="E11" s="1359">
        <v>48859</v>
      </c>
      <c r="F11" s="1365">
        <v>200000</v>
      </c>
      <c r="G11" s="1365">
        <v>19460</v>
      </c>
      <c r="H11" s="1365">
        <v>121934</v>
      </c>
      <c r="I11" s="1365">
        <v>0</v>
      </c>
      <c r="J11" s="1373">
        <f>G11+H11-I11</f>
        <v>141394</v>
      </c>
    </row>
    <row r="12" spans="1:10" ht="30" customHeight="1">
      <c r="A12" s="1362">
        <v>5</v>
      </c>
      <c r="B12" s="1363" t="s">
        <v>1184</v>
      </c>
      <c r="C12" s="1364" t="s">
        <v>683</v>
      </c>
      <c r="D12" s="1359">
        <v>41759</v>
      </c>
      <c r="E12" s="1359">
        <v>49064</v>
      </c>
      <c r="F12" s="1365">
        <v>200000</v>
      </c>
      <c r="G12" s="1365">
        <v>0</v>
      </c>
      <c r="H12" s="1365">
        <v>124927</v>
      </c>
      <c r="I12" s="1365">
        <v>0</v>
      </c>
      <c r="J12" s="1373">
        <f>G12+H12-I12</f>
        <v>124927</v>
      </c>
    </row>
    <row r="13" spans="1:10" ht="30" customHeight="1" thickBot="1">
      <c r="A13" s="1366">
        <v>6</v>
      </c>
      <c r="B13" s="1367" t="s">
        <v>1185</v>
      </c>
      <c r="C13" s="1368" t="s">
        <v>680</v>
      </c>
      <c r="D13" s="1368">
        <v>41759</v>
      </c>
      <c r="E13" s="1368">
        <v>45411</v>
      </c>
      <c r="F13" s="1369">
        <v>162350</v>
      </c>
      <c r="G13" s="1369">
        <v>0</v>
      </c>
      <c r="H13" s="1369">
        <v>151317</v>
      </c>
      <c r="I13" s="1369">
        <v>0</v>
      </c>
      <c r="J13" s="1370">
        <f>G13+H13-I13</f>
        <v>151317</v>
      </c>
    </row>
    <row r="14" spans="1:256" ht="49.5" customHeight="1" thickBot="1" thickTop="1">
      <c r="A14" s="1371" t="s">
        <v>686</v>
      </c>
      <c r="B14" s="1611" t="s">
        <v>687</v>
      </c>
      <c r="C14" s="1611"/>
      <c r="D14" s="1611"/>
      <c r="E14" s="1611"/>
      <c r="F14" s="1611"/>
      <c r="G14" s="1379">
        <f>SUM(G8:G13)</f>
        <v>320547</v>
      </c>
      <c r="H14" s="1379">
        <f>SUM(H8:H13)</f>
        <v>490628</v>
      </c>
      <c r="I14" s="1379">
        <f>SUM(I8:I13)</f>
        <v>26783</v>
      </c>
      <c r="J14" s="1380">
        <f>SUM(J8:J13)</f>
        <v>784392</v>
      </c>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1"/>
      <c r="AI14" s="1381"/>
      <c r="AJ14" s="1381"/>
      <c r="AK14" s="1381"/>
      <c r="AL14" s="1381"/>
      <c r="AM14" s="1381"/>
      <c r="AN14" s="1381"/>
      <c r="AO14" s="1381"/>
      <c r="AP14" s="1381"/>
      <c r="AQ14" s="1381"/>
      <c r="AR14" s="1381"/>
      <c r="AS14" s="1381"/>
      <c r="AT14" s="1381"/>
      <c r="AU14" s="1381"/>
      <c r="AV14" s="1381"/>
      <c r="AW14" s="1381"/>
      <c r="AX14" s="1381"/>
      <c r="AY14" s="1381"/>
      <c r="AZ14" s="1381"/>
      <c r="BA14" s="1381"/>
      <c r="BB14" s="1381"/>
      <c r="BC14" s="1381"/>
      <c r="BD14" s="1381"/>
      <c r="BE14" s="1381"/>
      <c r="BF14" s="1381"/>
      <c r="BG14" s="1381"/>
      <c r="BH14" s="1381"/>
      <c r="BI14" s="1381"/>
      <c r="BJ14" s="1381"/>
      <c r="BK14" s="1381"/>
      <c r="BL14" s="1381"/>
      <c r="BM14" s="1381"/>
      <c r="BN14" s="1381"/>
      <c r="BO14" s="1381"/>
      <c r="BP14" s="1381"/>
      <c r="BQ14" s="1381"/>
      <c r="BR14" s="1381"/>
      <c r="BS14" s="1381"/>
      <c r="BT14" s="1381"/>
      <c r="BU14" s="1381"/>
      <c r="BV14" s="1381"/>
      <c r="BW14" s="1381"/>
      <c r="BX14" s="1381"/>
      <c r="BY14" s="1381"/>
      <c r="BZ14" s="1381"/>
      <c r="CA14" s="1381"/>
      <c r="CB14" s="1381"/>
      <c r="CC14" s="1381"/>
      <c r="CD14" s="1381"/>
      <c r="CE14" s="1381"/>
      <c r="CF14" s="1381"/>
      <c r="CG14" s="1381"/>
      <c r="CH14" s="1381"/>
      <c r="CI14" s="1381"/>
      <c r="CJ14" s="1381"/>
      <c r="CK14" s="1381"/>
      <c r="CL14" s="1381"/>
      <c r="CM14" s="1381"/>
      <c r="CN14" s="1381"/>
      <c r="CO14" s="1381"/>
      <c r="CP14" s="1381"/>
      <c r="CQ14" s="1381"/>
      <c r="CR14" s="1381"/>
      <c r="CS14" s="1381"/>
      <c r="CT14" s="1381"/>
      <c r="CU14" s="1381"/>
      <c r="CV14" s="1381"/>
      <c r="CW14" s="1381"/>
      <c r="CX14" s="1381"/>
      <c r="CY14" s="1381"/>
      <c r="CZ14" s="1381"/>
      <c r="DA14" s="1381"/>
      <c r="DB14" s="1381"/>
      <c r="DC14" s="1381"/>
      <c r="DD14" s="1381"/>
      <c r="DE14" s="1381"/>
      <c r="DF14" s="1381"/>
      <c r="DG14" s="1381"/>
      <c r="DH14" s="1381"/>
      <c r="DI14" s="1381"/>
      <c r="DJ14" s="1381"/>
      <c r="DK14" s="1381"/>
      <c r="DL14" s="1381"/>
      <c r="DM14" s="1381"/>
      <c r="DN14" s="1381"/>
      <c r="DO14" s="1381"/>
      <c r="DP14" s="1381"/>
      <c r="DQ14" s="1381"/>
      <c r="DR14" s="1381"/>
      <c r="DS14" s="1381"/>
      <c r="DT14" s="1381"/>
      <c r="DU14" s="1381"/>
      <c r="DV14" s="1381"/>
      <c r="DW14" s="1381"/>
      <c r="DX14" s="1381"/>
      <c r="DY14" s="1381"/>
      <c r="DZ14" s="1381"/>
      <c r="EA14" s="1381"/>
      <c r="EB14" s="1381"/>
      <c r="EC14" s="1381"/>
      <c r="ED14" s="1381"/>
      <c r="EE14" s="1381"/>
      <c r="EF14" s="1381"/>
      <c r="EG14" s="1381"/>
      <c r="EH14" s="1381"/>
      <c r="EI14" s="1381"/>
      <c r="EJ14" s="1381"/>
      <c r="EK14" s="1381"/>
      <c r="EL14" s="1381"/>
      <c r="EM14" s="1381"/>
      <c r="EN14" s="1381"/>
      <c r="EO14" s="1381"/>
      <c r="EP14" s="1381"/>
      <c r="EQ14" s="1381"/>
      <c r="ER14" s="1381"/>
      <c r="ES14" s="1381"/>
      <c r="ET14" s="1381"/>
      <c r="EU14" s="1381"/>
      <c r="EV14" s="1381"/>
      <c r="EW14" s="1381"/>
      <c r="EX14" s="1381"/>
      <c r="EY14" s="1381"/>
      <c r="EZ14" s="1381"/>
      <c r="FA14" s="1381"/>
      <c r="FB14" s="1381"/>
      <c r="FC14" s="1381"/>
      <c r="FD14" s="1381"/>
      <c r="FE14" s="1381"/>
      <c r="FF14" s="1381"/>
      <c r="FG14" s="1381"/>
      <c r="FH14" s="1381"/>
      <c r="FI14" s="1381"/>
      <c r="FJ14" s="1381"/>
      <c r="FK14" s="1381"/>
      <c r="FL14" s="1381"/>
      <c r="FM14" s="1381"/>
      <c r="FN14" s="1381"/>
      <c r="FO14" s="1381"/>
      <c r="FP14" s="1381"/>
      <c r="FQ14" s="1381"/>
      <c r="FR14" s="1381"/>
      <c r="FS14" s="1381"/>
      <c r="FT14" s="1381"/>
      <c r="FU14" s="1381"/>
      <c r="FV14" s="1381"/>
      <c r="FW14" s="1381"/>
      <c r="FX14" s="1381"/>
      <c r="FY14" s="1381"/>
      <c r="FZ14" s="1381"/>
      <c r="GA14" s="1381"/>
      <c r="GB14" s="1381"/>
      <c r="GC14" s="1381"/>
      <c r="GD14" s="1381"/>
      <c r="GE14" s="1381"/>
      <c r="GF14" s="1381"/>
      <c r="GG14" s="1381"/>
      <c r="GH14" s="1381"/>
      <c r="GI14" s="1381"/>
      <c r="GJ14" s="1381"/>
      <c r="GK14" s="1381"/>
      <c r="GL14" s="1381"/>
      <c r="GM14" s="1381"/>
      <c r="GN14" s="1381"/>
      <c r="GO14" s="1381"/>
      <c r="GP14" s="1381"/>
      <c r="GQ14" s="1381"/>
      <c r="GR14" s="1381"/>
      <c r="GS14" s="1381"/>
      <c r="GT14" s="1381"/>
      <c r="GU14" s="1381"/>
      <c r="GV14" s="1381"/>
      <c r="GW14" s="1381"/>
      <c r="GX14" s="1381"/>
      <c r="GY14" s="1381"/>
      <c r="GZ14" s="1381"/>
      <c r="HA14" s="1381"/>
      <c r="HB14" s="1381"/>
      <c r="HC14" s="1381"/>
      <c r="HD14" s="1381"/>
      <c r="HE14" s="1381"/>
      <c r="HF14" s="1381"/>
      <c r="HG14" s="1381"/>
      <c r="HH14" s="1381"/>
      <c r="HI14" s="1381"/>
      <c r="HJ14" s="1381"/>
      <c r="HK14" s="1381"/>
      <c r="HL14" s="1381"/>
      <c r="HM14" s="1381"/>
      <c r="HN14" s="1381"/>
      <c r="HO14" s="1381"/>
      <c r="HP14" s="1381"/>
      <c r="HQ14" s="1381"/>
      <c r="HR14" s="1381"/>
      <c r="HS14" s="1381"/>
      <c r="HT14" s="1381"/>
      <c r="HU14" s="1381"/>
      <c r="HV14" s="1381"/>
      <c r="HW14" s="1381"/>
      <c r="HX14" s="1381"/>
      <c r="HY14" s="1381"/>
      <c r="HZ14" s="1381"/>
      <c r="IA14" s="1381"/>
      <c r="IB14" s="1381"/>
      <c r="IC14" s="1381"/>
      <c r="ID14" s="1381"/>
      <c r="IE14" s="1381"/>
      <c r="IF14" s="1381"/>
      <c r="IG14" s="1381"/>
      <c r="IH14" s="1381"/>
      <c r="II14" s="1381"/>
      <c r="IJ14" s="1381"/>
      <c r="IK14" s="1381"/>
      <c r="IL14" s="1381"/>
      <c r="IM14" s="1381"/>
      <c r="IN14" s="1381"/>
      <c r="IO14" s="1381"/>
      <c r="IP14" s="1381"/>
      <c r="IQ14" s="1381"/>
      <c r="IR14" s="1382"/>
      <c r="IS14" s="1382"/>
      <c r="IT14" s="1382"/>
      <c r="IU14" s="1382"/>
      <c r="IV14" s="1382"/>
    </row>
  </sheetData>
  <sheetProtection/>
  <mergeCells count="7">
    <mergeCell ref="A1:B1"/>
    <mergeCell ref="B14:F14"/>
    <mergeCell ref="A2:J2"/>
    <mergeCell ref="A3:J3"/>
    <mergeCell ref="A4:J4"/>
    <mergeCell ref="A6:B6"/>
    <mergeCell ref="A7: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dimension ref="A1:I23"/>
  <sheetViews>
    <sheetView view="pageBreakPreview" zoomScale="80" zoomScaleSheetLayoutView="80" zoomScalePageLayoutView="0" workbookViewId="0" topLeftCell="A1">
      <selection activeCell="B1" sqref="B1:C1"/>
    </sheetView>
  </sheetViews>
  <sheetFormatPr defaultColWidth="9.00390625" defaultRowHeight="12.75"/>
  <cols>
    <col min="1" max="1" width="3.25390625" style="871" bestFit="1" customWidth="1"/>
    <col min="2" max="2" width="49.75390625" style="1027" customWidth="1"/>
    <col min="3" max="3" width="25.75390625" style="1027" customWidth="1"/>
    <col min="4" max="6" width="25.75390625" style="1025" customWidth="1"/>
    <col min="7" max="7" width="22.75390625" style="1025" customWidth="1"/>
    <col min="8" max="8" width="25.75390625" style="1025" customWidth="1"/>
    <col min="9" max="9" width="25.75390625" style="1026" customWidth="1"/>
    <col min="10" max="16384" width="9.125" style="1027" customWidth="1"/>
  </cols>
  <sheetData>
    <row r="1" spans="2:3" ht="16.5">
      <c r="B1" s="1624" t="s">
        <v>1648</v>
      </c>
      <c r="C1" s="1624"/>
    </row>
    <row r="2" spans="1:9" s="1033" customFormat="1" ht="17.25">
      <c r="A2" s="988"/>
      <c r="B2" s="1466" t="s">
        <v>431</v>
      </c>
      <c r="C2" s="1466"/>
      <c r="D2" s="1466"/>
      <c r="E2" s="1466"/>
      <c r="F2" s="1466"/>
      <c r="G2" s="1466"/>
      <c r="H2" s="1466"/>
      <c r="I2" s="1466"/>
    </row>
    <row r="3" spans="1:9" s="1033" customFormat="1" ht="19.5" customHeight="1">
      <c r="A3" s="988"/>
      <c r="B3" s="1466" t="s">
        <v>663</v>
      </c>
      <c r="C3" s="1466"/>
      <c r="D3" s="1466"/>
      <c r="E3" s="1466"/>
      <c r="F3" s="1466"/>
      <c r="G3" s="1466"/>
      <c r="H3" s="1466"/>
      <c r="I3" s="1466"/>
    </row>
    <row r="4" spans="1:9" s="1033" customFormat="1" ht="19.5" customHeight="1">
      <c r="A4" s="988"/>
      <c r="B4" s="1466" t="s">
        <v>1098</v>
      </c>
      <c r="C4" s="1466"/>
      <c r="D4" s="1466"/>
      <c r="E4" s="1466"/>
      <c r="F4" s="1466"/>
      <c r="G4" s="1466"/>
      <c r="H4" s="1466"/>
      <c r="I4" s="1466"/>
    </row>
    <row r="5" spans="1:9" s="1033" customFormat="1" ht="19.5" customHeight="1">
      <c r="A5" s="988"/>
      <c r="B5" s="1466" t="s">
        <v>895</v>
      </c>
      <c r="C5" s="1466"/>
      <c r="D5" s="1466"/>
      <c r="E5" s="1466"/>
      <c r="F5" s="1466"/>
      <c r="G5" s="1466"/>
      <c r="H5" s="1466"/>
      <c r="I5" s="1466"/>
    </row>
    <row r="6" spans="1:9" s="1013" customFormat="1" ht="18" customHeight="1">
      <c r="A6" s="1028"/>
      <c r="B6" s="1029"/>
      <c r="C6" s="1029"/>
      <c r="D6" s="1029"/>
      <c r="E6" s="1029"/>
      <c r="F6" s="1029"/>
      <c r="G6" s="1029"/>
      <c r="H6" s="1029"/>
      <c r="I6" s="1030" t="s">
        <v>496</v>
      </c>
    </row>
    <row r="7" spans="2:9" s="988" customFormat="1" ht="18" customHeight="1" thickBot="1">
      <c r="B7" s="988" t="s">
        <v>504</v>
      </c>
      <c r="C7" s="988" t="s">
        <v>505</v>
      </c>
      <c r="D7" s="1031" t="s">
        <v>506</v>
      </c>
      <c r="E7" s="1031" t="s">
        <v>507</v>
      </c>
      <c r="F7" s="1031" t="s">
        <v>508</v>
      </c>
      <c r="G7" s="1031" t="s">
        <v>509</v>
      </c>
      <c r="H7" s="1031" t="s">
        <v>510</v>
      </c>
      <c r="I7" s="1032" t="s">
        <v>394</v>
      </c>
    </row>
    <row r="8" spans="1:9" s="1329" customFormat="1" ht="30" customHeight="1">
      <c r="A8" s="1616"/>
      <c r="B8" s="1617" t="s">
        <v>898</v>
      </c>
      <c r="C8" s="1620" t="s">
        <v>1410</v>
      </c>
      <c r="D8" s="1326" t="s">
        <v>896</v>
      </c>
      <c r="E8" s="1327" t="s">
        <v>896</v>
      </c>
      <c r="F8" s="1326" t="s">
        <v>896</v>
      </c>
      <c r="G8" s="1327" t="s">
        <v>896</v>
      </c>
      <c r="H8" s="1326" t="s">
        <v>896</v>
      </c>
      <c r="I8" s="1328" t="s">
        <v>897</v>
      </c>
    </row>
    <row r="9" spans="1:9" s="1033" customFormat="1" ht="17.25">
      <c r="A9" s="1616"/>
      <c r="B9" s="1618"/>
      <c r="C9" s="1621"/>
      <c r="D9" s="1330" t="s">
        <v>1099</v>
      </c>
      <c r="E9" s="1331" t="s">
        <v>1100</v>
      </c>
      <c r="F9" s="1330" t="s">
        <v>1101</v>
      </c>
      <c r="G9" s="1331" t="s">
        <v>1100</v>
      </c>
      <c r="H9" s="1330" t="s">
        <v>1101</v>
      </c>
      <c r="I9" s="1332" t="s">
        <v>1102</v>
      </c>
    </row>
    <row r="10" spans="1:9" s="1336" customFormat="1" ht="39.75" customHeight="1" thickBot="1">
      <c r="A10" s="1616"/>
      <c r="B10" s="1619"/>
      <c r="C10" s="1622"/>
      <c r="D10" s="1333" t="s">
        <v>899</v>
      </c>
      <c r="E10" s="1334" t="s">
        <v>1411</v>
      </c>
      <c r="F10" s="1333" t="s">
        <v>900</v>
      </c>
      <c r="G10" s="1334" t="s">
        <v>901</v>
      </c>
      <c r="H10" s="1333" t="s">
        <v>902</v>
      </c>
      <c r="I10" s="1335" t="s">
        <v>1412</v>
      </c>
    </row>
    <row r="11" spans="1:9" s="1033" customFormat="1" ht="36" customHeight="1">
      <c r="A11" s="988">
        <v>1</v>
      </c>
      <c r="B11" s="1337" t="s">
        <v>903</v>
      </c>
      <c r="C11" s="1034">
        <v>2726300</v>
      </c>
      <c r="D11" s="1035">
        <f>4847123+3500+500</f>
        <v>4851123</v>
      </c>
      <c r="E11" s="1035"/>
      <c r="F11" s="1035">
        <f>SUM(D11:E11)</f>
        <v>4851123</v>
      </c>
      <c r="G11" s="1035"/>
      <c r="H11" s="1035">
        <f>SUM(F11:G11)</f>
        <v>4851123</v>
      </c>
      <c r="I11" s="1338">
        <v>0.9872</v>
      </c>
    </row>
    <row r="12" spans="1:9" s="1033" customFormat="1" ht="36" customHeight="1">
      <c r="A12" s="988">
        <v>2</v>
      </c>
      <c r="B12" s="1339" t="s">
        <v>904</v>
      </c>
      <c r="C12" s="1036">
        <v>339340</v>
      </c>
      <c r="D12" s="1036">
        <v>339340</v>
      </c>
      <c r="E12" s="1036"/>
      <c r="F12" s="1036">
        <f aca="true" t="shared" si="0" ref="F12:F21">SUM(D12:E12)</f>
        <v>339340</v>
      </c>
      <c r="G12" s="1036"/>
      <c r="H12" s="1036">
        <f aca="true" t="shared" si="1" ref="H12:H21">SUM(F12:G12)</f>
        <v>339340</v>
      </c>
      <c r="I12" s="1340">
        <v>0.3829</v>
      </c>
    </row>
    <row r="13" spans="1:9" s="1033" customFormat="1" ht="36" customHeight="1">
      <c r="A13" s="988">
        <v>3</v>
      </c>
      <c r="B13" s="1339" t="s">
        <v>905</v>
      </c>
      <c r="C13" s="1036">
        <v>10000</v>
      </c>
      <c r="D13" s="1036">
        <v>10000</v>
      </c>
      <c r="E13" s="1036"/>
      <c r="F13" s="1036">
        <f t="shared" si="0"/>
        <v>10000</v>
      </c>
      <c r="G13" s="1036"/>
      <c r="H13" s="1036">
        <f t="shared" si="1"/>
        <v>10000</v>
      </c>
      <c r="I13" s="1341">
        <v>0.2439</v>
      </c>
    </row>
    <row r="14" spans="1:9" s="1033" customFormat="1" ht="36" customHeight="1">
      <c r="A14" s="988">
        <v>4</v>
      </c>
      <c r="B14" s="1339" t="s">
        <v>906</v>
      </c>
      <c r="C14" s="1037">
        <v>50100</v>
      </c>
      <c r="D14" s="1037">
        <v>71249</v>
      </c>
      <c r="E14" s="1037"/>
      <c r="F14" s="1037">
        <f t="shared" si="0"/>
        <v>71249</v>
      </c>
      <c r="G14" s="1037">
        <v>5000</v>
      </c>
      <c r="H14" s="1037">
        <f t="shared" si="1"/>
        <v>76249</v>
      </c>
      <c r="I14" s="1342">
        <v>1</v>
      </c>
    </row>
    <row r="15" spans="1:9" s="1033" customFormat="1" ht="36" customHeight="1">
      <c r="A15" s="988">
        <v>5</v>
      </c>
      <c r="B15" s="1343" t="s">
        <v>907</v>
      </c>
      <c r="C15" s="1037">
        <v>1018530</v>
      </c>
      <c r="D15" s="1037">
        <v>2065230</v>
      </c>
      <c r="E15" s="1037">
        <v>579840</v>
      </c>
      <c r="F15" s="1037">
        <f t="shared" si="0"/>
        <v>2645070</v>
      </c>
      <c r="G15" s="1037">
        <v>127440</v>
      </c>
      <c r="H15" s="1037">
        <f t="shared" si="1"/>
        <v>2772510</v>
      </c>
      <c r="I15" s="1342">
        <v>1</v>
      </c>
    </row>
    <row r="16" spans="1:9" s="1033" customFormat="1" ht="36" customHeight="1">
      <c r="A16" s="988">
        <v>6</v>
      </c>
      <c r="B16" s="1339" t="s">
        <v>908</v>
      </c>
      <c r="C16" s="1037">
        <v>439820</v>
      </c>
      <c r="D16" s="1037">
        <v>1139820</v>
      </c>
      <c r="E16" s="1037"/>
      <c r="F16" s="1037">
        <f t="shared" si="0"/>
        <v>1139820</v>
      </c>
      <c r="G16" s="1037">
        <v>25000</v>
      </c>
      <c r="H16" s="1037">
        <f t="shared" si="1"/>
        <v>1164820</v>
      </c>
      <c r="I16" s="1342">
        <v>0.975</v>
      </c>
    </row>
    <row r="17" spans="1:9" s="1033" customFormat="1" ht="36" customHeight="1">
      <c r="A17" s="988">
        <v>7</v>
      </c>
      <c r="B17" s="1339" t="s">
        <v>909</v>
      </c>
      <c r="C17" s="1037">
        <v>2000</v>
      </c>
      <c r="D17" s="1037">
        <v>2000</v>
      </c>
      <c r="E17" s="1037"/>
      <c r="F17" s="1037">
        <f t="shared" si="0"/>
        <v>2000</v>
      </c>
      <c r="G17" s="1037"/>
      <c r="H17" s="1037">
        <f t="shared" si="1"/>
        <v>2000</v>
      </c>
      <c r="I17" s="1344">
        <v>0.5</v>
      </c>
    </row>
    <row r="18" spans="1:9" s="1033" customFormat="1" ht="36" customHeight="1">
      <c r="A18" s="988">
        <v>8</v>
      </c>
      <c r="B18" s="1339" t="s">
        <v>910</v>
      </c>
      <c r="C18" s="1037">
        <v>1000</v>
      </c>
      <c r="D18" s="1037">
        <v>61700</v>
      </c>
      <c r="E18" s="1037"/>
      <c r="F18" s="1037">
        <f t="shared" si="0"/>
        <v>61700</v>
      </c>
      <c r="G18" s="1037"/>
      <c r="H18" s="1037">
        <f t="shared" si="1"/>
        <v>61700</v>
      </c>
      <c r="I18" s="1342">
        <v>1</v>
      </c>
    </row>
    <row r="19" spans="1:9" s="1033" customFormat="1" ht="36" customHeight="1">
      <c r="A19" s="988">
        <v>9</v>
      </c>
      <c r="B19" s="1339" t="s">
        <v>911</v>
      </c>
      <c r="C19" s="1037">
        <v>700</v>
      </c>
      <c r="D19" s="1037">
        <v>700</v>
      </c>
      <c r="E19" s="1037">
        <v>1400</v>
      </c>
      <c r="F19" s="1037">
        <f t="shared" si="0"/>
        <v>2100</v>
      </c>
      <c r="G19" s="1037"/>
      <c r="H19" s="1037">
        <f t="shared" si="1"/>
        <v>2100</v>
      </c>
      <c r="I19" s="1344">
        <v>0.7</v>
      </c>
    </row>
    <row r="20" spans="1:9" s="1033" customFormat="1" ht="36" customHeight="1">
      <c r="A20" s="988">
        <v>10</v>
      </c>
      <c r="B20" s="1339" t="s">
        <v>912</v>
      </c>
      <c r="C20" s="1037">
        <v>100020</v>
      </c>
      <c r="D20" s="1037">
        <v>220010</v>
      </c>
      <c r="E20" s="1037">
        <v>10</v>
      </c>
      <c r="F20" s="1037">
        <f t="shared" si="0"/>
        <v>220020</v>
      </c>
      <c r="G20" s="1037">
        <v>119990</v>
      </c>
      <c r="H20" s="1037">
        <f t="shared" si="1"/>
        <v>340010</v>
      </c>
      <c r="I20" s="1342">
        <v>0.2488</v>
      </c>
    </row>
    <row r="21" spans="1:9" s="1033" customFormat="1" ht="36" customHeight="1" thickBot="1">
      <c r="A21" s="988">
        <v>11</v>
      </c>
      <c r="B21" s="1345" t="s">
        <v>913</v>
      </c>
      <c r="C21" s="1038">
        <v>3000</v>
      </c>
      <c r="D21" s="1038">
        <v>18300</v>
      </c>
      <c r="E21" s="1038">
        <v>100</v>
      </c>
      <c r="F21" s="1038">
        <f t="shared" si="0"/>
        <v>18400</v>
      </c>
      <c r="G21" s="1038">
        <v>22900</v>
      </c>
      <c r="H21" s="1038">
        <f t="shared" si="1"/>
        <v>41300</v>
      </c>
      <c r="I21" s="1346">
        <v>1</v>
      </c>
    </row>
    <row r="22" spans="1:9" s="1033" customFormat="1" ht="49.5" customHeight="1" thickBot="1">
      <c r="A22" s="988">
        <v>12</v>
      </c>
      <c r="B22" s="1039" t="s">
        <v>914</v>
      </c>
      <c r="C22" s="1040">
        <f aca="true" t="shared" si="2" ref="C22:H22">SUM(C11:C21)</f>
        <v>4690810</v>
      </c>
      <c r="D22" s="1040">
        <f t="shared" si="2"/>
        <v>8779472</v>
      </c>
      <c r="E22" s="1040">
        <f t="shared" si="2"/>
        <v>581350</v>
      </c>
      <c r="F22" s="1040">
        <f t="shared" si="2"/>
        <v>9360822</v>
      </c>
      <c r="G22" s="1040">
        <f t="shared" si="2"/>
        <v>300330</v>
      </c>
      <c r="H22" s="1040">
        <f t="shared" si="2"/>
        <v>9661152</v>
      </c>
      <c r="I22" s="1347" t="s">
        <v>1413</v>
      </c>
    </row>
    <row r="23" spans="2:9" ht="49.5" customHeight="1">
      <c r="B23" s="1623" t="s">
        <v>1414</v>
      </c>
      <c r="C23" s="1623"/>
      <c r="D23" s="1623"/>
      <c r="E23" s="1623"/>
      <c r="F23" s="1623"/>
      <c r="G23" s="1623"/>
      <c r="H23" s="1623"/>
      <c r="I23" s="1623"/>
    </row>
  </sheetData>
  <sheetProtection/>
  <mergeCells count="9">
    <mergeCell ref="A8:A10"/>
    <mergeCell ref="B8:B10"/>
    <mergeCell ref="C8:C10"/>
    <mergeCell ref="B23:I23"/>
    <mergeCell ref="B1:C1"/>
    <mergeCell ref="B2:I2"/>
    <mergeCell ref="B3:I3"/>
    <mergeCell ref="B4:I4"/>
    <mergeCell ref="B5:I5"/>
  </mergeCells>
  <printOptions horizontalCentered="1"/>
  <pageMargins left="0.3937007874015748" right="0.3937007874015748" top="0.984251968503937" bottom="0.984251968503937" header="0.5118110236220472" footer="0.5118110236220472"/>
  <pageSetup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
      <selection activeCell="A1" sqref="A1:C1"/>
    </sheetView>
  </sheetViews>
  <sheetFormatPr defaultColWidth="9.00390625" defaultRowHeight="12.75"/>
  <cols>
    <col min="1" max="1" width="6.75390625" style="1182" customWidth="1"/>
    <col min="2" max="2" width="27.625" style="1182" bestFit="1" customWidth="1"/>
    <col min="3" max="3" width="18.125" style="1182" bestFit="1" customWidth="1"/>
    <col min="4" max="5" width="14.75390625" style="1206" customWidth="1"/>
    <col min="6" max="6" width="14.75390625" style="1182" customWidth="1"/>
    <col min="7" max="16384" width="9.125" style="1182" customWidth="1"/>
  </cols>
  <sheetData>
    <row r="1" spans="1:6" s="1181" customFormat="1" ht="16.5" customHeight="1">
      <c r="A1" s="1647" t="s">
        <v>1649</v>
      </c>
      <c r="B1" s="1647"/>
      <c r="C1" s="1647"/>
      <c r="D1" s="1179"/>
      <c r="E1" s="1179"/>
      <c r="F1" s="1180"/>
    </row>
    <row r="2" spans="1:6" s="1198" customFormat="1" ht="21.75" customHeight="1">
      <c r="A2" s="1648" t="s">
        <v>431</v>
      </c>
      <c r="B2" s="1649"/>
      <c r="C2" s="1649"/>
      <c r="D2" s="1649"/>
      <c r="E2" s="1649"/>
      <c r="F2" s="1649"/>
    </row>
    <row r="3" spans="1:6" s="1302" customFormat="1" ht="21.75" customHeight="1">
      <c r="A3" s="1650" t="s">
        <v>1103</v>
      </c>
      <c r="B3" s="1650"/>
      <c r="C3" s="1650"/>
      <c r="D3" s="1651"/>
      <c r="E3" s="1651"/>
      <c r="F3" s="1651"/>
    </row>
    <row r="4" spans="1:6" s="1198" customFormat="1" ht="21.75" customHeight="1">
      <c r="A4" s="1652" t="s">
        <v>1104</v>
      </c>
      <c r="B4" s="1652"/>
      <c r="C4" s="1652"/>
      <c r="D4" s="1653"/>
      <c r="E4" s="1653"/>
      <c r="F4" s="1653"/>
    </row>
    <row r="5" spans="1:6" s="1181" customFormat="1" ht="21.75" customHeight="1">
      <c r="A5" s="1654" t="s">
        <v>1105</v>
      </c>
      <c r="B5" s="1655"/>
      <c r="C5" s="1655"/>
      <c r="D5" s="1655"/>
      <c r="E5" s="1655"/>
      <c r="F5" s="1655"/>
    </row>
    <row r="6" spans="1:6" s="1350" customFormat="1" ht="30" customHeight="1" thickBot="1">
      <c r="A6" s="1348" t="s">
        <v>504</v>
      </c>
      <c r="B6" s="1656" t="s">
        <v>505</v>
      </c>
      <c r="C6" s="1656"/>
      <c r="D6" s="1349" t="s">
        <v>506</v>
      </c>
      <c r="E6" s="1349" t="s">
        <v>507</v>
      </c>
      <c r="F6" s="1348" t="s">
        <v>508</v>
      </c>
    </row>
    <row r="7" spans="1:6" ht="18" thickBot="1">
      <c r="A7" s="1630" t="s">
        <v>882</v>
      </c>
      <c r="B7" s="1633" t="s">
        <v>1106</v>
      </c>
      <c r="C7" s="1634"/>
      <c r="D7" s="1183" t="s">
        <v>1107</v>
      </c>
      <c r="E7" s="1183" t="s">
        <v>1116</v>
      </c>
      <c r="F7" s="1639" t="s">
        <v>1415</v>
      </c>
    </row>
    <row r="8" spans="1:6" ht="18" customHeight="1">
      <c r="A8" s="1631"/>
      <c r="B8" s="1635"/>
      <c r="C8" s="1636"/>
      <c r="D8" s="1642" t="s">
        <v>1416</v>
      </c>
      <c r="E8" s="1642" t="s">
        <v>1416</v>
      </c>
      <c r="F8" s="1640"/>
    </row>
    <row r="9" spans="1:6" ht="16.5">
      <c r="A9" s="1631"/>
      <c r="B9" s="1635"/>
      <c r="C9" s="1636"/>
      <c r="D9" s="1643"/>
      <c r="E9" s="1643"/>
      <c r="F9" s="1640"/>
    </row>
    <row r="10" spans="1:6" ht="17.25" thickBot="1">
      <c r="A10" s="1632"/>
      <c r="B10" s="1637"/>
      <c r="C10" s="1638"/>
      <c r="D10" s="1644"/>
      <c r="E10" s="1644"/>
      <c r="F10" s="1641"/>
    </row>
    <row r="11" spans="1:6" ht="16.5">
      <c r="A11" s="1184" t="s">
        <v>771</v>
      </c>
      <c r="B11" s="1645" t="s">
        <v>772</v>
      </c>
      <c r="C11" s="1646"/>
      <c r="D11" s="1185" t="s">
        <v>773</v>
      </c>
      <c r="E11" s="1186" t="s">
        <v>774</v>
      </c>
      <c r="F11" s="1187" t="s">
        <v>776</v>
      </c>
    </row>
    <row r="12" spans="1:6" ht="30" customHeight="1">
      <c r="A12" s="1188"/>
      <c r="B12" s="1189" t="s">
        <v>1108</v>
      </c>
      <c r="C12" s="1190"/>
      <c r="D12" s="1191"/>
      <c r="E12" s="1191"/>
      <c r="F12" s="1192"/>
    </row>
    <row r="13" spans="1:6" s="1198" customFormat="1" ht="22.5" customHeight="1">
      <c r="A13" s="1193" t="s">
        <v>771</v>
      </c>
      <c r="B13" s="1194"/>
      <c r="C13" s="1195" t="s">
        <v>416</v>
      </c>
      <c r="D13" s="1196">
        <v>102233</v>
      </c>
      <c r="E13" s="1196">
        <v>136092</v>
      </c>
      <c r="F13" s="1197">
        <f>+E13/D13%</f>
        <v>133.1194428413526</v>
      </c>
    </row>
    <row r="14" spans="1:6" s="1198" customFormat="1" ht="22.5" customHeight="1">
      <c r="A14" s="1193" t="s">
        <v>772</v>
      </c>
      <c r="B14" s="1194"/>
      <c r="C14" s="1195" t="s">
        <v>420</v>
      </c>
      <c r="D14" s="1196">
        <v>23798</v>
      </c>
      <c r="E14" s="1196">
        <v>25990</v>
      </c>
      <c r="F14" s="1197">
        <f aca="true" t="shared" si="0" ref="F14:F19">+E14/D14%</f>
        <v>109.21085805529877</v>
      </c>
    </row>
    <row r="15" spans="1:6" s="1198" customFormat="1" ht="22.5" customHeight="1">
      <c r="A15" s="1193" t="s">
        <v>773</v>
      </c>
      <c r="B15" s="1194"/>
      <c r="C15" s="1195" t="s">
        <v>423</v>
      </c>
      <c r="D15" s="1196">
        <v>181220</v>
      </c>
      <c r="E15" s="1196">
        <v>162242</v>
      </c>
      <c r="F15" s="1197">
        <f t="shared" si="0"/>
        <v>89.52764595519258</v>
      </c>
    </row>
    <row r="16" spans="1:6" s="1198" customFormat="1" ht="22.5" customHeight="1">
      <c r="A16" s="1193" t="s">
        <v>774</v>
      </c>
      <c r="B16" s="1194"/>
      <c r="C16" s="1195" t="s">
        <v>422</v>
      </c>
      <c r="D16" s="1196">
        <v>12893</v>
      </c>
      <c r="E16" s="1196">
        <v>12467</v>
      </c>
      <c r="F16" s="1199">
        <f t="shared" si="0"/>
        <v>96.69588148607771</v>
      </c>
    </row>
    <row r="17" spans="1:6" s="1198" customFormat="1" ht="22.5" customHeight="1">
      <c r="A17" s="1193" t="s">
        <v>776</v>
      </c>
      <c r="B17" s="1194"/>
      <c r="C17" s="1195" t="s">
        <v>421</v>
      </c>
      <c r="D17" s="1196">
        <v>18176</v>
      </c>
      <c r="E17" s="1196">
        <v>19329</v>
      </c>
      <c r="F17" s="1199">
        <f t="shared" si="0"/>
        <v>106.34352992957747</v>
      </c>
    </row>
    <row r="18" spans="1:6" s="1198" customFormat="1" ht="22.5" customHeight="1" thickBot="1">
      <c r="A18" s="1193" t="s">
        <v>777</v>
      </c>
      <c r="B18" s="1194"/>
      <c r="C18" s="1195" t="s">
        <v>775</v>
      </c>
      <c r="D18" s="1196">
        <v>43271</v>
      </c>
      <c r="E18" s="1196">
        <v>49101</v>
      </c>
      <c r="F18" s="1199">
        <f t="shared" si="0"/>
        <v>113.47322687250121</v>
      </c>
    </row>
    <row r="19" spans="1:6" s="1198" customFormat="1" ht="30" customHeight="1" thickBot="1">
      <c r="A19" s="1625" t="s">
        <v>1109</v>
      </c>
      <c r="B19" s="1626"/>
      <c r="C19" s="1627"/>
      <c r="D19" s="1200">
        <f>SUM(D12:D18)</f>
        <v>381591</v>
      </c>
      <c r="E19" s="1200">
        <f>SUM(E12:E18)</f>
        <v>405221</v>
      </c>
      <c r="F19" s="1201">
        <f t="shared" si="0"/>
        <v>106.1924940577739</v>
      </c>
    </row>
    <row r="20" spans="1:6" s="1198" customFormat="1" ht="49.5" customHeight="1">
      <c r="A20" s="1193"/>
      <c r="B20" s="1351" t="s">
        <v>1110</v>
      </c>
      <c r="C20" s="1195"/>
      <c r="D20" s="1196"/>
      <c r="E20" s="1196"/>
      <c r="F20" s="1202"/>
    </row>
    <row r="21" spans="1:6" s="1198" customFormat="1" ht="49.5" customHeight="1">
      <c r="A21" s="1193" t="s">
        <v>771</v>
      </c>
      <c r="B21" s="1628" t="s">
        <v>1111</v>
      </c>
      <c r="C21" s="1629"/>
      <c r="D21" s="1196"/>
      <c r="E21" s="1196"/>
      <c r="F21" s="1202"/>
    </row>
    <row r="22" spans="1:6" s="1198" customFormat="1" ht="49.5" customHeight="1">
      <c r="A22" s="1193" t="s">
        <v>772</v>
      </c>
      <c r="B22" s="1628" t="s">
        <v>1112</v>
      </c>
      <c r="C22" s="1629"/>
      <c r="D22" s="1196"/>
      <c r="E22" s="1196"/>
      <c r="F22" s="1202"/>
    </row>
    <row r="23" spans="1:6" s="1198" customFormat="1" ht="49.5" customHeight="1">
      <c r="A23" s="1193" t="s">
        <v>773</v>
      </c>
      <c r="B23" s="1628" t="s">
        <v>1113</v>
      </c>
      <c r="C23" s="1629" t="s">
        <v>1114</v>
      </c>
      <c r="D23" s="1203">
        <v>1500</v>
      </c>
      <c r="E23" s="1196">
        <v>1500</v>
      </c>
      <c r="F23" s="1202">
        <f>+E23/D23%</f>
        <v>100</v>
      </c>
    </row>
    <row r="24" spans="1:6" s="1198" customFormat="1" ht="39.75" customHeight="1" thickBot="1">
      <c r="A24" s="1193" t="s">
        <v>774</v>
      </c>
      <c r="B24" s="1628" t="s">
        <v>1115</v>
      </c>
      <c r="C24" s="1629"/>
      <c r="D24" s="1196"/>
      <c r="E24" s="1196"/>
      <c r="F24" s="1202"/>
    </row>
    <row r="25" spans="1:6" s="1198" customFormat="1" ht="30" customHeight="1" thickBot="1">
      <c r="A25" s="1625" t="s">
        <v>914</v>
      </c>
      <c r="B25" s="1626"/>
      <c r="C25" s="1627"/>
      <c r="D25" s="1204">
        <f>SUM(D19:D24)</f>
        <v>383091</v>
      </c>
      <c r="E25" s="1204">
        <f>SUM(E19:E24)</f>
        <v>406721</v>
      </c>
      <c r="F25" s="1205">
        <f>+E25/D25%</f>
        <v>106.16824723107565</v>
      </c>
    </row>
  </sheetData>
  <sheetProtection/>
  <mergeCells count="18">
    <mergeCell ref="A1:C1"/>
    <mergeCell ref="A2:F2"/>
    <mergeCell ref="A3:F3"/>
    <mergeCell ref="A4:F4"/>
    <mergeCell ref="A5:F5"/>
    <mergeCell ref="B6:C6"/>
    <mergeCell ref="A7:A10"/>
    <mergeCell ref="B7:C10"/>
    <mergeCell ref="F7:F10"/>
    <mergeCell ref="D8:D10"/>
    <mergeCell ref="E8:E10"/>
    <mergeCell ref="B11:C11"/>
    <mergeCell ref="A19:C19"/>
    <mergeCell ref="B21:C21"/>
    <mergeCell ref="B22:C22"/>
    <mergeCell ref="B23:C23"/>
    <mergeCell ref="B24:C24"/>
    <mergeCell ref="A25:C25"/>
  </mergeCells>
  <printOptions horizontalCentered="1"/>
  <pageMargins left="0.984251968503937" right="0.7874015748031497" top="1.3779527559055118" bottom="1.1811023622047245" header="0.5118110236220472" footer="0.5118110236220472"/>
  <pageSetup fitToHeight="1" fitToWidth="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dimension ref="A1:J74"/>
  <sheetViews>
    <sheetView view="pageBreakPreview" zoomScaleSheetLayoutView="100" zoomScalePageLayoutView="0" workbookViewId="0" topLeftCell="A1">
      <selection activeCell="A1" sqref="A1:B1"/>
    </sheetView>
  </sheetViews>
  <sheetFormatPr defaultColWidth="9.00390625" defaultRowHeight="12.75"/>
  <cols>
    <col min="1" max="1" width="7.75390625" style="1045" bestFit="1" customWidth="1"/>
    <col min="2" max="2" width="60.75390625" style="1044" customWidth="1"/>
    <col min="3" max="4" width="14.75390625" style="1043" customWidth="1"/>
    <col min="5" max="5" width="14.75390625" style="1110" customWidth="1"/>
    <col min="6" max="10" width="14.75390625" style="1043" hidden="1" customWidth="1"/>
    <col min="11" max="11" width="0" style="1044" hidden="1" customWidth="1"/>
    <col min="12" max="16384" width="9.125" style="1044" customWidth="1"/>
  </cols>
  <sheetData>
    <row r="1" spans="1:5" ht="15" customHeight="1">
      <c r="A1" s="1657" t="s">
        <v>1650</v>
      </c>
      <c r="B1" s="1657"/>
      <c r="C1" s="1041"/>
      <c r="D1" s="1041"/>
      <c r="E1" s="1042"/>
    </row>
    <row r="2" spans="1:5" ht="19.5" customHeight="1">
      <c r="A2" s="1658" t="s">
        <v>915</v>
      </c>
      <c r="B2" s="1658"/>
      <c r="C2" s="1658"/>
      <c r="D2" s="1658"/>
      <c r="E2" s="1658"/>
    </row>
    <row r="3" spans="1:5" ht="19.5" customHeight="1">
      <c r="A3" s="1659" t="s">
        <v>916</v>
      </c>
      <c r="B3" s="1659"/>
      <c r="C3" s="1659"/>
      <c r="D3" s="1659"/>
      <c r="E3" s="1659"/>
    </row>
    <row r="4" spans="1:5" ht="19.5" customHeight="1">
      <c r="A4" s="1659" t="s">
        <v>1221</v>
      </c>
      <c r="B4" s="1659"/>
      <c r="C4" s="1659"/>
      <c r="D4" s="1659"/>
      <c r="E4" s="1659"/>
    </row>
    <row r="5" spans="1:5" ht="15" customHeight="1">
      <c r="A5" s="1660" t="s">
        <v>917</v>
      </c>
      <c r="B5" s="1660"/>
      <c r="C5" s="1660"/>
      <c r="D5" s="1660"/>
      <c r="E5" s="1660"/>
    </row>
    <row r="6" spans="2:5" ht="15" customHeight="1">
      <c r="B6" s="1046"/>
      <c r="C6" s="1047"/>
      <c r="D6" s="1047"/>
      <c r="E6" s="1042" t="s">
        <v>496</v>
      </c>
    </row>
    <row r="7" spans="1:10" s="1045" customFormat="1" ht="15" customHeight="1" thickBot="1">
      <c r="A7" s="1045" t="s">
        <v>504</v>
      </c>
      <c r="B7" s="1048" t="s">
        <v>505</v>
      </c>
      <c r="C7" s="1049" t="s">
        <v>506</v>
      </c>
      <c r="D7" s="1049" t="s">
        <v>507</v>
      </c>
      <c r="E7" s="1050" t="s">
        <v>508</v>
      </c>
      <c r="F7" s="1051"/>
      <c r="G7" s="1051"/>
      <c r="H7" s="1051"/>
      <c r="I7" s="1051"/>
      <c r="J7" s="1051"/>
    </row>
    <row r="8" spans="1:10" s="1053" customFormat="1" ht="30.75" thickBot="1">
      <c r="A8" s="1423" t="s">
        <v>882</v>
      </c>
      <c r="B8" s="1424" t="s">
        <v>918</v>
      </c>
      <c r="C8" s="1425" t="s">
        <v>919</v>
      </c>
      <c r="D8" s="1425" t="s">
        <v>266</v>
      </c>
      <c r="E8" s="1426" t="s">
        <v>920</v>
      </c>
      <c r="F8" s="1052" t="s">
        <v>921</v>
      </c>
      <c r="G8" s="1052" t="s">
        <v>922</v>
      </c>
      <c r="H8" s="1052" t="s">
        <v>923</v>
      </c>
      <c r="I8" s="1052" t="s">
        <v>142</v>
      </c>
      <c r="J8" s="1052" t="s">
        <v>495</v>
      </c>
    </row>
    <row r="9" spans="1:10" ht="15">
      <c r="A9" s="1054" t="s">
        <v>924</v>
      </c>
      <c r="B9" s="1055" t="s">
        <v>925</v>
      </c>
      <c r="C9" s="1056">
        <v>67695</v>
      </c>
      <c r="D9" s="1056">
        <v>508468</v>
      </c>
      <c r="E9" s="1057">
        <f>IF(C9=0,0,D9/C9%)</f>
        <v>751.1160351576925</v>
      </c>
      <c r="F9" s="1043">
        <v>51924</v>
      </c>
      <c r="G9" s="1043">
        <v>32018</v>
      </c>
      <c r="H9" s="1043">
        <v>16952</v>
      </c>
      <c r="I9" s="1043">
        <v>4</v>
      </c>
      <c r="J9" s="1043">
        <f>SUM(F9:I9)</f>
        <v>100898</v>
      </c>
    </row>
    <row r="10" spans="1:10" s="1063" customFormat="1" ht="15">
      <c r="A10" s="1058" t="s">
        <v>926</v>
      </c>
      <c r="B10" s="1059" t="s">
        <v>927</v>
      </c>
      <c r="C10" s="1060">
        <f>SUM(C11,C19)</f>
        <v>63118849</v>
      </c>
      <c r="D10" s="1060">
        <f>SUM(D11,D19)</f>
        <v>61755275</v>
      </c>
      <c r="E10" s="1061">
        <f aca="true" t="shared" si="0" ref="E10:E73">IF(C10=0,0,D10/C10%)</f>
        <v>97.83967226652058</v>
      </c>
      <c r="F10" s="1062">
        <f>SUM(F11,F19)</f>
        <v>48240945</v>
      </c>
      <c r="G10" s="1062">
        <f>SUM(G11,G19)</f>
        <v>11568</v>
      </c>
      <c r="H10" s="1062">
        <f>SUM(H11,H19)</f>
        <v>2689780</v>
      </c>
      <c r="I10" s="1062">
        <f>SUM(I11,I19)</f>
        <v>342403</v>
      </c>
      <c r="J10" s="1062">
        <f>SUM(J11,J19)</f>
        <v>51284696</v>
      </c>
    </row>
    <row r="11" spans="1:10" s="1063" customFormat="1" ht="15">
      <c r="A11" s="1058" t="s">
        <v>928</v>
      </c>
      <c r="B11" s="1059" t="s">
        <v>929</v>
      </c>
      <c r="C11" s="1060">
        <f>SUM(C12,C15:C16)</f>
        <v>56864177</v>
      </c>
      <c r="D11" s="1060">
        <f>SUM(D12,D15:D16)</f>
        <v>52914717</v>
      </c>
      <c r="E11" s="1061">
        <f t="shared" si="0"/>
        <v>93.05457282886552</v>
      </c>
      <c r="F11" s="1062">
        <f>SUM(F12,F16)</f>
        <v>44687705</v>
      </c>
      <c r="G11" s="1062">
        <f>SUM(G12,G16)</f>
        <v>0</v>
      </c>
      <c r="H11" s="1062">
        <f>SUM(H12,H16)</f>
        <v>2022733</v>
      </c>
      <c r="I11" s="1062">
        <f>SUM(I12,I16)</f>
        <v>310129</v>
      </c>
      <c r="J11" s="1062">
        <f>SUM(J12,J16)</f>
        <v>47020567</v>
      </c>
    </row>
    <row r="12" spans="1:10" s="1063" customFormat="1" ht="15">
      <c r="A12" s="1058" t="s">
        <v>930</v>
      </c>
      <c r="B12" s="1059" t="s">
        <v>931</v>
      </c>
      <c r="C12" s="1060">
        <f>SUM(C13:C14)</f>
        <v>39943165</v>
      </c>
      <c r="D12" s="1060">
        <f>SUM(D13:D14)</f>
        <v>37443359</v>
      </c>
      <c r="E12" s="1061">
        <f t="shared" si="0"/>
        <v>93.74159258536473</v>
      </c>
      <c r="F12" s="1062">
        <f>SUM(F13:F14)</f>
        <v>35506860</v>
      </c>
      <c r="G12" s="1062">
        <f>SUM(G13:G14)</f>
        <v>0</v>
      </c>
      <c r="H12" s="1062">
        <f>SUM(H13:H14)</f>
        <v>461</v>
      </c>
      <c r="I12" s="1062">
        <f>SUM(I13:I14)</f>
        <v>0</v>
      </c>
      <c r="J12" s="1062">
        <f>SUM(J13:J14)</f>
        <v>35507321</v>
      </c>
    </row>
    <row r="13" spans="1:10" ht="15">
      <c r="A13" s="1064" t="s">
        <v>932</v>
      </c>
      <c r="B13" s="1065" t="s">
        <v>933</v>
      </c>
      <c r="C13" s="1066">
        <v>38333534</v>
      </c>
      <c r="D13" s="1066">
        <v>36456917</v>
      </c>
      <c r="E13" s="1067">
        <f t="shared" si="0"/>
        <v>95.10450301816681</v>
      </c>
      <c r="F13" s="1043">
        <v>32107734</v>
      </c>
      <c r="H13" s="1043">
        <v>461</v>
      </c>
      <c r="J13" s="1043">
        <f>SUM(F13:I13)</f>
        <v>32108195</v>
      </c>
    </row>
    <row r="14" spans="1:10" ht="15">
      <c r="A14" s="1064" t="s">
        <v>934</v>
      </c>
      <c r="B14" s="1068" t="s">
        <v>935</v>
      </c>
      <c r="C14" s="1066">
        <v>1609631</v>
      </c>
      <c r="D14" s="1066">
        <v>986442</v>
      </c>
      <c r="E14" s="1067">
        <f t="shared" si="0"/>
        <v>61.28373521633219</v>
      </c>
      <c r="F14" s="1043">
        <v>3399126</v>
      </c>
      <c r="H14" s="1043">
        <v>0</v>
      </c>
      <c r="J14" s="1043">
        <f>SUM(F14:I14)</f>
        <v>3399126</v>
      </c>
    </row>
    <row r="15" spans="1:10" s="1063" customFormat="1" ht="15">
      <c r="A15" s="1069" t="s">
        <v>936</v>
      </c>
      <c r="B15" s="1070" t="s">
        <v>937</v>
      </c>
      <c r="C15" s="1060"/>
      <c r="D15" s="1060"/>
      <c r="E15" s="1061">
        <f t="shared" si="0"/>
        <v>0</v>
      </c>
      <c r="F15" s="1062">
        <f aca="true" t="shared" si="1" ref="F15:J16">SUM(F16:F17)</f>
        <v>18184539</v>
      </c>
      <c r="G15" s="1062">
        <f t="shared" si="1"/>
        <v>0</v>
      </c>
      <c r="H15" s="1062">
        <f t="shared" si="1"/>
        <v>4044544</v>
      </c>
      <c r="I15" s="1062">
        <f t="shared" si="1"/>
        <v>620258</v>
      </c>
      <c r="J15" s="1062">
        <f t="shared" si="1"/>
        <v>22849341</v>
      </c>
    </row>
    <row r="16" spans="1:10" s="1063" customFormat="1" ht="15">
      <c r="A16" s="1058" t="s">
        <v>938</v>
      </c>
      <c r="B16" s="1070" t="s">
        <v>939</v>
      </c>
      <c r="C16" s="1060">
        <f>SUM(C17:C18)</f>
        <v>16921012</v>
      </c>
      <c r="D16" s="1060">
        <f>SUM(D17:D18)</f>
        <v>15471358</v>
      </c>
      <c r="E16" s="1061">
        <f t="shared" si="0"/>
        <v>91.43281737522555</v>
      </c>
      <c r="F16" s="1062">
        <f t="shared" si="1"/>
        <v>9180845</v>
      </c>
      <c r="G16" s="1062">
        <f t="shared" si="1"/>
        <v>0</v>
      </c>
      <c r="H16" s="1062">
        <f t="shared" si="1"/>
        <v>2022272</v>
      </c>
      <c r="I16" s="1062">
        <f t="shared" si="1"/>
        <v>310129</v>
      </c>
      <c r="J16" s="1062">
        <f t="shared" si="1"/>
        <v>11513246</v>
      </c>
    </row>
    <row r="17" spans="1:10" ht="15">
      <c r="A17" s="1064" t="s">
        <v>940</v>
      </c>
      <c r="B17" s="1065" t="s">
        <v>933</v>
      </c>
      <c r="C17" s="1066">
        <v>16541622</v>
      </c>
      <c r="D17" s="1066">
        <v>15043333</v>
      </c>
      <c r="E17" s="1067">
        <f t="shared" si="0"/>
        <v>90.94230904321233</v>
      </c>
      <c r="F17" s="1043">
        <v>9003694</v>
      </c>
      <c r="H17" s="1043">
        <v>2022272</v>
      </c>
      <c r="I17" s="1043">
        <v>310129</v>
      </c>
      <c r="J17" s="1043">
        <f>SUM(F17:I17)</f>
        <v>11336095</v>
      </c>
    </row>
    <row r="18" spans="1:10" ht="15">
      <c r="A18" s="1064" t="s">
        <v>941</v>
      </c>
      <c r="B18" s="1068" t="s">
        <v>935</v>
      </c>
      <c r="C18" s="1066">
        <v>379390</v>
      </c>
      <c r="D18" s="1066">
        <v>428025</v>
      </c>
      <c r="E18" s="1067">
        <f t="shared" si="0"/>
        <v>112.81926250032947</v>
      </c>
      <c r="F18" s="1043">
        <v>177151</v>
      </c>
      <c r="H18" s="1043">
        <v>0</v>
      </c>
      <c r="J18" s="1043">
        <f>SUM(F18:I18)</f>
        <v>177151</v>
      </c>
    </row>
    <row r="19" spans="1:10" s="1063" customFormat="1" ht="15">
      <c r="A19" s="1058" t="s">
        <v>784</v>
      </c>
      <c r="B19" s="1059" t="s">
        <v>942</v>
      </c>
      <c r="C19" s="1060">
        <f>SUM(C20,C24)</f>
        <v>6254672</v>
      </c>
      <c r="D19" s="1060">
        <f>SUM(D20,D24)</f>
        <v>8840558</v>
      </c>
      <c r="E19" s="1061">
        <f t="shared" si="0"/>
        <v>141.34327107800377</v>
      </c>
      <c r="F19" s="1062">
        <f>SUM(F20,F24)</f>
        <v>3553240</v>
      </c>
      <c r="G19" s="1062">
        <f>SUM(G20,G24)</f>
        <v>11568</v>
      </c>
      <c r="H19" s="1062">
        <f>SUM(H20,H24)</f>
        <v>667047</v>
      </c>
      <c r="I19" s="1062">
        <f>SUM(I20,I24)</f>
        <v>32274</v>
      </c>
      <c r="J19" s="1062">
        <f>SUM(J20,J24)</f>
        <v>4264129</v>
      </c>
    </row>
    <row r="20" spans="1:10" s="1063" customFormat="1" ht="15">
      <c r="A20" s="1058" t="s">
        <v>785</v>
      </c>
      <c r="B20" s="1059" t="s">
        <v>943</v>
      </c>
      <c r="C20" s="1060">
        <f>SUM(C21:C23)</f>
        <v>5700795</v>
      </c>
      <c r="D20" s="1060">
        <f>SUM(D21:D23)</f>
        <v>8276954</v>
      </c>
      <c r="E20" s="1061">
        <f t="shared" si="0"/>
        <v>145.18946918806938</v>
      </c>
      <c r="F20" s="1062">
        <f>SUM(F21:F23)</f>
        <v>3232022</v>
      </c>
      <c r="G20" s="1062">
        <f>SUM(G21:G23)</f>
        <v>0</v>
      </c>
      <c r="H20" s="1062">
        <f>SUM(H21:H23)</f>
        <v>583523</v>
      </c>
      <c r="I20" s="1062">
        <f>SUM(I21:I23)</f>
        <v>0</v>
      </c>
      <c r="J20" s="1062">
        <f>SUM(J21:J23)</f>
        <v>3815545</v>
      </c>
    </row>
    <row r="21" spans="1:10" ht="15">
      <c r="A21" s="1064" t="s">
        <v>944</v>
      </c>
      <c r="B21" s="1065" t="s">
        <v>945</v>
      </c>
      <c r="C21" s="1066">
        <v>3090406</v>
      </c>
      <c r="D21" s="1066">
        <v>4514864</v>
      </c>
      <c r="E21" s="1067">
        <f t="shared" si="0"/>
        <v>146.0929081809963</v>
      </c>
      <c r="F21" s="1043">
        <v>2828830</v>
      </c>
      <c r="H21" s="1043">
        <v>59450</v>
      </c>
      <c r="J21" s="1043">
        <f>SUM(F21:I21)</f>
        <v>2888280</v>
      </c>
    </row>
    <row r="22" spans="1:10" ht="15">
      <c r="A22" s="1064" t="s">
        <v>946</v>
      </c>
      <c r="B22" s="1068" t="s">
        <v>947</v>
      </c>
      <c r="C22" s="1066">
        <v>1585212</v>
      </c>
      <c r="D22" s="1066">
        <v>3326418</v>
      </c>
      <c r="E22" s="1067">
        <f t="shared" si="0"/>
        <v>209.84057652856526</v>
      </c>
      <c r="F22" s="1043">
        <v>397922</v>
      </c>
      <c r="H22" s="1043">
        <v>524073</v>
      </c>
      <c r="J22" s="1043">
        <f>SUM(F22:I22)</f>
        <v>921995</v>
      </c>
    </row>
    <row r="23" spans="1:10" ht="15">
      <c r="A23" s="1064" t="s">
        <v>948</v>
      </c>
      <c r="B23" s="1068" t="s">
        <v>949</v>
      </c>
      <c r="C23" s="1066">
        <v>1025177</v>
      </c>
      <c r="D23" s="1066">
        <v>435672</v>
      </c>
      <c r="E23" s="1067">
        <f t="shared" si="0"/>
        <v>42.49724681689113</v>
      </c>
      <c r="F23" s="1043">
        <v>5270</v>
      </c>
      <c r="H23" s="1043">
        <v>0</v>
      </c>
      <c r="J23" s="1043">
        <f>SUM(F23:I23)</f>
        <v>5270</v>
      </c>
    </row>
    <row r="24" spans="1:10" s="1063" customFormat="1" ht="15">
      <c r="A24" s="1058" t="s">
        <v>950</v>
      </c>
      <c r="B24" s="1059" t="s">
        <v>951</v>
      </c>
      <c r="C24" s="1060">
        <f>SUM(C25:C28)</f>
        <v>553877</v>
      </c>
      <c r="D24" s="1060">
        <f>SUM(D25:D28)</f>
        <v>563604</v>
      </c>
      <c r="E24" s="1061">
        <f t="shared" si="0"/>
        <v>101.75616608019469</v>
      </c>
      <c r="F24" s="1062">
        <f>SUM(F25:F28)</f>
        <v>321218</v>
      </c>
      <c r="G24" s="1062">
        <f>SUM(G25:G28)</f>
        <v>11568</v>
      </c>
      <c r="H24" s="1062">
        <f>SUM(H25:H28)</f>
        <v>83524</v>
      </c>
      <c r="I24" s="1062">
        <f>SUM(I25:I28)</f>
        <v>32274</v>
      </c>
      <c r="J24" s="1062">
        <f>SUM(J25:J28)</f>
        <v>448584</v>
      </c>
    </row>
    <row r="25" spans="1:10" ht="15">
      <c r="A25" s="1064" t="s">
        <v>952</v>
      </c>
      <c r="B25" s="1065" t="s">
        <v>953</v>
      </c>
      <c r="C25" s="1066">
        <v>445842</v>
      </c>
      <c r="D25" s="1066">
        <v>481777</v>
      </c>
      <c r="E25" s="1067">
        <f t="shared" si="0"/>
        <v>108.06003023492627</v>
      </c>
      <c r="F25" s="1043">
        <v>266196</v>
      </c>
      <c r="G25" s="1043">
        <v>11568</v>
      </c>
      <c r="H25" s="1043">
        <v>83524</v>
      </c>
      <c r="I25" s="1043">
        <v>32274</v>
      </c>
      <c r="J25" s="1043">
        <f>SUM(F25:I25)</f>
        <v>393562</v>
      </c>
    </row>
    <row r="26" spans="1:10" ht="15">
      <c r="A26" s="1064" t="s">
        <v>954</v>
      </c>
      <c r="B26" s="1065" t="s">
        <v>955</v>
      </c>
      <c r="C26" s="1066"/>
      <c r="D26" s="1066"/>
      <c r="E26" s="1067">
        <f t="shared" si="0"/>
        <v>0</v>
      </c>
      <c r="H26" s="1043">
        <v>0</v>
      </c>
      <c r="J26" s="1043">
        <f>SUM(F26:I26)</f>
        <v>0</v>
      </c>
    </row>
    <row r="27" spans="1:10" ht="15">
      <c r="A27" s="1064" t="s">
        <v>956</v>
      </c>
      <c r="B27" s="1068" t="s">
        <v>957</v>
      </c>
      <c r="C27" s="1066">
        <v>108035</v>
      </c>
      <c r="D27" s="1066">
        <v>81827</v>
      </c>
      <c r="E27" s="1067">
        <f t="shared" si="0"/>
        <v>75.74119498310733</v>
      </c>
      <c r="H27" s="1043">
        <v>0</v>
      </c>
      <c r="J27" s="1043">
        <f>SUM(F27:I27)</f>
        <v>0</v>
      </c>
    </row>
    <row r="28" spans="1:10" ht="15">
      <c r="A28" s="1064" t="s">
        <v>958</v>
      </c>
      <c r="B28" s="1065" t="s">
        <v>959</v>
      </c>
      <c r="C28" s="1066"/>
      <c r="D28" s="1066"/>
      <c r="E28" s="1067">
        <f t="shared" si="0"/>
        <v>0</v>
      </c>
      <c r="F28" s="1043">
        <v>55022</v>
      </c>
      <c r="H28" s="1043">
        <v>0</v>
      </c>
      <c r="J28" s="1043">
        <f>SUM(F28:I28)</f>
        <v>55022</v>
      </c>
    </row>
    <row r="29" spans="1:10" s="1063" customFormat="1" ht="15">
      <c r="A29" s="1058" t="s">
        <v>960</v>
      </c>
      <c r="B29" s="1059" t="s">
        <v>961</v>
      </c>
      <c r="C29" s="1060">
        <f>SUM(C30,C34)</f>
        <v>8779472</v>
      </c>
      <c r="D29" s="1060">
        <f>SUM(D30,D34)</f>
        <v>9661152</v>
      </c>
      <c r="E29" s="1061">
        <f t="shared" si="0"/>
        <v>110.04251736323096</v>
      </c>
      <c r="F29" s="1062">
        <f>SUM(F30,F34)</f>
        <v>6828722</v>
      </c>
      <c r="G29" s="1062">
        <f>SUM(G30,G34)</f>
        <v>0</v>
      </c>
      <c r="H29" s="1062">
        <f>SUM(H30,H34)</f>
        <v>0</v>
      </c>
      <c r="I29" s="1062">
        <f>SUM(I30,I34)</f>
        <v>0</v>
      </c>
      <c r="J29" s="1062">
        <f>SUM(J30,J34)</f>
        <v>6828722</v>
      </c>
    </row>
    <row r="30" spans="1:10" s="1063" customFormat="1" ht="15">
      <c r="A30" s="1058" t="s">
        <v>962</v>
      </c>
      <c r="B30" s="1059" t="s">
        <v>963</v>
      </c>
      <c r="C30" s="1060">
        <f>SUM(C31:C32)</f>
        <v>8779472</v>
      </c>
      <c r="D30" s="1060">
        <f>SUM(D31:D32)</f>
        <v>9661152</v>
      </c>
      <c r="E30" s="1061">
        <f t="shared" si="0"/>
        <v>110.04251736323096</v>
      </c>
      <c r="F30" s="1062">
        <f>SUM(F31:F32)</f>
        <v>6828722</v>
      </c>
      <c r="G30" s="1062">
        <f>SUM(G31:G32)</f>
        <v>0</v>
      </c>
      <c r="H30" s="1062">
        <f>SUM(H31:H32)</f>
        <v>0</v>
      </c>
      <c r="I30" s="1062">
        <f>SUM(I31:I32)</f>
        <v>0</v>
      </c>
      <c r="J30" s="1062">
        <f>SUM(J31:J32)</f>
        <v>6828722</v>
      </c>
    </row>
    <row r="31" spans="1:10" s="1063" customFormat="1" ht="15">
      <c r="A31" s="1058" t="s">
        <v>964</v>
      </c>
      <c r="B31" s="1059" t="s">
        <v>965</v>
      </c>
      <c r="C31" s="1060"/>
      <c r="D31" s="1060"/>
      <c r="E31" s="1067">
        <f t="shared" si="0"/>
        <v>0</v>
      </c>
      <c r="F31" s="1062"/>
      <c r="G31" s="1062"/>
      <c r="H31" s="1062">
        <v>0</v>
      </c>
      <c r="I31" s="1062"/>
      <c r="J31" s="1062">
        <f>SUM(F31:I31)</f>
        <v>0</v>
      </c>
    </row>
    <row r="32" spans="1:10" s="1063" customFormat="1" ht="15">
      <c r="A32" s="1058" t="s">
        <v>966</v>
      </c>
      <c r="B32" s="1059" t="s">
        <v>967</v>
      </c>
      <c r="C32" s="1060">
        <f>SUM(C33)</f>
        <v>8779472</v>
      </c>
      <c r="D32" s="1060">
        <f>SUM(D33)</f>
        <v>9661152</v>
      </c>
      <c r="E32" s="1061">
        <f t="shared" si="0"/>
        <v>110.04251736323096</v>
      </c>
      <c r="F32" s="1062">
        <f>SUM(F33)</f>
        <v>6828722</v>
      </c>
      <c r="G32" s="1062">
        <f>SUM(G33)</f>
        <v>0</v>
      </c>
      <c r="H32" s="1062">
        <f>SUM(H33)</f>
        <v>0</v>
      </c>
      <c r="I32" s="1062">
        <f>SUM(I33)</f>
        <v>0</v>
      </c>
      <c r="J32" s="1062">
        <f>SUM(J33)</f>
        <v>6828722</v>
      </c>
    </row>
    <row r="33" spans="1:10" ht="15">
      <c r="A33" s="1064" t="s">
        <v>968</v>
      </c>
      <c r="B33" s="1065" t="s">
        <v>969</v>
      </c>
      <c r="C33" s="1066">
        <v>8779472</v>
      </c>
      <c r="D33" s="1066">
        <v>9661152</v>
      </c>
      <c r="E33" s="1067">
        <f t="shared" si="0"/>
        <v>110.04251736323096</v>
      </c>
      <c r="F33" s="1043">
        <v>6828722</v>
      </c>
      <c r="H33" s="1043">
        <v>0</v>
      </c>
      <c r="J33" s="1043">
        <f>SUM(F33:I33)</f>
        <v>6828722</v>
      </c>
    </row>
    <row r="34" spans="1:10" s="1063" customFormat="1" ht="15">
      <c r="A34" s="1058" t="s">
        <v>970</v>
      </c>
      <c r="B34" s="1059" t="s">
        <v>971</v>
      </c>
      <c r="C34" s="1060">
        <f>SUM(C35:C36)</f>
        <v>0</v>
      </c>
      <c r="D34" s="1060">
        <f>SUM(D35:D36)</f>
        <v>0</v>
      </c>
      <c r="E34" s="1061">
        <f t="shared" si="0"/>
        <v>0</v>
      </c>
      <c r="F34" s="1062">
        <f>SUM(F35:F36)</f>
        <v>0</v>
      </c>
      <c r="G34" s="1062">
        <f>SUM(G35:G36)</f>
        <v>0</v>
      </c>
      <c r="H34" s="1062">
        <f>SUM(H35:H36)</f>
        <v>0</v>
      </c>
      <c r="I34" s="1062">
        <f>SUM(I35:I36)</f>
        <v>0</v>
      </c>
      <c r="J34" s="1062">
        <f>SUM(J35:J36)</f>
        <v>0</v>
      </c>
    </row>
    <row r="35" spans="1:10" ht="15">
      <c r="A35" s="1064" t="s">
        <v>972</v>
      </c>
      <c r="B35" s="1065" t="s">
        <v>973</v>
      </c>
      <c r="C35" s="1066"/>
      <c r="D35" s="1066"/>
      <c r="E35" s="1067">
        <f t="shared" si="0"/>
        <v>0</v>
      </c>
      <c r="H35" s="1043">
        <v>0</v>
      </c>
      <c r="J35" s="1043">
        <f>SUM(F35:I35)</f>
        <v>0</v>
      </c>
    </row>
    <row r="36" spans="1:10" ht="15">
      <c r="A36" s="1064" t="s">
        <v>974</v>
      </c>
      <c r="B36" s="1065" t="s">
        <v>975</v>
      </c>
      <c r="C36" s="1066"/>
      <c r="D36" s="1066"/>
      <c r="E36" s="1067">
        <f t="shared" si="0"/>
        <v>0</v>
      </c>
      <c r="H36" s="1043">
        <v>0</v>
      </c>
      <c r="J36" s="1043">
        <f>SUM(F36:I36)</f>
        <v>0</v>
      </c>
    </row>
    <row r="37" spans="1:10" s="1063" customFormat="1" ht="15">
      <c r="A37" s="1058" t="s">
        <v>976</v>
      </c>
      <c r="B37" s="1070" t="s">
        <v>977</v>
      </c>
      <c r="C37" s="1060">
        <v>9879540</v>
      </c>
      <c r="D37" s="1060">
        <v>11576393</v>
      </c>
      <c r="E37" s="1061">
        <f t="shared" si="0"/>
        <v>117.1754251716173</v>
      </c>
      <c r="F37" s="1062">
        <v>6602961</v>
      </c>
      <c r="G37" s="1062">
        <v>265</v>
      </c>
      <c r="H37" s="1062">
        <v>0</v>
      </c>
      <c r="I37" s="1062"/>
      <c r="J37" s="1062">
        <f>SUM(F37:I37)</f>
        <v>6603226</v>
      </c>
    </row>
    <row r="38" spans="1:10" s="1075" customFormat="1" ht="30">
      <c r="A38" s="1069" t="s">
        <v>978</v>
      </c>
      <c r="B38" s="1071" t="s">
        <v>979</v>
      </c>
      <c r="C38" s="1072">
        <f>SUM(C9:C10,C29,C37)</f>
        <v>81845556</v>
      </c>
      <c r="D38" s="1072">
        <f>SUM(D9:D10,D29,D37)</f>
        <v>83501288</v>
      </c>
      <c r="E38" s="1073">
        <f t="shared" si="0"/>
        <v>102.02299560406186</v>
      </c>
      <c r="F38" s="1074">
        <f>SUM(F9:F10,F29,F37)</f>
        <v>61724552</v>
      </c>
      <c r="G38" s="1074">
        <f>SUM(G9:G10,G29,G37)</f>
        <v>43851</v>
      </c>
      <c r="H38" s="1074">
        <f>SUM(H9:H10,H29,H37)</f>
        <v>2706732</v>
      </c>
      <c r="I38" s="1074">
        <f>SUM(I9:I10,I29,I37)</f>
        <v>342407</v>
      </c>
      <c r="J38" s="1074">
        <f>SUM(J9:J10,J29,J37)</f>
        <v>64817542</v>
      </c>
    </row>
    <row r="39" spans="1:10" ht="15">
      <c r="A39" s="1064" t="s">
        <v>980</v>
      </c>
      <c r="B39" s="1076" t="s">
        <v>981</v>
      </c>
      <c r="C39" s="1066">
        <v>94778</v>
      </c>
      <c r="D39" s="1066">
        <v>87612</v>
      </c>
      <c r="E39" s="1067">
        <f t="shared" si="0"/>
        <v>92.43917364789297</v>
      </c>
      <c r="G39" s="1043">
        <v>541</v>
      </c>
      <c r="H39" s="1043">
        <v>28125</v>
      </c>
      <c r="I39" s="1043">
        <v>43770</v>
      </c>
      <c r="J39" s="1043">
        <f>SUM(F39:I39)</f>
        <v>72436</v>
      </c>
    </row>
    <row r="40" spans="1:10" ht="15">
      <c r="A40" s="1064" t="s">
        <v>982</v>
      </c>
      <c r="B40" s="1076" t="s">
        <v>983</v>
      </c>
      <c r="C40" s="1066"/>
      <c r="D40" s="1066"/>
      <c r="E40" s="1067">
        <f t="shared" si="0"/>
        <v>0</v>
      </c>
      <c r="H40" s="1043">
        <v>0</v>
      </c>
      <c r="J40" s="1043">
        <f>SUM(F40:I40)</f>
        <v>0</v>
      </c>
    </row>
    <row r="41" spans="1:10" s="1046" customFormat="1" ht="15">
      <c r="A41" s="1077" t="s">
        <v>984</v>
      </c>
      <c r="B41" s="1078" t="s">
        <v>985</v>
      </c>
      <c r="C41" s="1079">
        <f>SUM(C39:C40)</f>
        <v>94778</v>
      </c>
      <c r="D41" s="1079">
        <f>SUM(D39:D40)</f>
        <v>87612</v>
      </c>
      <c r="E41" s="1080">
        <f t="shared" si="0"/>
        <v>92.43917364789297</v>
      </c>
      <c r="F41" s="1047">
        <f>SUM(F12:F12,F32,F40)</f>
        <v>42335582</v>
      </c>
      <c r="G41" s="1047">
        <f>SUM(G12:G12,G32,G40)</f>
        <v>0</v>
      </c>
      <c r="H41" s="1047">
        <f>SUM(H12:H12,H32,H40)</f>
        <v>461</v>
      </c>
      <c r="I41" s="1047">
        <f>SUM(I12:I12,I32,I40)</f>
        <v>0</v>
      </c>
      <c r="J41" s="1047">
        <f>SUM(J12:J12,J32,J40)</f>
        <v>42336043</v>
      </c>
    </row>
    <row r="42" spans="1:5" ht="15">
      <c r="A42" s="1064" t="s">
        <v>986</v>
      </c>
      <c r="B42" s="1081" t="s">
        <v>987</v>
      </c>
      <c r="C42" s="1066"/>
      <c r="D42" s="1066"/>
      <c r="E42" s="1067">
        <f t="shared" si="0"/>
        <v>0</v>
      </c>
    </row>
    <row r="43" spans="1:5" ht="15">
      <c r="A43" s="1064" t="s">
        <v>988</v>
      </c>
      <c r="B43" s="1081" t="s">
        <v>989</v>
      </c>
      <c r="C43" s="1066">
        <v>365</v>
      </c>
      <c r="D43" s="1066">
        <v>356</v>
      </c>
      <c r="E43" s="1067">
        <f t="shared" si="0"/>
        <v>97.53424657534246</v>
      </c>
    </row>
    <row r="44" spans="1:5" ht="15">
      <c r="A44" s="1064" t="s">
        <v>990</v>
      </c>
      <c r="B44" s="1081" t="s">
        <v>991</v>
      </c>
      <c r="C44" s="1066">
        <v>2005240</v>
      </c>
      <c r="D44" s="1066">
        <v>2202826</v>
      </c>
      <c r="E44" s="1067">
        <f t="shared" si="0"/>
        <v>109.85348387225469</v>
      </c>
    </row>
    <row r="45" spans="1:10" ht="15">
      <c r="A45" s="1064" t="s">
        <v>992</v>
      </c>
      <c r="B45" s="1076" t="s">
        <v>993</v>
      </c>
      <c r="C45" s="1066">
        <v>35089</v>
      </c>
      <c r="D45" s="1066"/>
      <c r="E45" s="1067">
        <f t="shared" si="0"/>
        <v>0</v>
      </c>
      <c r="F45" s="1043">
        <v>740908</v>
      </c>
      <c r="G45" s="1043">
        <v>136067</v>
      </c>
      <c r="H45" s="1043">
        <v>115557</v>
      </c>
      <c r="I45" s="1043">
        <v>1303</v>
      </c>
      <c r="J45" s="1043">
        <f>SUM(F45:I45)</f>
        <v>993835</v>
      </c>
    </row>
    <row r="46" spans="1:5" ht="15">
      <c r="A46" s="1064" t="s">
        <v>994</v>
      </c>
      <c r="B46" s="1076" t="s">
        <v>995</v>
      </c>
      <c r="C46" s="1066">
        <v>10576</v>
      </c>
      <c r="D46" s="1066"/>
      <c r="E46" s="1067">
        <f t="shared" si="0"/>
        <v>0</v>
      </c>
    </row>
    <row r="47" spans="1:10" s="1075" customFormat="1" ht="22.5" customHeight="1">
      <c r="A47" s="1069" t="s">
        <v>996</v>
      </c>
      <c r="B47" s="1071" t="s">
        <v>997</v>
      </c>
      <c r="C47" s="1072">
        <f>SUM(C42:C46)</f>
        <v>2051270</v>
      </c>
      <c r="D47" s="1072">
        <f>SUM(D42:D46)</f>
        <v>2203182</v>
      </c>
      <c r="E47" s="1073">
        <f t="shared" si="0"/>
        <v>107.40575350880187</v>
      </c>
      <c r="F47" s="1074" t="e">
        <f>SUM(#REF!,F34,F45)</f>
        <v>#REF!</v>
      </c>
      <c r="G47" s="1074" t="e">
        <f>SUM(#REF!,G34,G45)</f>
        <v>#REF!</v>
      </c>
      <c r="H47" s="1074" t="e">
        <f>SUM(#REF!,H34,H45)</f>
        <v>#REF!</v>
      </c>
      <c r="I47" s="1074" t="e">
        <f>SUM(#REF!,I34,I45)</f>
        <v>#REF!</v>
      </c>
      <c r="J47" s="1074" t="e">
        <f>SUM(#REF!,J34,J45)</f>
        <v>#REF!</v>
      </c>
    </row>
    <row r="48" spans="1:10" ht="15">
      <c r="A48" s="1082" t="s">
        <v>998</v>
      </c>
      <c r="B48" s="1081" t="s">
        <v>999</v>
      </c>
      <c r="C48" s="1066">
        <v>323952</v>
      </c>
      <c r="D48" s="1066">
        <v>340854</v>
      </c>
      <c r="E48" s="1067">
        <f t="shared" si="0"/>
        <v>105.21743962068454</v>
      </c>
      <c r="F48" s="1043">
        <v>27331</v>
      </c>
      <c r="G48" s="1043">
        <v>35521</v>
      </c>
      <c r="H48" s="1043">
        <v>16484</v>
      </c>
      <c r="I48" s="1043">
        <v>9860</v>
      </c>
      <c r="J48" s="1043">
        <f>SUM(F48:I48)</f>
        <v>89196</v>
      </c>
    </row>
    <row r="49" spans="1:5" ht="15">
      <c r="A49" s="1082" t="s">
        <v>1000</v>
      </c>
      <c r="B49" s="1081" t="s">
        <v>1001</v>
      </c>
      <c r="C49" s="1066">
        <v>114428</v>
      </c>
      <c r="D49" s="1066">
        <v>82992</v>
      </c>
      <c r="E49" s="1067">
        <f t="shared" si="0"/>
        <v>72.52770300975286</v>
      </c>
    </row>
    <row r="50" spans="1:5" ht="15">
      <c r="A50" s="1064" t="s">
        <v>1002</v>
      </c>
      <c r="B50" s="1076" t="s">
        <v>1003</v>
      </c>
      <c r="C50" s="1066">
        <v>126343</v>
      </c>
      <c r="D50" s="1066">
        <v>39968</v>
      </c>
      <c r="E50" s="1067">
        <f t="shared" si="0"/>
        <v>31.63451873075675</v>
      </c>
    </row>
    <row r="51" spans="1:10" s="1075" customFormat="1" ht="22.5" customHeight="1">
      <c r="A51" s="1069" t="s">
        <v>1004</v>
      </c>
      <c r="B51" s="1083" t="s">
        <v>1005</v>
      </c>
      <c r="C51" s="1072">
        <f>SUM(C48,C49,C50)</f>
        <v>564723</v>
      </c>
      <c r="D51" s="1072">
        <f>SUM(D48,D49,D50)</f>
        <v>463814</v>
      </c>
      <c r="E51" s="1073">
        <f t="shared" si="0"/>
        <v>82.1312395634674</v>
      </c>
      <c r="F51" s="1074"/>
      <c r="G51" s="1074"/>
      <c r="H51" s="1074"/>
      <c r="I51" s="1074"/>
      <c r="J51" s="1074"/>
    </row>
    <row r="52" spans="1:5" ht="15">
      <c r="A52" s="1064" t="s">
        <v>1006</v>
      </c>
      <c r="B52" s="1076" t="s">
        <v>1007</v>
      </c>
      <c r="C52" s="1066">
        <v>49603</v>
      </c>
      <c r="D52" s="1066">
        <v>73753</v>
      </c>
      <c r="E52" s="1067">
        <f t="shared" si="0"/>
        <v>148.68657137673125</v>
      </c>
    </row>
    <row r="53" spans="1:5" ht="30" customHeight="1">
      <c r="A53" s="1082" t="s">
        <v>1008</v>
      </c>
      <c r="B53" s="1081" t="s">
        <v>1009</v>
      </c>
      <c r="C53" s="1066">
        <v>8853</v>
      </c>
      <c r="D53" s="1066"/>
      <c r="E53" s="1067">
        <f t="shared" si="0"/>
        <v>0</v>
      </c>
    </row>
    <row r="54" spans="1:10" s="1075" customFormat="1" ht="22.5" customHeight="1">
      <c r="A54" s="1069" t="s">
        <v>1010</v>
      </c>
      <c r="B54" s="1083" t="s">
        <v>1011</v>
      </c>
      <c r="C54" s="1072">
        <f>SUM(C52:C53)</f>
        <v>58456</v>
      </c>
      <c r="D54" s="1072">
        <f>SUM(D52:D53)</f>
        <v>73753</v>
      </c>
      <c r="E54" s="1073">
        <f t="shared" si="0"/>
        <v>126.1684001642261</v>
      </c>
      <c r="F54" s="1074"/>
      <c r="G54" s="1074"/>
      <c r="H54" s="1074"/>
      <c r="I54" s="1074"/>
      <c r="J54" s="1074"/>
    </row>
    <row r="55" spans="1:10" s="1063" customFormat="1" ht="22.5" customHeight="1" thickBot="1">
      <c r="A55" s="1084" t="s">
        <v>1012</v>
      </c>
      <c r="B55" s="1085" t="s">
        <v>1013</v>
      </c>
      <c r="C55" s="1086">
        <v>5631</v>
      </c>
      <c r="D55" s="1086">
        <v>10594</v>
      </c>
      <c r="E55" s="1087">
        <f t="shared" si="0"/>
        <v>188.13709820635765</v>
      </c>
      <c r="F55" s="1062"/>
      <c r="G55" s="1062"/>
      <c r="H55" s="1062"/>
      <c r="I55" s="1062"/>
      <c r="J55" s="1062"/>
    </row>
    <row r="56" spans="1:10" s="1088" customFormat="1" ht="30" customHeight="1" thickBot="1">
      <c r="A56" s="1427" t="s">
        <v>1014</v>
      </c>
      <c r="B56" s="1428" t="s">
        <v>1015</v>
      </c>
      <c r="C56" s="1429">
        <f>SUM(C38,C41,C47,C51,C54:C55)</f>
        <v>84620414</v>
      </c>
      <c r="D56" s="1429">
        <f>SUM(D38,D41,D47,D51,D54:D55)</f>
        <v>86340243</v>
      </c>
      <c r="E56" s="1430">
        <f t="shared" si="0"/>
        <v>102.03240437939715</v>
      </c>
      <c r="F56" s="1047" t="e">
        <f>SUM(F38,#REF!)</f>
        <v>#REF!</v>
      </c>
      <c r="G56" s="1047" t="e">
        <f>SUM(G38,#REF!)</f>
        <v>#REF!</v>
      </c>
      <c r="H56" s="1047" t="e">
        <f>SUM(H38,#REF!)</f>
        <v>#REF!</v>
      </c>
      <c r="I56" s="1047" t="e">
        <f>SUM(I38,#REF!)</f>
        <v>#REF!</v>
      </c>
      <c r="J56" s="1047" t="e">
        <f>SUM(J38,#REF!)</f>
        <v>#REF!</v>
      </c>
    </row>
    <row r="57" spans="1:10" s="1088" customFormat="1" ht="30" customHeight="1" thickBot="1">
      <c r="A57" s="1089"/>
      <c r="B57" s="1090"/>
      <c r="C57" s="1091"/>
      <c r="D57" s="1091"/>
      <c r="E57" s="1092"/>
      <c r="F57" s="1047"/>
      <c r="G57" s="1047"/>
      <c r="H57" s="1047"/>
      <c r="I57" s="1047"/>
      <c r="J57" s="1047"/>
    </row>
    <row r="58" spans="1:10" s="1053" customFormat="1" ht="30.75" thickBot="1">
      <c r="A58" s="1423" t="s">
        <v>882</v>
      </c>
      <c r="B58" s="1424" t="s">
        <v>1016</v>
      </c>
      <c r="C58" s="1425" t="s">
        <v>919</v>
      </c>
      <c r="D58" s="1425" t="s">
        <v>266</v>
      </c>
      <c r="E58" s="1426" t="s">
        <v>920</v>
      </c>
      <c r="F58" s="1052" t="s">
        <v>921</v>
      </c>
      <c r="G58" s="1052" t="s">
        <v>922</v>
      </c>
      <c r="H58" s="1052" t="s">
        <v>923</v>
      </c>
      <c r="I58" s="1052" t="s">
        <v>142</v>
      </c>
      <c r="J58" s="1052" t="s">
        <v>495</v>
      </c>
    </row>
    <row r="59" spans="1:10" ht="15">
      <c r="A59" s="1054" t="s">
        <v>1017</v>
      </c>
      <c r="B59" s="1055" t="s">
        <v>1018</v>
      </c>
      <c r="C59" s="1056">
        <v>83997173</v>
      </c>
      <c r="D59" s="1056">
        <v>83997173</v>
      </c>
      <c r="E59" s="1057">
        <f t="shared" si="0"/>
        <v>100</v>
      </c>
      <c r="F59" s="1043">
        <v>57339086</v>
      </c>
      <c r="G59" s="1043">
        <v>154134</v>
      </c>
      <c r="H59" s="1043">
        <v>3666860</v>
      </c>
      <c r="I59" s="1043">
        <v>416177</v>
      </c>
      <c r="J59" s="1043">
        <f>SUM(F59:I59)</f>
        <v>61576257</v>
      </c>
    </row>
    <row r="60" spans="1:10" ht="15">
      <c r="A60" s="1064" t="s">
        <v>1019</v>
      </c>
      <c r="B60" s="1076" t="s">
        <v>1020</v>
      </c>
      <c r="C60" s="1066">
        <v>4675722</v>
      </c>
      <c r="D60" s="1066">
        <v>4679290</v>
      </c>
      <c r="E60" s="1067">
        <f t="shared" si="0"/>
        <v>100.07630907055638</v>
      </c>
      <c r="F60" s="1043">
        <v>8216345</v>
      </c>
      <c r="G60" s="1043">
        <v>-114394</v>
      </c>
      <c r="H60" s="1043">
        <v>-488525</v>
      </c>
      <c r="I60" s="1043">
        <v>-75240</v>
      </c>
      <c r="J60" s="1043">
        <f>SUM(F60:I60)</f>
        <v>7538186</v>
      </c>
    </row>
    <row r="61" spans="1:10" ht="15">
      <c r="A61" s="1054" t="s">
        <v>1021</v>
      </c>
      <c r="B61" s="1076" t="s">
        <v>1022</v>
      </c>
      <c r="C61" s="1066">
        <v>988187</v>
      </c>
      <c r="D61" s="1066">
        <v>988187</v>
      </c>
      <c r="E61" s="1067">
        <f t="shared" si="0"/>
        <v>99.99999999999999</v>
      </c>
      <c r="H61" s="1043">
        <v>0</v>
      </c>
      <c r="J61" s="1043">
        <f>SUM(F61:I61)</f>
        <v>0</v>
      </c>
    </row>
    <row r="62" spans="1:5" ht="15">
      <c r="A62" s="1064" t="s">
        <v>1023</v>
      </c>
      <c r="B62" s="1076" t="s">
        <v>1024</v>
      </c>
      <c r="C62" s="1066">
        <v>-15225220</v>
      </c>
      <c r="D62" s="1066">
        <v>-7160938</v>
      </c>
      <c r="E62" s="1067">
        <f t="shared" si="0"/>
        <v>47.033395904952435</v>
      </c>
    </row>
    <row r="63" spans="1:5" ht="15">
      <c r="A63" s="1054" t="s">
        <v>1025</v>
      </c>
      <c r="B63" s="1076" t="s">
        <v>1026</v>
      </c>
      <c r="C63" s="1066"/>
      <c r="D63" s="1066"/>
      <c r="E63" s="1067">
        <f t="shared" si="0"/>
        <v>0</v>
      </c>
    </row>
    <row r="64" spans="1:5" ht="15.75" thickBot="1">
      <c r="A64" s="1093" t="s">
        <v>1027</v>
      </c>
      <c r="B64" s="1094" t="s">
        <v>1028</v>
      </c>
      <c r="C64" s="1095">
        <v>8064281</v>
      </c>
      <c r="D64" s="1095">
        <v>-805034</v>
      </c>
      <c r="E64" s="1096">
        <f t="shared" si="0"/>
        <v>-9.982712655970198</v>
      </c>
    </row>
    <row r="65" spans="1:10" s="1046" customFormat="1" ht="30" customHeight="1" thickBot="1">
      <c r="A65" s="1097" t="s">
        <v>1029</v>
      </c>
      <c r="B65" s="1090" t="s">
        <v>1030</v>
      </c>
      <c r="C65" s="1091">
        <f>SUM(C59:C64)</f>
        <v>82500143</v>
      </c>
      <c r="D65" s="1091">
        <f>SUM(D59:D64)</f>
        <v>81698678</v>
      </c>
      <c r="E65" s="1092">
        <f t="shared" si="0"/>
        <v>99.02852895661042</v>
      </c>
      <c r="F65" s="1047">
        <f>SUM(F59:F61)</f>
        <v>65555431</v>
      </c>
      <c r="G65" s="1047">
        <f>SUM(G59:G61)</f>
        <v>39740</v>
      </c>
      <c r="H65" s="1047">
        <f>SUM(H59:H61)</f>
        <v>3178335</v>
      </c>
      <c r="I65" s="1047">
        <f>SUM(I59:I61)</f>
        <v>340937</v>
      </c>
      <c r="J65" s="1047">
        <f>SUM(J59:J61)</f>
        <v>69114443</v>
      </c>
    </row>
    <row r="66" spans="1:10" s="1103" customFormat="1" ht="15">
      <c r="A66" s="1098" t="s">
        <v>1031</v>
      </c>
      <c r="B66" s="1099" t="s">
        <v>1032</v>
      </c>
      <c r="C66" s="1100">
        <v>796171</v>
      </c>
      <c r="D66" s="1100">
        <v>66182</v>
      </c>
      <c r="E66" s="1101">
        <f t="shared" si="0"/>
        <v>8.312535874830909</v>
      </c>
      <c r="F66" s="1102" t="e">
        <f>SUM(#REF!)</f>
        <v>#REF!</v>
      </c>
      <c r="G66" s="1102" t="e">
        <f>SUM(#REF!)</f>
        <v>#REF!</v>
      </c>
      <c r="H66" s="1102" t="e">
        <f>SUM(#REF!)</f>
        <v>#REF!</v>
      </c>
      <c r="I66" s="1102" t="e">
        <f>SUM(#REF!)</f>
        <v>#REF!</v>
      </c>
      <c r="J66" s="1102" t="e">
        <f>SUM(#REF!)</f>
        <v>#REF!</v>
      </c>
    </row>
    <row r="67" spans="1:10" ht="15">
      <c r="A67" s="1104" t="s">
        <v>1033</v>
      </c>
      <c r="B67" s="1105" t="s">
        <v>1034</v>
      </c>
      <c r="C67" s="1056">
        <v>452823</v>
      </c>
      <c r="D67" s="1056">
        <v>1057203</v>
      </c>
      <c r="E67" s="1057">
        <f t="shared" si="0"/>
        <v>233.46936882623015</v>
      </c>
      <c r="F67" s="1043" t="e">
        <f>SUM(#REF!)</f>
        <v>#REF!</v>
      </c>
      <c r="G67" s="1043" t="e">
        <f>SUM(#REF!)</f>
        <v>#REF!</v>
      </c>
      <c r="H67" s="1043" t="e">
        <f>SUM(#REF!)</f>
        <v>#REF!</v>
      </c>
      <c r="I67" s="1043" t="e">
        <f>SUM(#REF!)</f>
        <v>#REF!</v>
      </c>
      <c r="J67" s="1043" t="e">
        <f>SUM(#REF!)</f>
        <v>#REF!</v>
      </c>
    </row>
    <row r="68" spans="1:10" ht="15">
      <c r="A68" s="1064" t="s">
        <v>1035</v>
      </c>
      <c r="B68" s="1106" t="s">
        <v>1036</v>
      </c>
      <c r="C68" s="1066">
        <v>253142</v>
      </c>
      <c r="D68" s="1066">
        <v>324209</v>
      </c>
      <c r="E68" s="1067">
        <f t="shared" si="0"/>
        <v>128.0739663904054</v>
      </c>
      <c r="F68" s="1043">
        <v>15489</v>
      </c>
      <c r="G68" s="1043">
        <v>5</v>
      </c>
      <c r="H68" s="1043">
        <v>373</v>
      </c>
      <c r="I68" s="1043">
        <v>130</v>
      </c>
      <c r="J68" s="1043">
        <f>SUM(F68:I68)</f>
        <v>15997</v>
      </c>
    </row>
    <row r="69" spans="1:10" s="1046" customFormat="1" ht="22.5" customHeight="1">
      <c r="A69" s="1077" t="s">
        <v>1037</v>
      </c>
      <c r="B69" s="1107" t="s">
        <v>1038</v>
      </c>
      <c r="C69" s="1079">
        <f>SUM(C66:C68)</f>
        <v>1502136</v>
      </c>
      <c r="D69" s="1079">
        <f>SUM(D66:D68)</f>
        <v>1447594</v>
      </c>
      <c r="E69" s="1080">
        <f t="shared" si="0"/>
        <v>96.36903715775402</v>
      </c>
      <c r="F69" s="1047" t="e">
        <f>SUM(F66,F67,F68)</f>
        <v>#REF!</v>
      </c>
      <c r="G69" s="1047" t="e">
        <f>SUM(G66,G67,G68)</f>
        <v>#REF!</v>
      </c>
      <c r="H69" s="1047" t="e">
        <f>SUM(H66,H67,H68)</f>
        <v>#REF!</v>
      </c>
      <c r="I69" s="1047" t="e">
        <f>SUM(I66,I67,I68)</f>
        <v>#REF!</v>
      </c>
      <c r="J69" s="1047" t="e">
        <f>SUM(J66,J67,J68)</f>
        <v>#REF!</v>
      </c>
    </row>
    <row r="70" spans="1:10" s="1046" customFormat="1" ht="22.5" customHeight="1">
      <c r="A70" s="1077" t="s">
        <v>1039</v>
      </c>
      <c r="B70" s="1107" t="s">
        <v>1040</v>
      </c>
      <c r="C70" s="1079"/>
      <c r="D70" s="1079"/>
      <c r="E70" s="1080">
        <f t="shared" si="0"/>
        <v>0</v>
      </c>
      <c r="F70" s="1047"/>
      <c r="G70" s="1047"/>
      <c r="H70" s="1047"/>
      <c r="I70" s="1047"/>
      <c r="J70" s="1047"/>
    </row>
    <row r="71" spans="1:10" s="1046" customFormat="1" ht="22.5" customHeight="1">
      <c r="A71" s="1077" t="s">
        <v>1041</v>
      </c>
      <c r="B71" s="1107" t="s">
        <v>1042</v>
      </c>
      <c r="C71" s="1079"/>
      <c r="D71" s="1079"/>
      <c r="E71" s="1080">
        <f t="shared" si="0"/>
        <v>0</v>
      </c>
      <c r="F71" s="1047"/>
      <c r="G71" s="1047"/>
      <c r="H71" s="1047"/>
      <c r="I71" s="1047"/>
      <c r="J71" s="1047"/>
    </row>
    <row r="72" spans="1:10" s="1046" customFormat="1" ht="22.5" customHeight="1" thickBot="1">
      <c r="A72" s="1084" t="s">
        <v>1043</v>
      </c>
      <c r="B72" s="1108" t="s">
        <v>1044</v>
      </c>
      <c r="C72" s="1109">
        <v>618135</v>
      </c>
      <c r="D72" s="1109">
        <v>3193971</v>
      </c>
      <c r="E72" s="1087">
        <f t="shared" si="0"/>
        <v>516.7109126647091</v>
      </c>
      <c r="F72" s="1047"/>
      <c r="G72" s="1047"/>
      <c r="H72" s="1047"/>
      <c r="I72" s="1047"/>
      <c r="J72" s="1047"/>
    </row>
    <row r="73" spans="1:10" s="1088" customFormat="1" ht="30" customHeight="1" thickBot="1">
      <c r="A73" s="1431" t="s">
        <v>1045</v>
      </c>
      <c r="B73" s="1432" t="s">
        <v>1046</v>
      </c>
      <c r="C73" s="1429">
        <f>SUM(C65,C69:C72)</f>
        <v>84620414</v>
      </c>
      <c r="D73" s="1429">
        <f>SUM(D65,D69:D72)</f>
        <v>86340243</v>
      </c>
      <c r="E73" s="1433">
        <f t="shared" si="0"/>
        <v>102.03240437939715</v>
      </c>
      <c r="F73" s="1047" t="e">
        <f>SUM(F65,#REF!,F69)</f>
        <v>#REF!</v>
      </c>
      <c r="G73" s="1047" t="e">
        <f>SUM(G65,#REF!,G69)</f>
        <v>#REF!</v>
      </c>
      <c r="H73" s="1047" t="e">
        <f>SUM(H65,#REF!,H69)</f>
        <v>#REF!</v>
      </c>
      <c r="I73" s="1047" t="e">
        <f>SUM(I65,#REF!,I69)</f>
        <v>#REF!</v>
      </c>
      <c r="J73" s="1047" t="e">
        <f>SUM(J65,#REF!,J69)</f>
        <v>#REF!</v>
      </c>
    </row>
    <row r="74" spans="3:10" ht="15">
      <c r="C74" s="1043">
        <f>+C56-C73</f>
        <v>0</v>
      </c>
      <c r="D74" s="1043">
        <f>+D56-D73</f>
        <v>0</v>
      </c>
      <c r="E74" s="1050"/>
      <c r="F74" s="1043" t="e">
        <f>+F56-F73</f>
        <v>#REF!</v>
      </c>
      <c r="G74" s="1043" t="e">
        <f>+G56-G73</f>
        <v>#REF!</v>
      </c>
      <c r="H74" s="1043" t="e">
        <f>+H56-H73</f>
        <v>#REF!</v>
      </c>
      <c r="I74" s="1043" t="e">
        <f>+I56-I73</f>
        <v>#REF!</v>
      </c>
      <c r="J74" s="1043" t="e">
        <f>+J56-J73</f>
        <v>#REF!</v>
      </c>
    </row>
  </sheetData>
  <sheetProtection/>
  <mergeCells count="5">
    <mergeCell ref="A1:B1"/>
    <mergeCell ref="A2:E2"/>
    <mergeCell ref="A3:E3"/>
    <mergeCell ref="A4:E4"/>
    <mergeCell ref="A5:E5"/>
  </mergeCells>
  <printOptions horizontalCentered="1"/>
  <pageMargins left="0.5905511811023623" right="0.5905511811023623" top="0.5905511811023623" bottom="0.5905511811023623"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P2261"/>
  <sheetViews>
    <sheetView showZeros="0" view="pageBreakPreview" zoomScaleSheetLayoutView="100" zoomScalePageLayoutView="0" workbookViewId="0" topLeftCell="A1">
      <selection activeCell="B1" sqref="B1:C1"/>
    </sheetView>
  </sheetViews>
  <sheetFormatPr defaultColWidth="9.00390625" defaultRowHeight="12.75"/>
  <cols>
    <col min="1" max="1" width="3.125" style="863" bestFit="1" customWidth="1"/>
    <col min="2" max="2" width="36.75390625" style="901" customWidth="1"/>
    <col min="3" max="5" width="16.75390625" style="865" customWidth="1"/>
    <col min="6" max="6" width="14.125" style="865" customWidth="1"/>
    <col min="7" max="10" width="16.75390625" style="865" customWidth="1"/>
    <col min="11" max="16384" width="9.125" style="865" customWidth="1"/>
  </cols>
  <sheetData>
    <row r="1" spans="2:10" ht="14.25">
      <c r="B1" s="1464" t="s">
        <v>1633</v>
      </c>
      <c r="C1" s="1464"/>
      <c r="D1" s="864"/>
      <c r="E1" s="864"/>
      <c r="F1" s="864"/>
      <c r="G1" s="864"/>
      <c r="H1" s="864"/>
      <c r="I1" s="864"/>
      <c r="J1" s="864"/>
    </row>
    <row r="2" spans="1:10" s="866" customFormat="1" ht="25.5" customHeight="1">
      <c r="A2" s="863"/>
      <c r="B2" s="1465" t="s">
        <v>1146</v>
      </c>
      <c r="C2" s="1465"/>
      <c r="D2" s="1465"/>
      <c r="E2" s="1465"/>
      <c r="F2" s="1465"/>
      <c r="G2" s="1465"/>
      <c r="H2" s="1465"/>
      <c r="I2" s="1465"/>
      <c r="J2" s="1465"/>
    </row>
    <row r="3" spans="1:10" s="866" customFormat="1" ht="25.5" customHeight="1">
      <c r="A3" s="863"/>
      <c r="B3" s="1466" t="s">
        <v>1221</v>
      </c>
      <c r="C3" s="1466"/>
      <c r="D3" s="1466"/>
      <c r="E3" s="1466"/>
      <c r="F3" s="1466"/>
      <c r="G3" s="1466"/>
      <c r="H3" s="1466"/>
      <c r="I3" s="1466"/>
      <c r="J3" s="1466"/>
    </row>
    <row r="4" spans="2:10" ht="14.25">
      <c r="B4" s="867"/>
      <c r="C4" s="868"/>
      <c r="D4" s="868"/>
      <c r="E4" s="868"/>
      <c r="F4" s="868"/>
      <c r="G4" s="868"/>
      <c r="H4" s="868"/>
      <c r="I4" s="868"/>
      <c r="J4" s="869" t="s">
        <v>1202</v>
      </c>
    </row>
    <row r="5" spans="1:10" s="871" customFormat="1" ht="15" thickBot="1">
      <c r="A5" s="863"/>
      <c r="B5" s="870" t="s">
        <v>504</v>
      </c>
      <c r="C5" s="871" t="s">
        <v>505</v>
      </c>
      <c r="D5" s="871" t="s">
        <v>506</v>
      </c>
      <c r="E5" s="871" t="s">
        <v>507</v>
      </c>
      <c r="F5" s="871" t="s">
        <v>508</v>
      </c>
      <c r="G5" s="871" t="s">
        <v>509</v>
      </c>
      <c r="H5" s="871" t="s">
        <v>510</v>
      </c>
      <c r="I5" s="871" t="s">
        <v>394</v>
      </c>
      <c r="J5" s="871" t="s">
        <v>395</v>
      </c>
    </row>
    <row r="6" spans="1:10" s="876" customFormat="1" ht="79.5" customHeight="1">
      <c r="A6" s="872"/>
      <c r="B6" s="873" t="s">
        <v>497</v>
      </c>
      <c r="C6" s="874" t="s">
        <v>1203</v>
      </c>
      <c r="D6" s="874" t="s">
        <v>1140</v>
      </c>
      <c r="E6" s="874" t="s">
        <v>1204</v>
      </c>
      <c r="F6" s="874" t="s">
        <v>1205</v>
      </c>
      <c r="G6" s="874" t="s">
        <v>1206</v>
      </c>
      <c r="H6" s="874" t="s">
        <v>1141</v>
      </c>
      <c r="I6" s="874" t="s">
        <v>1207</v>
      </c>
      <c r="J6" s="875" t="s">
        <v>1208</v>
      </c>
    </row>
    <row r="7" spans="1:10" s="881" customFormat="1" ht="19.5" customHeight="1">
      <c r="A7" s="877" t="s">
        <v>1209</v>
      </c>
      <c r="B7" s="878">
        <v>2</v>
      </c>
      <c r="C7" s="879">
        <v>3</v>
      </c>
      <c r="D7" s="879">
        <v>4</v>
      </c>
      <c r="E7" s="879">
        <v>5</v>
      </c>
      <c r="F7" s="879">
        <v>6</v>
      </c>
      <c r="G7" s="879">
        <v>7</v>
      </c>
      <c r="H7" s="879">
        <v>8</v>
      </c>
      <c r="I7" s="879">
        <v>9</v>
      </c>
      <c r="J7" s="880">
        <v>10</v>
      </c>
    </row>
    <row r="8" spans="1:10" s="881" customFormat="1" ht="54.75" customHeight="1">
      <c r="A8" s="882" t="s">
        <v>1210</v>
      </c>
      <c r="B8" s="883" t="s">
        <v>1142</v>
      </c>
      <c r="C8" s="884">
        <v>104300947</v>
      </c>
      <c r="D8" s="884">
        <v>0</v>
      </c>
      <c r="E8" s="884">
        <v>0</v>
      </c>
      <c r="F8" s="884">
        <v>104300947</v>
      </c>
      <c r="G8" s="884">
        <f>SUM(F8-(C8+D8+E8))</f>
        <v>0</v>
      </c>
      <c r="H8" s="884">
        <v>11404399406</v>
      </c>
      <c r="I8" s="884">
        <v>104300947</v>
      </c>
      <c r="J8" s="885">
        <f>SUM(G8-(F8-I8))</f>
        <v>0</v>
      </c>
    </row>
    <row r="9" spans="1:10" s="881" customFormat="1" ht="33" customHeight="1">
      <c r="A9" s="886" t="s">
        <v>1211</v>
      </c>
      <c r="B9" s="887" t="s">
        <v>1212</v>
      </c>
      <c r="C9" s="888">
        <v>0</v>
      </c>
      <c r="D9" s="888"/>
      <c r="E9" s="888"/>
      <c r="F9" s="884"/>
      <c r="G9" s="888">
        <f aca="true" t="shared" si="0" ref="G9:G14">SUM(F9-(C9+D9+E9))</f>
        <v>0</v>
      </c>
      <c r="H9" s="888">
        <v>65879000</v>
      </c>
      <c r="I9" s="888">
        <v>0</v>
      </c>
      <c r="J9" s="889">
        <f aca="true" t="shared" si="1" ref="J9:J14">SUM(G9-(F9-I9))</f>
        <v>0</v>
      </c>
    </row>
    <row r="10" spans="1:10" s="881" customFormat="1" ht="42.75">
      <c r="A10" s="886" t="s">
        <v>1213</v>
      </c>
      <c r="B10" s="887" t="s">
        <v>1143</v>
      </c>
      <c r="C10" s="888">
        <v>1013121533</v>
      </c>
      <c r="D10" s="888">
        <v>-141900</v>
      </c>
      <c r="E10" s="888"/>
      <c r="F10" s="884">
        <v>1010291034</v>
      </c>
      <c r="G10" s="888">
        <f t="shared" si="0"/>
        <v>-2688599</v>
      </c>
      <c r="H10" s="888">
        <v>1576408341</v>
      </c>
      <c r="I10" s="888">
        <v>1010291034</v>
      </c>
      <c r="J10" s="889">
        <f t="shared" si="1"/>
        <v>-2688599</v>
      </c>
    </row>
    <row r="11" spans="1:10" s="881" customFormat="1" ht="42.75">
      <c r="A11" s="886" t="s">
        <v>1214</v>
      </c>
      <c r="B11" s="887" t="s">
        <v>1144</v>
      </c>
      <c r="C11" s="888">
        <v>22385000</v>
      </c>
      <c r="D11" s="888"/>
      <c r="E11" s="888"/>
      <c r="F11" s="884">
        <v>22244200</v>
      </c>
      <c r="G11" s="888">
        <f t="shared" si="0"/>
        <v>-140800</v>
      </c>
      <c r="H11" s="888">
        <v>566117307</v>
      </c>
      <c r="I11" s="888">
        <v>22244200</v>
      </c>
      <c r="J11" s="889">
        <f t="shared" si="1"/>
        <v>-140800</v>
      </c>
    </row>
    <row r="12" spans="1:10" s="881" customFormat="1" ht="33" customHeight="1">
      <c r="A12" s="886" t="s">
        <v>1215</v>
      </c>
      <c r="B12" s="887" t="s">
        <v>1216</v>
      </c>
      <c r="C12" s="888">
        <v>397192840</v>
      </c>
      <c r="D12" s="888"/>
      <c r="E12" s="888"/>
      <c r="F12" s="884">
        <v>402097395</v>
      </c>
      <c r="G12" s="888">
        <f t="shared" si="0"/>
        <v>4904555</v>
      </c>
      <c r="H12" s="888">
        <v>862719000</v>
      </c>
      <c r="I12" s="888">
        <v>402097395</v>
      </c>
      <c r="J12" s="889">
        <f t="shared" si="1"/>
        <v>4904555</v>
      </c>
    </row>
    <row r="13" spans="1:10" s="881" customFormat="1" ht="66" customHeight="1">
      <c r="A13" s="886" t="s">
        <v>1217</v>
      </c>
      <c r="B13" s="887" t="s">
        <v>1145</v>
      </c>
      <c r="C13" s="888">
        <v>104241600</v>
      </c>
      <c r="D13" s="888">
        <v>1885000</v>
      </c>
      <c r="E13" s="888"/>
      <c r="F13" s="884">
        <v>108732640</v>
      </c>
      <c r="G13" s="888">
        <f t="shared" si="0"/>
        <v>2606040</v>
      </c>
      <c r="H13" s="888">
        <v>314034000</v>
      </c>
      <c r="I13" s="888">
        <v>106847640</v>
      </c>
      <c r="J13" s="889">
        <f t="shared" si="1"/>
        <v>721040</v>
      </c>
    </row>
    <row r="14" spans="1:10" s="881" customFormat="1" ht="21.75" customHeight="1">
      <c r="A14" s="877" t="s">
        <v>1218</v>
      </c>
      <c r="B14" s="890" t="s">
        <v>1219</v>
      </c>
      <c r="C14" s="891">
        <v>314092073</v>
      </c>
      <c r="D14" s="891"/>
      <c r="E14" s="891">
        <v>41750586</v>
      </c>
      <c r="F14" s="891">
        <v>344826659</v>
      </c>
      <c r="G14" s="891">
        <f t="shared" si="0"/>
        <v>-11016000</v>
      </c>
      <c r="H14" s="891">
        <v>571447000</v>
      </c>
      <c r="I14" s="891">
        <v>344826659</v>
      </c>
      <c r="J14" s="892">
        <f t="shared" si="1"/>
        <v>-11016000</v>
      </c>
    </row>
    <row r="15" spans="1:16" s="898" customFormat="1" ht="39.75" customHeight="1" thickBot="1">
      <c r="A15" s="893" t="s">
        <v>1220</v>
      </c>
      <c r="B15" s="894" t="s">
        <v>495</v>
      </c>
      <c r="C15" s="895">
        <f>SUM(C8:C14)</f>
        <v>1955333993</v>
      </c>
      <c r="D15" s="895">
        <f aca="true" t="shared" si="2" ref="D15:J15">SUM(D8:D14)</f>
        <v>1743100</v>
      </c>
      <c r="E15" s="895">
        <f t="shared" si="2"/>
        <v>41750586</v>
      </c>
      <c r="F15" s="895">
        <f t="shared" si="2"/>
        <v>1992492875</v>
      </c>
      <c r="G15" s="895">
        <f t="shared" si="2"/>
        <v>-6334804</v>
      </c>
      <c r="H15" s="895">
        <f t="shared" si="2"/>
        <v>15361004054</v>
      </c>
      <c r="I15" s="895">
        <f t="shared" si="2"/>
        <v>1990607875</v>
      </c>
      <c r="J15" s="896">
        <f t="shared" si="2"/>
        <v>-8219804</v>
      </c>
      <c r="K15" s="897"/>
      <c r="L15" s="897"/>
      <c r="M15" s="897"/>
      <c r="N15" s="897"/>
      <c r="O15" s="897"/>
      <c r="P15" s="897"/>
    </row>
    <row r="16" spans="2:16" ht="14.25">
      <c r="B16" s="899"/>
      <c r="C16" s="900"/>
      <c r="D16" s="900"/>
      <c r="E16" s="900"/>
      <c r="F16" s="900"/>
      <c r="G16" s="900"/>
      <c r="H16" s="900"/>
      <c r="I16" s="900"/>
      <c r="J16" s="900"/>
      <c r="K16" s="900"/>
      <c r="L16" s="900"/>
      <c r="M16" s="900"/>
      <c r="N16" s="900"/>
      <c r="O16" s="900"/>
      <c r="P16" s="900"/>
    </row>
    <row r="17" spans="2:16" ht="14.25">
      <c r="B17" s="899"/>
      <c r="C17" s="900"/>
      <c r="D17" s="900"/>
      <c r="E17" s="900"/>
      <c r="F17" s="900"/>
      <c r="G17" s="900"/>
      <c r="H17" s="900"/>
      <c r="I17" s="900"/>
      <c r="J17" s="900"/>
      <c r="K17" s="900"/>
      <c r="L17" s="900"/>
      <c r="M17" s="900"/>
      <c r="N17" s="900"/>
      <c r="O17" s="900"/>
      <c r="P17" s="900"/>
    </row>
    <row r="18" spans="2:16" ht="14.25">
      <c r="B18" s="899"/>
      <c r="C18" s="900"/>
      <c r="D18" s="900"/>
      <c r="E18" s="900"/>
      <c r="F18" s="900"/>
      <c r="G18" s="900"/>
      <c r="H18" s="900"/>
      <c r="I18" s="900"/>
      <c r="J18" s="900"/>
      <c r="K18" s="900"/>
      <c r="L18" s="900"/>
      <c r="M18" s="900"/>
      <c r="N18" s="900"/>
      <c r="O18" s="900"/>
      <c r="P18" s="900"/>
    </row>
    <row r="19" spans="2:16" ht="14.25">
      <c r="B19" s="899"/>
      <c r="C19" s="900"/>
      <c r="D19" s="900"/>
      <c r="E19" s="900"/>
      <c r="F19" s="900"/>
      <c r="G19" s="900"/>
      <c r="H19" s="900"/>
      <c r="I19" s="900"/>
      <c r="J19" s="900"/>
      <c r="K19" s="900"/>
      <c r="L19" s="900"/>
      <c r="M19" s="900"/>
      <c r="N19" s="900"/>
      <c r="O19" s="900"/>
      <c r="P19" s="900"/>
    </row>
    <row r="20" spans="2:16" ht="14.25">
      <c r="B20" s="899"/>
      <c r="C20" s="900"/>
      <c r="D20" s="900"/>
      <c r="E20" s="900"/>
      <c r="F20" s="900"/>
      <c r="G20" s="900"/>
      <c r="H20" s="900"/>
      <c r="I20" s="900"/>
      <c r="J20" s="900"/>
      <c r="K20" s="900"/>
      <c r="L20" s="900"/>
      <c r="M20" s="900"/>
      <c r="N20" s="900"/>
      <c r="O20" s="900"/>
      <c r="P20" s="900"/>
    </row>
    <row r="21" spans="3:16" ht="14.25">
      <c r="C21" s="900"/>
      <c r="D21" s="900"/>
      <c r="E21" s="900"/>
      <c r="F21" s="900"/>
      <c r="G21" s="900"/>
      <c r="H21" s="900"/>
      <c r="I21" s="900"/>
      <c r="J21" s="900"/>
      <c r="K21" s="900"/>
      <c r="L21" s="900"/>
      <c r="M21" s="900"/>
      <c r="N21" s="900"/>
      <c r="O21" s="900"/>
      <c r="P21" s="900"/>
    </row>
    <row r="22" spans="3:16" ht="14.25">
      <c r="C22" s="900"/>
      <c r="D22" s="900"/>
      <c r="E22" s="900"/>
      <c r="F22" s="900"/>
      <c r="G22" s="900"/>
      <c r="H22" s="900"/>
      <c r="I22" s="900"/>
      <c r="J22" s="900"/>
      <c r="K22" s="900"/>
      <c r="L22" s="900"/>
      <c r="M22" s="900"/>
      <c r="N22" s="900"/>
      <c r="O22" s="900"/>
      <c r="P22" s="900"/>
    </row>
    <row r="23" spans="3:16" ht="14.25">
      <c r="C23" s="900"/>
      <c r="D23" s="900"/>
      <c r="E23" s="900"/>
      <c r="F23" s="900"/>
      <c r="G23" s="900"/>
      <c r="H23" s="900"/>
      <c r="I23" s="900"/>
      <c r="J23" s="900"/>
      <c r="K23" s="900"/>
      <c r="L23" s="900"/>
      <c r="M23" s="900"/>
      <c r="N23" s="900"/>
      <c r="O23" s="900"/>
      <c r="P23" s="900"/>
    </row>
    <row r="24" spans="3:16" ht="14.25">
      <c r="C24" s="900"/>
      <c r="D24" s="900"/>
      <c r="E24" s="900"/>
      <c r="F24" s="900"/>
      <c r="G24" s="900"/>
      <c r="H24" s="900"/>
      <c r="I24" s="900"/>
      <c r="J24" s="900"/>
      <c r="K24" s="900"/>
      <c r="L24" s="900"/>
      <c r="M24" s="900"/>
      <c r="N24" s="900"/>
      <c r="O24" s="900"/>
      <c r="P24" s="900"/>
    </row>
    <row r="25" spans="3:16" ht="14.25">
      <c r="C25" s="900"/>
      <c r="D25" s="900"/>
      <c r="E25" s="900"/>
      <c r="F25" s="900"/>
      <c r="G25" s="900"/>
      <c r="H25" s="900"/>
      <c r="I25" s="900"/>
      <c r="J25" s="900"/>
      <c r="K25" s="900"/>
      <c r="L25" s="900"/>
      <c r="M25" s="900"/>
      <c r="N25" s="900"/>
      <c r="O25" s="900"/>
      <c r="P25" s="900"/>
    </row>
    <row r="26" spans="3:16" ht="14.25">
      <c r="C26" s="900"/>
      <c r="D26" s="900"/>
      <c r="E26" s="900"/>
      <c r="F26" s="900"/>
      <c r="G26" s="900"/>
      <c r="H26" s="900"/>
      <c r="I26" s="900"/>
      <c r="J26" s="900"/>
      <c r="K26" s="900"/>
      <c r="L26" s="900"/>
      <c r="M26" s="900"/>
      <c r="N26" s="900"/>
      <c r="O26" s="900"/>
      <c r="P26" s="900"/>
    </row>
    <row r="27" spans="3:16" ht="14.25">
      <c r="C27" s="900"/>
      <c r="D27" s="900"/>
      <c r="E27" s="900"/>
      <c r="F27" s="900"/>
      <c r="G27" s="900"/>
      <c r="H27" s="900"/>
      <c r="I27" s="900"/>
      <c r="J27" s="900"/>
      <c r="K27" s="900"/>
      <c r="L27" s="900"/>
      <c r="M27" s="900"/>
      <c r="N27" s="900"/>
      <c r="O27" s="900"/>
      <c r="P27" s="900"/>
    </row>
    <row r="28" spans="3:16" ht="14.25">
      <c r="C28" s="900"/>
      <c r="D28" s="900"/>
      <c r="E28" s="900"/>
      <c r="F28" s="900"/>
      <c r="G28" s="900"/>
      <c r="H28" s="900"/>
      <c r="I28" s="900"/>
      <c r="J28" s="900"/>
      <c r="K28" s="900"/>
      <c r="L28" s="900"/>
      <c r="M28" s="900"/>
      <c r="N28" s="900"/>
      <c r="O28" s="900"/>
      <c r="P28" s="900"/>
    </row>
    <row r="29" spans="3:16" ht="14.25">
      <c r="C29" s="900"/>
      <c r="D29" s="900"/>
      <c r="E29" s="900"/>
      <c r="F29" s="900"/>
      <c r="G29" s="900"/>
      <c r="H29" s="900"/>
      <c r="I29" s="900"/>
      <c r="J29" s="900"/>
      <c r="K29" s="900"/>
      <c r="L29" s="900"/>
      <c r="M29" s="900"/>
      <c r="N29" s="900"/>
      <c r="O29" s="900"/>
      <c r="P29" s="900"/>
    </row>
    <row r="30" spans="3:16" ht="14.25">
      <c r="C30" s="900"/>
      <c r="D30" s="900"/>
      <c r="E30" s="900"/>
      <c r="F30" s="900"/>
      <c r="G30" s="900"/>
      <c r="H30" s="900"/>
      <c r="I30" s="900"/>
      <c r="J30" s="900"/>
      <c r="K30" s="900"/>
      <c r="L30" s="900"/>
      <c r="M30" s="900"/>
      <c r="N30" s="900"/>
      <c r="O30" s="900"/>
      <c r="P30" s="900"/>
    </row>
    <row r="31" spans="3:16" ht="14.25">
      <c r="C31" s="900"/>
      <c r="D31" s="900"/>
      <c r="E31" s="900"/>
      <c r="F31" s="900"/>
      <c r="G31" s="900"/>
      <c r="H31" s="900"/>
      <c r="I31" s="900"/>
      <c r="J31" s="900"/>
      <c r="K31" s="900"/>
      <c r="L31" s="900"/>
      <c r="M31" s="900"/>
      <c r="N31" s="900"/>
      <c r="O31" s="900"/>
      <c r="P31" s="900"/>
    </row>
    <row r="32" spans="3:16" ht="14.25">
      <c r="C32" s="900"/>
      <c r="D32" s="900"/>
      <c r="E32" s="900"/>
      <c r="F32" s="900"/>
      <c r="G32" s="900"/>
      <c r="H32" s="900"/>
      <c r="I32" s="900"/>
      <c r="J32" s="900"/>
      <c r="K32" s="900"/>
      <c r="L32" s="900"/>
      <c r="M32" s="900"/>
      <c r="N32" s="900"/>
      <c r="O32" s="900"/>
      <c r="P32" s="900"/>
    </row>
    <row r="33" spans="3:16" ht="14.25">
      <c r="C33" s="900"/>
      <c r="D33" s="900"/>
      <c r="E33" s="900"/>
      <c r="F33" s="900"/>
      <c r="G33" s="900"/>
      <c r="H33" s="900"/>
      <c r="I33" s="900"/>
      <c r="J33" s="900"/>
      <c r="K33" s="900"/>
      <c r="L33" s="900"/>
      <c r="M33" s="900"/>
      <c r="N33" s="900"/>
      <c r="O33" s="900"/>
      <c r="P33" s="900"/>
    </row>
    <row r="34" spans="3:16" ht="14.25">
      <c r="C34" s="900"/>
      <c r="D34" s="900"/>
      <c r="E34" s="900"/>
      <c r="F34" s="900"/>
      <c r="G34" s="900"/>
      <c r="H34" s="900"/>
      <c r="I34" s="900"/>
      <c r="J34" s="900"/>
      <c r="K34" s="900"/>
      <c r="L34" s="900"/>
      <c r="M34" s="900"/>
      <c r="N34" s="900"/>
      <c r="O34" s="900"/>
      <c r="P34" s="900"/>
    </row>
    <row r="35" spans="3:16" ht="14.25">
      <c r="C35" s="900"/>
      <c r="D35" s="900"/>
      <c r="E35" s="900"/>
      <c r="F35" s="900"/>
      <c r="G35" s="900"/>
      <c r="H35" s="900"/>
      <c r="I35" s="900"/>
      <c r="J35" s="900"/>
      <c r="K35" s="900"/>
      <c r="L35" s="900"/>
      <c r="M35" s="900"/>
      <c r="N35" s="900"/>
      <c r="O35" s="900"/>
      <c r="P35" s="900"/>
    </row>
    <row r="36" spans="3:16" ht="14.25">
      <c r="C36" s="900"/>
      <c r="D36" s="900"/>
      <c r="E36" s="900"/>
      <c r="F36" s="900"/>
      <c r="G36" s="900"/>
      <c r="H36" s="900"/>
      <c r="I36" s="900"/>
      <c r="J36" s="900"/>
      <c r="K36" s="900"/>
      <c r="L36" s="900"/>
      <c r="M36" s="900"/>
      <c r="N36" s="900"/>
      <c r="O36" s="900"/>
      <c r="P36" s="900"/>
    </row>
    <row r="37" spans="3:16" ht="14.25">
      <c r="C37" s="900"/>
      <c r="D37" s="900"/>
      <c r="E37" s="900"/>
      <c r="F37" s="900"/>
      <c r="G37" s="900"/>
      <c r="H37" s="900"/>
      <c r="I37" s="900"/>
      <c r="J37" s="900"/>
      <c r="K37" s="900"/>
      <c r="L37" s="900"/>
      <c r="M37" s="900"/>
      <c r="N37" s="900"/>
      <c r="O37" s="900"/>
      <c r="P37" s="900"/>
    </row>
    <row r="38" spans="3:16" ht="14.25">
      <c r="C38" s="900"/>
      <c r="D38" s="900"/>
      <c r="E38" s="900"/>
      <c r="F38" s="900"/>
      <c r="G38" s="900"/>
      <c r="H38" s="900"/>
      <c r="I38" s="900"/>
      <c r="J38" s="900"/>
      <c r="K38" s="900"/>
      <c r="L38" s="900"/>
      <c r="M38" s="900"/>
      <c r="N38" s="900"/>
      <c r="O38" s="900"/>
      <c r="P38" s="900"/>
    </row>
    <row r="39" spans="3:16" ht="14.25">
      <c r="C39" s="900"/>
      <c r="D39" s="900"/>
      <c r="E39" s="900"/>
      <c r="F39" s="900"/>
      <c r="G39" s="900"/>
      <c r="H39" s="900"/>
      <c r="I39" s="900"/>
      <c r="J39" s="900"/>
      <c r="K39" s="900"/>
      <c r="L39" s="900"/>
      <c r="M39" s="900"/>
      <c r="N39" s="900"/>
      <c r="O39" s="900"/>
      <c r="P39" s="900"/>
    </row>
    <row r="40" spans="3:16" ht="14.25">
      <c r="C40" s="900"/>
      <c r="D40" s="900"/>
      <c r="E40" s="900"/>
      <c r="F40" s="900"/>
      <c r="G40" s="900"/>
      <c r="H40" s="900"/>
      <c r="I40" s="900"/>
      <c r="J40" s="900"/>
      <c r="K40" s="900"/>
      <c r="L40" s="900"/>
      <c r="M40" s="900"/>
      <c r="N40" s="900"/>
      <c r="O40" s="900"/>
      <c r="P40" s="900"/>
    </row>
    <row r="41" spans="3:16" ht="14.25">
      <c r="C41" s="900"/>
      <c r="D41" s="900"/>
      <c r="E41" s="900"/>
      <c r="F41" s="900"/>
      <c r="G41" s="900"/>
      <c r="H41" s="900"/>
      <c r="I41" s="900"/>
      <c r="J41" s="900"/>
      <c r="K41" s="900"/>
      <c r="L41" s="900"/>
      <c r="M41" s="900"/>
      <c r="N41" s="900"/>
      <c r="O41" s="900"/>
      <c r="P41" s="900"/>
    </row>
    <row r="42" spans="3:16" ht="14.25">
      <c r="C42" s="900"/>
      <c r="D42" s="900"/>
      <c r="E42" s="900"/>
      <c r="F42" s="900"/>
      <c r="G42" s="900"/>
      <c r="H42" s="900"/>
      <c r="I42" s="900"/>
      <c r="J42" s="900"/>
      <c r="K42" s="900"/>
      <c r="L42" s="900"/>
      <c r="M42" s="900"/>
      <c r="N42" s="900"/>
      <c r="O42" s="900"/>
      <c r="P42" s="900"/>
    </row>
    <row r="43" spans="3:16" ht="14.25">
      <c r="C43" s="900"/>
      <c r="D43" s="900"/>
      <c r="E43" s="900"/>
      <c r="F43" s="900"/>
      <c r="G43" s="900"/>
      <c r="H43" s="900"/>
      <c r="I43" s="900"/>
      <c r="J43" s="900"/>
      <c r="K43" s="900"/>
      <c r="L43" s="900"/>
      <c r="M43" s="900"/>
      <c r="N43" s="900"/>
      <c r="O43" s="900"/>
      <c r="P43" s="900"/>
    </row>
    <row r="44" spans="3:16" ht="14.25">
      <c r="C44" s="900"/>
      <c r="D44" s="900"/>
      <c r="E44" s="900"/>
      <c r="F44" s="900"/>
      <c r="G44" s="900"/>
      <c r="H44" s="900"/>
      <c r="I44" s="900"/>
      <c r="J44" s="900"/>
      <c r="K44" s="900"/>
      <c r="L44" s="900"/>
      <c r="M44" s="900"/>
      <c r="N44" s="900"/>
      <c r="O44" s="900"/>
      <c r="P44" s="900"/>
    </row>
    <row r="45" spans="3:16" ht="14.25">
      <c r="C45" s="900"/>
      <c r="D45" s="900"/>
      <c r="E45" s="900"/>
      <c r="F45" s="900"/>
      <c r="G45" s="900"/>
      <c r="H45" s="900"/>
      <c r="I45" s="900"/>
      <c r="J45" s="900"/>
      <c r="K45" s="900"/>
      <c r="L45" s="900"/>
      <c r="M45" s="900"/>
      <c r="N45" s="900"/>
      <c r="O45" s="900"/>
      <c r="P45" s="900"/>
    </row>
    <row r="46" spans="3:16" ht="14.25">
      <c r="C46" s="900"/>
      <c r="D46" s="900"/>
      <c r="E46" s="900"/>
      <c r="F46" s="900"/>
      <c r="G46" s="900"/>
      <c r="H46" s="900"/>
      <c r="I46" s="900"/>
      <c r="J46" s="900"/>
      <c r="K46" s="900"/>
      <c r="L46" s="900"/>
      <c r="M46" s="900"/>
      <c r="N46" s="900"/>
      <c r="O46" s="900"/>
      <c r="P46" s="900"/>
    </row>
    <row r="47" spans="3:16" ht="14.25">
      <c r="C47" s="900"/>
      <c r="D47" s="900"/>
      <c r="E47" s="900"/>
      <c r="F47" s="900"/>
      <c r="G47" s="900"/>
      <c r="H47" s="900"/>
      <c r="I47" s="900"/>
      <c r="J47" s="900"/>
      <c r="K47" s="900"/>
      <c r="L47" s="900"/>
      <c r="M47" s="900"/>
      <c r="N47" s="900"/>
      <c r="O47" s="900"/>
      <c r="P47" s="900"/>
    </row>
    <row r="48" spans="3:16" ht="14.25">
      <c r="C48" s="900"/>
      <c r="D48" s="900"/>
      <c r="E48" s="900"/>
      <c r="F48" s="900"/>
      <c r="G48" s="900"/>
      <c r="H48" s="900"/>
      <c r="I48" s="900"/>
      <c r="J48" s="900"/>
      <c r="K48" s="900"/>
      <c r="L48" s="900"/>
      <c r="M48" s="900"/>
      <c r="N48" s="900"/>
      <c r="O48" s="900"/>
      <c r="P48" s="900"/>
    </row>
    <row r="49" spans="3:16" ht="14.25">
      <c r="C49" s="900"/>
      <c r="D49" s="900"/>
      <c r="E49" s="900"/>
      <c r="F49" s="900"/>
      <c r="G49" s="900"/>
      <c r="H49" s="900"/>
      <c r="I49" s="900"/>
      <c r="J49" s="900"/>
      <c r="K49" s="900"/>
      <c r="L49" s="900"/>
      <c r="M49" s="900"/>
      <c r="N49" s="900"/>
      <c r="O49" s="900"/>
      <c r="P49" s="900"/>
    </row>
    <row r="50" spans="3:16" ht="14.25">
      <c r="C50" s="900"/>
      <c r="D50" s="900"/>
      <c r="E50" s="900"/>
      <c r="F50" s="900"/>
      <c r="G50" s="900"/>
      <c r="H50" s="900"/>
      <c r="I50" s="900"/>
      <c r="J50" s="900"/>
      <c r="K50" s="900"/>
      <c r="L50" s="900"/>
      <c r="M50" s="900"/>
      <c r="N50" s="900"/>
      <c r="O50" s="900"/>
      <c r="P50" s="900"/>
    </row>
    <row r="51" spans="3:16" ht="14.25">
      <c r="C51" s="900"/>
      <c r="D51" s="900"/>
      <c r="E51" s="900"/>
      <c r="F51" s="900"/>
      <c r="G51" s="900"/>
      <c r="H51" s="900"/>
      <c r="I51" s="900"/>
      <c r="J51" s="900"/>
      <c r="K51" s="900"/>
      <c r="L51" s="900"/>
      <c r="M51" s="900"/>
      <c r="N51" s="900"/>
      <c r="O51" s="900"/>
      <c r="P51" s="900"/>
    </row>
    <row r="52" spans="3:16" ht="14.25">
      <c r="C52" s="900"/>
      <c r="D52" s="900"/>
      <c r="E52" s="900"/>
      <c r="F52" s="900"/>
      <c r="G52" s="900"/>
      <c r="H52" s="900"/>
      <c r="I52" s="900"/>
      <c r="J52" s="900"/>
      <c r="K52" s="900"/>
      <c r="L52" s="900"/>
      <c r="M52" s="900"/>
      <c r="N52" s="900"/>
      <c r="O52" s="900"/>
      <c r="P52" s="900"/>
    </row>
    <row r="53" spans="3:16" ht="14.25">
      <c r="C53" s="900"/>
      <c r="D53" s="900"/>
      <c r="E53" s="900"/>
      <c r="F53" s="900"/>
      <c r="G53" s="900"/>
      <c r="H53" s="900"/>
      <c r="I53" s="900"/>
      <c r="J53" s="900"/>
      <c r="K53" s="900"/>
      <c r="L53" s="900"/>
      <c r="M53" s="900"/>
      <c r="N53" s="900"/>
      <c r="O53" s="900"/>
      <c r="P53" s="900"/>
    </row>
    <row r="54" spans="3:16" ht="14.25">
      <c r="C54" s="900"/>
      <c r="D54" s="900"/>
      <c r="E54" s="900"/>
      <c r="F54" s="900"/>
      <c r="G54" s="900"/>
      <c r="H54" s="900"/>
      <c r="I54" s="900"/>
      <c r="J54" s="900"/>
      <c r="K54" s="900"/>
      <c r="L54" s="900"/>
      <c r="M54" s="900"/>
      <c r="N54" s="900"/>
      <c r="O54" s="900"/>
      <c r="P54" s="900"/>
    </row>
    <row r="55" spans="3:16" ht="14.25">
      <c r="C55" s="900"/>
      <c r="D55" s="900"/>
      <c r="E55" s="900"/>
      <c r="F55" s="900"/>
      <c r="G55" s="900"/>
      <c r="H55" s="900"/>
      <c r="I55" s="900"/>
      <c r="J55" s="900"/>
      <c r="K55" s="900"/>
      <c r="L55" s="900"/>
      <c r="M55" s="900"/>
      <c r="N55" s="900"/>
      <c r="O55" s="900"/>
      <c r="P55" s="900"/>
    </row>
    <row r="56" spans="3:16" ht="14.25">
      <c r="C56" s="900"/>
      <c r="D56" s="900"/>
      <c r="E56" s="900"/>
      <c r="F56" s="900"/>
      <c r="G56" s="900"/>
      <c r="H56" s="900"/>
      <c r="I56" s="900"/>
      <c r="J56" s="900"/>
      <c r="K56" s="900"/>
      <c r="L56" s="900"/>
      <c r="M56" s="900"/>
      <c r="N56" s="900"/>
      <c r="O56" s="900"/>
      <c r="P56" s="900"/>
    </row>
    <row r="57" spans="3:16" ht="14.25">
      <c r="C57" s="900"/>
      <c r="D57" s="900"/>
      <c r="E57" s="900"/>
      <c r="F57" s="900"/>
      <c r="G57" s="900"/>
      <c r="H57" s="900"/>
      <c r="I57" s="900"/>
      <c r="J57" s="900"/>
      <c r="K57" s="900"/>
      <c r="L57" s="900"/>
      <c r="M57" s="900"/>
      <c r="N57" s="900"/>
      <c r="O57" s="900"/>
      <c r="P57" s="900"/>
    </row>
    <row r="58" spans="3:16" ht="14.25">
      <c r="C58" s="900"/>
      <c r="D58" s="900"/>
      <c r="E58" s="900"/>
      <c r="F58" s="900"/>
      <c r="G58" s="900"/>
      <c r="H58" s="900"/>
      <c r="I58" s="900"/>
      <c r="J58" s="900"/>
      <c r="K58" s="900"/>
      <c r="L58" s="900"/>
      <c r="M58" s="900"/>
      <c r="N58" s="900"/>
      <c r="O58" s="900"/>
      <c r="P58" s="900"/>
    </row>
    <row r="59" spans="3:16" ht="14.25">
      <c r="C59" s="900"/>
      <c r="D59" s="900"/>
      <c r="E59" s="900"/>
      <c r="F59" s="900"/>
      <c r="G59" s="900"/>
      <c r="H59" s="900"/>
      <c r="I59" s="900"/>
      <c r="J59" s="900"/>
      <c r="K59" s="900"/>
      <c r="L59" s="900"/>
      <c r="M59" s="900"/>
      <c r="N59" s="900"/>
      <c r="O59" s="900"/>
      <c r="P59" s="900"/>
    </row>
    <row r="60" spans="3:16" ht="14.25">
      <c r="C60" s="900"/>
      <c r="D60" s="900"/>
      <c r="E60" s="900"/>
      <c r="F60" s="900"/>
      <c r="G60" s="900"/>
      <c r="H60" s="900"/>
      <c r="I60" s="900"/>
      <c r="J60" s="900"/>
      <c r="K60" s="900"/>
      <c r="L60" s="900"/>
      <c r="M60" s="900"/>
      <c r="N60" s="900"/>
      <c r="O60" s="900"/>
      <c r="P60" s="900"/>
    </row>
    <row r="61" spans="3:16" ht="14.25">
      <c r="C61" s="900"/>
      <c r="D61" s="900"/>
      <c r="E61" s="900"/>
      <c r="F61" s="900"/>
      <c r="G61" s="900"/>
      <c r="H61" s="900"/>
      <c r="I61" s="900"/>
      <c r="J61" s="900"/>
      <c r="K61" s="900"/>
      <c r="L61" s="900"/>
      <c r="M61" s="900"/>
      <c r="N61" s="900"/>
      <c r="O61" s="900"/>
      <c r="P61" s="900"/>
    </row>
    <row r="62" spans="3:16" ht="14.25">
      <c r="C62" s="900"/>
      <c r="D62" s="900"/>
      <c r="E62" s="900"/>
      <c r="F62" s="900"/>
      <c r="G62" s="900"/>
      <c r="H62" s="900"/>
      <c r="I62" s="900"/>
      <c r="J62" s="900"/>
      <c r="K62" s="900"/>
      <c r="L62" s="900"/>
      <c r="M62" s="900"/>
      <c r="N62" s="900"/>
      <c r="O62" s="900"/>
      <c r="P62" s="900"/>
    </row>
    <row r="63" spans="3:16" ht="14.25">
      <c r="C63" s="900"/>
      <c r="D63" s="900"/>
      <c r="E63" s="900"/>
      <c r="F63" s="900"/>
      <c r="G63" s="900"/>
      <c r="H63" s="900"/>
      <c r="I63" s="900"/>
      <c r="J63" s="900"/>
      <c r="K63" s="900"/>
      <c r="L63" s="900"/>
      <c r="M63" s="900"/>
      <c r="N63" s="900"/>
      <c r="O63" s="900"/>
      <c r="P63" s="900"/>
    </row>
    <row r="64" spans="3:16" ht="14.25">
      <c r="C64" s="900"/>
      <c r="D64" s="900"/>
      <c r="E64" s="900"/>
      <c r="F64" s="900"/>
      <c r="G64" s="900"/>
      <c r="H64" s="900"/>
      <c r="I64" s="900"/>
      <c r="J64" s="900"/>
      <c r="K64" s="900"/>
      <c r="L64" s="900"/>
      <c r="M64" s="900"/>
      <c r="N64" s="900"/>
      <c r="O64" s="900"/>
      <c r="P64" s="900"/>
    </row>
    <row r="65" spans="3:16" ht="14.25">
      <c r="C65" s="900"/>
      <c r="D65" s="900"/>
      <c r="E65" s="900"/>
      <c r="F65" s="900"/>
      <c r="G65" s="900"/>
      <c r="H65" s="900"/>
      <c r="I65" s="900"/>
      <c r="J65" s="900"/>
      <c r="K65" s="900"/>
      <c r="L65" s="900"/>
      <c r="M65" s="900"/>
      <c r="N65" s="900"/>
      <c r="O65" s="900"/>
      <c r="P65" s="900"/>
    </row>
    <row r="66" spans="3:16" ht="14.25">
      <c r="C66" s="900"/>
      <c r="D66" s="900"/>
      <c r="E66" s="900"/>
      <c r="F66" s="900"/>
      <c r="G66" s="900"/>
      <c r="H66" s="900"/>
      <c r="I66" s="900"/>
      <c r="J66" s="900"/>
      <c r="K66" s="900"/>
      <c r="L66" s="900"/>
      <c r="M66" s="900"/>
      <c r="N66" s="900"/>
      <c r="O66" s="900"/>
      <c r="P66" s="900"/>
    </row>
    <row r="67" spans="3:16" ht="14.25">
      <c r="C67" s="900"/>
      <c r="D67" s="900"/>
      <c r="E67" s="900"/>
      <c r="F67" s="900"/>
      <c r="G67" s="900"/>
      <c r="H67" s="900"/>
      <c r="I67" s="900"/>
      <c r="J67" s="900"/>
      <c r="K67" s="900"/>
      <c r="L67" s="900"/>
      <c r="M67" s="900"/>
      <c r="N67" s="900"/>
      <c r="O67" s="900"/>
      <c r="P67" s="900"/>
    </row>
    <row r="68" spans="3:16" ht="14.25">
      <c r="C68" s="900"/>
      <c r="D68" s="900"/>
      <c r="E68" s="900"/>
      <c r="F68" s="900"/>
      <c r="G68" s="900"/>
      <c r="H68" s="900"/>
      <c r="I68" s="900"/>
      <c r="J68" s="900"/>
      <c r="K68" s="900"/>
      <c r="L68" s="900"/>
      <c r="M68" s="900"/>
      <c r="N68" s="900"/>
      <c r="O68" s="900"/>
      <c r="P68" s="900"/>
    </row>
    <row r="69" spans="3:16" ht="14.25">
      <c r="C69" s="900"/>
      <c r="D69" s="900"/>
      <c r="E69" s="900"/>
      <c r="F69" s="900"/>
      <c r="G69" s="900"/>
      <c r="H69" s="900"/>
      <c r="I69" s="900"/>
      <c r="J69" s="900"/>
      <c r="K69" s="900"/>
      <c r="L69" s="900"/>
      <c r="M69" s="900"/>
      <c r="N69" s="900"/>
      <c r="O69" s="900"/>
      <c r="P69" s="900"/>
    </row>
    <row r="70" spans="3:16" ht="14.25">
      <c r="C70" s="900"/>
      <c r="D70" s="900"/>
      <c r="E70" s="900"/>
      <c r="F70" s="900"/>
      <c r="G70" s="900"/>
      <c r="H70" s="900"/>
      <c r="I70" s="900"/>
      <c r="J70" s="900"/>
      <c r="K70" s="900"/>
      <c r="L70" s="900"/>
      <c r="M70" s="900"/>
      <c r="N70" s="900"/>
      <c r="O70" s="900"/>
      <c r="P70" s="900"/>
    </row>
    <row r="71" spans="3:16" ht="14.25">
      <c r="C71" s="900"/>
      <c r="D71" s="900"/>
      <c r="E71" s="900"/>
      <c r="F71" s="900"/>
      <c r="G71" s="900"/>
      <c r="H71" s="900"/>
      <c r="I71" s="900"/>
      <c r="J71" s="900"/>
      <c r="K71" s="900"/>
      <c r="L71" s="900"/>
      <c r="M71" s="900"/>
      <c r="N71" s="900"/>
      <c r="O71" s="900"/>
      <c r="P71" s="900"/>
    </row>
    <row r="72" spans="3:16" ht="14.25">
      <c r="C72" s="900"/>
      <c r="D72" s="900"/>
      <c r="E72" s="900"/>
      <c r="F72" s="900"/>
      <c r="G72" s="900"/>
      <c r="H72" s="900"/>
      <c r="I72" s="900"/>
      <c r="J72" s="900"/>
      <c r="K72" s="900"/>
      <c r="L72" s="900"/>
      <c r="M72" s="900"/>
      <c r="N72" s="900"/>
      <c r="O72" s="900"/>
      <c r="P72" s="900"/>
    </row>
    <row r="73" spans="3:16" ht="14.25">
      <c r="C73" s="900"/>
      <c r="D73" s="900"/>
      <c r="E73" s="900"/>
      <c r="F73" s="900"/>
      <c r="G73" s="900"/>
      <c r="H73" s="900"/>
      <c r="I73" s="900"/>
      <c r="J73" s="900"/>
      <c r="K73" s="900"/>
      <c r="L73" s="900"/>
      <c r="M73" s="900"/>
      <c r="N73" s="900"/>
      <c r="O73" s="900"/>
      <c r="P73" s="900"/>
    </row>
    <row r="74" spans="3:16" ht="14.25">
      <c r="C74" s="900"/>
      <c r="D74" s="900"/>
      <c r="E74" s="900"/>
      <c r="F74" s="900"/>
      <c r="G74" s="900"/>
      <c r="H74" s="900"/>
      <c r="I74" s="900"/>
      <c r="J74" s="900"/>
      <c r="K74" s="900"/>
      <c r="L74" s="900"/>
      <c r="M74" s="900"/>
      <c r="N74" s="900"/>
      <c r="O74" s="900"/>
      <c r="P74" s="900"/>
    </row>
    <row r="75" spans="3:16" ht="14.25">
      <c r="C75" s="900"/>
      <c r="D75" s="900"/>
      <c r="E75" s="900"/>
      <c r="F75" s="900"/>
      <c r="G75" s="900"/>
      <c r="H75" s="900"/>
      <c r="I75" s="900"/>
      <c r="J75" s="900"/>
      <c r="K75" s="900"/>
      <c r="L75" s="900"/>
      <c r="M75" s="900"/>
      <c r="N75" s="900"/>
      <c r="O75" s="900"/>
      <c r="P75" s="900"/>
    </row>
    <row r="76" spans="3:16" ht="14.25">
      <c r="C76" s="900"/>
      <c r="D76" s="900"/>
      <c r="E76" s="900"/>
      <c r="F76" s="900"/>
      <c r="G76" s="900"/>
      <c r="H76" s="900"/>
      <c r="I76" s="900"/>
      <c r="J76" s="900"/>
      <c r="K76" s="900"/>
      <c r="L76" s="900"/>
      <c r="M76" s="900"/>
      <c r="N76" s="900"/>
      <c r="O76" s="900"/>
      <c r="P76" s="900"/>
    </row>
    <row r="77" spans="3:16" ht="14.25">
      <c r="C77" s="900"/>
      <c r="D77" s="900"/>
      <c r="E77" s="900"/>
      <c r="F77" s="900"/>
      <c r="G77" s="900"/>
      <c r="H77" s="900"/>
      <c r="I77" s="900"/>
      <c r="J77" s="900"/>
      <c r="K77" s="900"/>
      <c r="L77" s="900"/>
      <c r="M77" s="900"/>
      <c r="N77" s="900"/>
      <c r="O77" s="900"/>
      <c r="P77" s="900"/>
    </row>
    <row r="78" spans="3:16" ht="14.25">
      <c r="C78" s="900"/>
      <c r="D78" s="900"/>
      <c r="E78" s="900"/>
      <c r="F78" s="900"/>
      <c r="G78" s="900"/>
      <c r="H78" s="900"/>
      <c r="I78" s="900"/>
      <c r="J78" s="900"/>
      <c r="K78" s="900"/>
      <c r="L78" s="900"/>
      <c r="M78" s="900"/>
      <c r="N78" s="900"/>
      <c r="O78" s="900"/>
      <c r="P78" s="900"/>
    </row>
    <row r="79" spans="3:16" ht="14.25">
      <c r="C79" s="900"/>
      <c r="D79" s="900"/>
      <c r="E79" s="900"/>
      <c r="F79" s="900"/>
      <c r="G79" s="900"/>
      <c r="H79" s="900"/>
      <c r="I79" s="900"/>
      <c r="J79" s="900"/>
      <c r="K79" s="900"/>
      <c r="L79" s="900"/>
      <c r="M79" s="900"/>
      <c r="N79" s="900"/>
      <c r="O79" s="900"/>
      <c r="P79" s="900"/>
    </row>
    <row r="80" spans="3:16" ht="14.25">
      <c r="C80" s="900"/>
      <c r="D80" s="900"/>
      <c r="E80" s="900"/>
      <c r="F80" s="900"/>
      <c r="G80" s="900"/>
      <c r="H80" s="900"/>
      <c r="I80" s="900"/>
      <c r="J80" s="900"/>
      <c r="K80" s="900"/>
      <c r="L80" s="900"/>
      <c r="M80" s="900"/>
      <c r="N80" s="900"/>
      <c r="O80" s="900"/>
      <c r="P80" s="900"/>
    </row>
    <row r="81" spans="3:16" ht="14.25">
      <c r="C81" s="900"/>
      <c r="D81" s="900"/>
      <c r="E81" s="900"/>
      <c r="F81" s="900"/>
      <c r="G81" s="900"/>
      <c r="H81" s="900"/>
      <c r="I81" s="900"/>
      <c r="J81" s="900"/>
      <c r="K81" s="900"/>
      <c r="L81" s="900"/>
      <c r="M81" s="900"/>
      <c r="N81" s="900"/>
      <c r="O81" s="900"/>
      <c r="P81" s="900"/>
    </row>
    <row r="82" spans="3:16" ht="14.25">
      <c r="C82" s="900"/>
      <c r="D82" s="900"/>
      <c r="E82" s="900"/>
      <c r="F82" s="900"/>
      <c r="G82" s="900"/>
      <c r="H82" s="900"/>
      <c r="I82" s="900"/>
      <c r="J82" s="900"/>
      <c r="K82" s="900"/>
      <c r="L82" s="900"/>
      <c r="M82" s="900"/>
      <c r="N82" s="900"/>
      <c r="O82" s="900"/>
      <c r="P82" s="900"/>
    </row>
    <row r="83" spans="3:16" ht="14.25">
      <c r="C83" s="900"/>
      <c r="D83" s="900"/>
      <c r="E83" s="900"/>
      <c r="F83" s="900"/>
      <c r="G83" s="900"/>
      <c r="H83" s="900"/>
      <c r="I83" s="900"/>
      <c r="J83" s="900"/>
      <c r="K83" s="900"/>
      <c r="L83" s="900"/>
      <c r="M83" s="900"/>
      <c r="N83" s="900"/>
      <c r="O83" s="900"/>
      <c r="P83" s="900"/>
    </row>
    <row r="84" spans="3:16" ht="14.25">
      <c r="C84" s="900"/>
      <c r="D84" s="900"/>
      <c r="E84" s="900"/>
      <c r="F84" s="900"/>
      <c r="G84" s="900"/>
      <c r="H84" s="900"/>
      <c r="I84" s="900"/>
      <c r="J84" s="900"/>
      <c r="K84" s="900"/>
      <c r="L84" s="900"/>
      <c r="M84" s="900"/>
      <c r="N84" s="900"/>
      <c r="O84" s="900"/>
      <c r="P84" s="900"/>
    </row>
    <row r="85" spans="3:16" ht="14.25">
      <c r="C85" s="900"/>
      <c r="D85" s="900"/>
      <c r="E85" s="900"/>
      <c r="F85" s="900"/>
      <c r="G85" s="900"/>
      <c r="H85" s="900"/>
      <c r="I85" s="900"/>
      <c r="J85" s="900"/>
      <c r="K85" s="900"/>
      <c r="L85" s="900"/>
      <c r="M85" s="900"/>
      <c r="N85" s="900"/>
      <c r="O85" s="900"/>
      <c r="P85" s="900"/>
    </row>
    <row r="86" spans="3:16" ht="14.25">
      <c r="C86" s="900"/>
      <c r="D86" s="900"/>
      <c r="E86" s="900"/>
      <c r="F86" s="900"/>
      <c r="G86" s="900"/>
      <c r="H86" s="900"/>
      <c r="I86" s="900"/>
      <c r="J86" s="900"/>
      <c r="K86" s="900"/>
      <c r="L86" s="900"/>
      <c r="M86" s="900"/>
      <c r="N86" s="900"/>
      <c r="O86" s="900"/>
      <c r="P86" s="900"/>
    </row>
    <row r="87" spans="3:16" ht="14.25">
      <c r="C87" s="900"/>
      <c r="D87" s="900"/>
      <c r="E87" s="900"/>
      <c r="F87" s="900"/>
      <c r="G87" s="900"/>
      <c r="H87" s="900"/>
      <c r="I87" s="900"/>
      <c r="J87" s="900"/>
      <c r="K87" s="900"/>
      <c r="L87" s="900"/>
      <c r="M87" s="900"/>
      <c r="N87" s="900"/>
      <c r="O87" s="900"/>
      <c r="P87" s="900"/>
    </row>
    <row r="88" spans="3:16" ht="14.25">
      <c r="C88" s="900"/>
      <c r="D88" s="900"/>
      <c r="E88" s="900"/>
      <c r="F88" s="900"/>
      <c r="G88" s="900"/>
      <c r="H88" s="900"/>
      <c r="I88" s="900"/>
      <c r="J88" s="900"/>
      <c r="K88" s="900"/>
      <c r="L88" s="900"/>
      <c r="M88" s="900"/>
      <c r="N88" s="900"/>
      <c r="O88" s="900"/>
      <c r="P88" s="900"/>
    </row>
    <row r="89" spans="3:16" ht="14.25">
      <c r="C89" s="900"/>
      <c r="D89" s="900"/>
      <c r="E89" s="900"/>
      <c r="F89" s="900"/>
      <c r="G89" s="900"/>
      <c r="H89" s="900"/>
      <c r="I89" s="900"/>
      <c r="J89" s="900"/>
      <c r="K89" s="900"/>
      <c r="L89" s="900"/>
      <c r="M89" s="900"/>
      <c r="N89" s="900"/>
      <c r="O89" s="900"/>
      <c r="P89" s="900"/>
    </row>
    <row r="90" spans="3:16" ht="14.25">
      <c r="C90" s="900"/>
      <c r="D90" s="900"/>
      <c r="E90" s="900"/>
      <c r="F90" s="900"/>
      <c r="G90" s="900"/>
      <c r="H90" s="900"/>
      <c r="I90" s="900"/>
      <c r="J90" s="900"/>
      <c r="K90" s="900"/>
      <c r="L90" s="900"/>
      <c r="M90" s="900"/>
      <c r="N90" s="900"/>
      <c r="O90" s="900"/>
      <c r="P90" s="900"/>
    </row>
    <row r="91" spans="3:16" ht="14.25">
      <c r="C91" s="900"/>
      <c r="D91" s="900"/>
      <c r="E91" s="900"/>
      <c r="F91" s="900"/>
      <c r="G91" s="900"/>
      <c r="H91" s="900"/>
      <c r="I91" s="900"/>
      <c r="J91" s="900"/>
      <c r="K91" s="900"/>
      <c r="L91" s="900"/>
      <c r="M91" s="900"/>
      <c r="N91" s="900"/>
      <c r="O91" s="900"/>
      <c r="P91" s="900"/>
    </row>
    <row r="92" spans="3:16" ht="14.25">
      <c r="C92" s="900"/>
      <c r="D92" s="900"/>
      <c r="E92" s="900"/>
      <c r="F92" s="900"/>
      <c r="G92" s="900"/>
      <c r="H92" s="900"/>
      <c r="I92" s="900"/>
      <c r="J92" s="900"/>
      <c r="K92" s="900"/>
      <c r="L92" s="900"/>
      <c r="M92" s="900"/>
      <c r="N92" s="900"/>
      <c r="O92" s="900"/>
      <c r="P92" s="900"/>
    </row>
    <row r="93" spans="3:16" ht="14.25">
      <c r="C93" s="900"/>
      <c r="D93" s="900"/>
      <c r="E93" s="900"/>
      <c r="F93" s="900"/>
      <c r="G93" s="900"/>
      <c r="H93" s="900"/>
      <c r="I93" s="900"/>
      <c r="J93" s="900"/>
      <c r="K93" s="900"/>
      <c r="L93" s="900"/>
      <c r="M93" s="900"/>
      <c r="N93" s="900"/>
      <c r="O93" s="900"/>
      <c r="P93" s="900"/>
    </row>
    <row r="94" spans="3:16" ht="14.25">
      <c r="C94" s="900"/>
      <c r="D94" s="900"/>
      <c r="E94" s="900"/>
      <c r="F94" s="900"/>
      <c r="G94" s="900"/>
      <c r="H94" s="900"/>
      <c r="I94" s="900"/>
      <c r="J94" s="900"/>
      <c r="K94" s="900"/>
      <c r="L94" s="900"/>
      <c r="M94" s="900"/>
      <c r="N94" s="900"/>
      <c r="O94" s="900"/>
      <c r="P94" s="900"/>
    </row>
    <row r="95" spans="3:16" ht="14.25">
      <c r="C95" s="900"/>
      <c r="D95" s="900"/>
      <c r="E95" s="900"/>
      <c r="F95" s="900"/>
      <c r="G95" s="900"/>
      <c r="H95" s="900"/>
      <c r="I95" s="900"/>
      <c r="J95" s="900"/>
      <c r="K95" s="900"/>
      <c r="L95" s="900"/>
      <c r="M95" s="900"/>
      <c r="N95" s="900"/>
      <c r="O95" s="900"/>
      <c r="P95" s="900"/>
    </row>
    <row r="96" spans="3:16" ht="14.25">
      <c r="C96" s="900"/>
      <c r="D96" s="900"/>
      <c r="E96" s="900"/>
      <c r="F96" s="900"/>
      <c r="G96" s="900"/>
      <c r="H96" s="900"/>
      <c r="I96" s="900"/>
      <c r="J96" s="900"/>
      <c r="K96" s="900"/>
      <c r="L96" s="900"/>
      <c r="M96" s="900"/>
      <c r="N96" s="900"/>
      <c r="O96" s="900"/>
      <c r="P96" s="900"/>
    </row>
    <row r="97" spans="3:16" ht="14.25">
      <c r="C97" s="900"/>
      <c r="D97" s="900"/>
      <c r="E97" s="900"/>
      <c r="F97" s="900"/>
      <c r="G97" s="900"/>
      <c r="H97" s="900"/>
      <c r="I97" s="900"/>
      <c r="J97" s="900"/>
      <c r="K97" s="900"/>
      <c r="L97" s="900"/>
      <c r="M97" s="900"/>
      <c r="N97" s="900"/>
      <c r="O97" s="900"/>
      <c r="P97" s="900"/>
    </row>
    <row r="98" spans="3:16" ht="14.25">
      <c r="C98" s="900"/>
      <c r="D98" s="900"/>
      <c r="E98" s="900"/>
      <c r="F98" s="900"/>
      <c r="G98" s="900"/>
      <c r="H98" s="900"/>
      <c r="I98" s="900"/>
      <c r="J98" s="900"/>
      <c r="K98" s="900"/>
      <c r="L98" s="900"/>
      <c r="M98" s="900"/>
      <c r="N98" s="900"/>
      <c r="O98" s="900"/>
      <c r="P98" s="900"/>
    </row>
    <row r="99" spans="3:16" ht="14.25">
      <c r="C99" s="900"/>
      <c r="D99" s="900"/>
      <c r="E99" s="900"/>
      <c r="F99" s="900"/>
      <c r="G99" s="900"/>
      <c r="H99" s="900"/>
      <c r="I99" s="900"/>
      <c r="J99" s="900"/>
      <c r="K99" s="900"/>
      <c r="L99" s="900"/>
      <c r="M99" s="900"/>
      <c r="N99" s="900"/>
      <c r="O99" s="900"/>
      <c r="P99" s="900"/>
    </row>
    <row r="100" spans="3:16" ht="14.25">
      <c r="C100" s="900"/>
      <c r="D100" s="900"/>
      <c r="E100" s="900"/>
      <c r="F100" s="900"/>
      <c r="G100" s="900"/>
      <c r="H100" s="900"/>
      <c r="I100" s="900"/>
      <c r="J100" s="900"/>
      <c r="K100" s="900"/>
      <c r="L100" s="900"/>
      <c r="M100" s="900"/>
      <c r="N100" s="900"/>
      <c r="O100" s="900"/>
      <c r="P100" s="900"/>
    </row>
    <row r="101" spans="3:16" ht="14.25">
      <c r="C101" s="900"/>
      <c r="D101" s="900"/>
      <c r="E101" s="900"/>
      <c r="F101" s="900"/>
      <c r="G101" s="900"/>
      <c r="H101" s="900"/>
      <c r="I101" s="900"/>
      <c r="J101" s="900"/>
      <c r="K101" s="900"/>
      <c r="L101" s="900"/>
      <c r="M101" s="900"/>
      <c r="N101" s="900"/>
      <c r="O101" s="900"/>
      <c r="P101" s="900"/>
    </row>
    <row r="102" spans="3:16" ht="14.25">
      <c r="C102" s="900"/>
      <c r="D102" s="900"/>
      <c r="E102" s="900"/>
      <c r="F102" s="900"/>
      <c r="G102" s="900"/>
      <c r="H102" s="900"/>
      <c r="I102" s="900"/>
      <c r="J102" s="900"/>
      <c r="K102" s="900"/>
      <c r="L102" s="900"/>
      <c r="M102" s="900"/>
      <c r="N102" s="900"/>
      <c r="O102" s="900"/>
      <c r="P102" s="900"/>
    </row>
    <row r="103" spans="3:16" ht="14.25">
      <c r="C103" s="900"/>
      <c r="D103" s="900"/>
      <c r="E103" s="900"/>
      <c r="F103" s="900"/>
      <c r="G103" s="900"/>
      <c r="H103" s="900"/>
      <c r="I103" s="900"/>
      <c r="J103" s="900"/>
      <c r="K103" s="900"/>
      <c r="L103" s="900"/>
      <c r="M103" s="900"/>
      <c r="N103" s="900"/>
      <c r="O103" s="900"/>
      <c r="P103" s="900"/>
    </row>
    <row r="104" spans="3:16" ht="14.25">
      <c r="C104" s="900"/>
      <c r="D104" s="900"/>
      <c r="E104" s="900"/>
      <c r="F104" s="900"/>
      <c r="G104" s="900"/>
      <c r="H104" s="900"/>
      <c r="I104" s="900"/>
      <c r="J104" s="900"/>
      <c r="K104" s="900"/>
      <c r="L104" s="900"/>
      <c r="M104" s="900"/>
      <c r="N104" s="900"/>
      <c r="O104" s="900"/>
      <c r="P104" s="900"/>
    </row>
    <row r="105" spans="3:16" ht="14.25">
      <c r="C105" s="900"/>
      <c r="D105" s="900"/>
      <c r="E105" s="900"/>
      <c r="F105" s="900"/>
      <c r="G105" s="900"/>
      <c r="H105" s="900"/>
      <c r="I105" s="900"/>
      <c r="J105" s="900"/>
      <c r="K105" s="900"/>
      <c r="L105" s="900"/>
      <c r="M105" s="900"/>
      <c r="N105" s="900"/>
      <c r="O105" s="900"/>
      <c r="P105" s="900"/>
    </row>
    <row r="106" spans="3:16" ht="14.25">
      <c r="C106" s="900"/>
      <c r="D106" s="900"/>
      <c r="E106" s="900"/>
      <c r="F106" s="900"/>
      <c r="G106" s="900"/>
      <c r="H106" s="900"/>
      <c r="I106" s="900"/>
      <c r="J106" s="900"/>
      <c r="K106" s="900"/>
      <c r="L106" s="900"/>
      <c r="M106" s="900"/>
      <c r="N106" s="900"/>
      <c r="O106" s="900"/>
      <c r="P106" s="900"/>
    </row>
    <row r="107" spans="3:16" ht="14.25">
      <c r="C107" s="900"/>
      <c r="D107" s="900"/>
      <c r="E107" s="900"/>
      <c r="F107" s="900"/>
      <c r="G107" s="900"/>
      <c r="H107" s="900"/>
      <c r="I107" s="900"/>
      <c r="J107" s="900"/>
      <c r="K107" s="900"/>
      <c r="L107" s="900"/>
      <c r="M107" s="900"/>
      <c r="N107" s="900"/>
      <c r="O107" s="900"/>
      <c r="P107" s="900"/>
    </row>
    <row r="108" spans="3:16" ht="14.25">
      <c r="C108" s="900"/>
      <c r="D108" s="900"/>
      <c r="E108" s="900"/>
      <c r="F108" s="900"/>
      <c r="G108" s="900"/>
      <c r="H108" s="900"/>
      <c r="I108" s="900"/>
      <c r="J108" s="900"/>
      <c r="K108" s="900"/>
      <c r="L108" s="900"/>
      <c r="M108" s="900"/>
      <c r="N108" s="900"/>
      <c r="O108" s="900"/>
      <c r="P108" s="900"/>
    </row>
    <row r="109" spans="3:16" ht="14.25">
      <c r="C109" s="900"/>
      <c r="D109" s="900"/>
      <c r="E109" s="900"/>
      <c r="F109" s="900"/>
      <c r="G109" s="900"/>
      <c r="H109" s="900"/>
      <c r="I109" s="900"/>
      <c r="J109" s="900"/>
      <c r="K109" s="900"/>
      <c r="L109" s="900"/>
      <c r="M109" s="900"/>
      <c r="N109" s="900"/>
      <c r="O109" s="900"/>
      <c r="P109" s="900"/>
    </row>
    <row r="110" spans="3:16" ht="14.25">
      <c r="C110" s="900"/>
      <c r="D110" s="900"/>
      <c r="E110" s="900"/>
      <c r="F110" s="900"/>
      <c r="G110" s="900"/>
      <c r="H110" s="900"/>
      <c r="I110" s="900"/>
      <c r="J110" s="900"/>
      <c r="K110" s="900"/>
      <c r="L110" s="900"/>
      <c r="M110" s="900"/>
      <c r="N110" s="900"/>
      <c r="O110" s="900"/>
      <c r="P110" s="900"/>
    </row>
    <row r="111" spans="3:16" ht="14.25">
      <c r="C111" s="900"/>
      <c r="D111" s="900"/>
      <c r="E111" s="900"/>
      <c r="F111" s="900"/>
      <c r="G111" s="900"/>
      <c r="H111" s="900"/>
      <c r="I111" s="900"/>
      <c r="J111" s="900"/>
      <c r="K111" s="900"/>
      <c r="L111" s="900"/>
      <c r="M111" s="900"/>
      <c r="N111" s="900"/>
      <c r="O111" s="900"/>
      <c r="P111" s="900"/>
    </row>
    <row r="112" spans="3:16" ht="14.25">
      <c r="C112" s="900"/>
      <c r="D112" s="900"/>
      <c r="E112" s="900"/>
      <c r="F112" s="900"/>
      <c r="G112" s="900"/>
      <c r="H112" s="900"/>
      <c r="I112" s="900"/>
      <c r="J112" s="900"/>
      <c r="K112" s="900"/>
      <c r="L112" s="900"/>
      <c r="M112" s="900"/>
      <c r="N112" s="900"/>
      <c r="O112" s="900"/>
      <c r="P112" s="900"/>
    </row>
    <row r="113" spans="3:16" ht="14.25">
      <c r="C113" s="900"/>
      <c r="D113" s="900"/>
      <c r="E113" s="900"/>
      <c r="F113" s="900"/>
      <c r="G113" s="900"/>
      <c r="H113" s="900"/>
      <c r="I113" s="900"/>
      <c r="J113" s="900"/>
      <c r="K113" s="900"/>
      <c r="L113" s="900"/>
      <c r="M113" s="900"/>
      <c r="N113" s="900"/>
      <c r="O113" s="900"/>
      <c r="P113" s="900"/>
    </row>
    <row r="114" spans="3:16" ht="14.25">
      <c r="C114" s="900"/>
      <c r="D114" s="900"/>
      <c r="E114" s="900"/>
      <c r="F114" s="900"/>
      <c r="G114" s="900"/>
      <c r="H114" s="900"/>
      <c r="I114" s="900"/>
      <c r="J114" s="900"/>
      <c r="K114" s="900"/>
      <c r="L114" s="900"/>
      <c r="M114" s="900"/>
      <c r="N114" s="900"/>
      <c r="O114" s="900"/>
      <c r="P114" s="900"/>
    </row>
    <row r="115" spans="3:16" ht="14.25">
      <c r="C115" s="900"/>
      <c r="D115" s="900"/>
      <c r="E115" s="900"/>
      <c r="F115" s="900"/>
      <c r="G115" s="900"/>
      <c r="H115" s="900"/>
      <c r="I115" s="900"/>
      <c r="J115" s="900"/>
      <c r="K115" s="900"/>
      <c r="L115" s="900"/>
      <c r="M115" s="900"/>
      <c r="N115" s="900"/>
      <c r="O115" s="900"/>
      <c r="P115" s="900"/>
    </row>
    <row r="116" spans="3:16" ht="14.25">
      <c r="C116" s="900"/>
      <c r="D116" s="900"/>
      <c r="E116" s="900"/>
      <c r="F116" s="900"/>
      <c r="G116" s="900"/>
      <c r="H116" s="900"/>
      <c r="I116" s="900"/>
      <c r="J116" s="900"/>
      <c r="K116" s="900"/>
      <c r="L116" s="900"/>
      <c r="M116" s="900"/>
      <c r="N116" s="900"/>
      <c r="O116" s="900"/>
      <c r="P116" s="900"/>
    </row>
    <row r="117" spans="3:16" ht="14.25">
      <c r="C117" s="900"/>
      <c r="D117" s="900"/>
      <c r="E117" s="900"/>
      <c r="F117" s="900"/>
      <c r="G117" s="900"/>
      <c r="H117" s="900"/>
      <c r="I117" s="900"/>
      <c r="J117" s="900"/>
      <c r="K117" s="900"/>
      <c r="L117" s="900"/>
      <c r="M117" s="900"/>
      <c r="N117" s="900"/>
      <c r="O117" s="900"/>
      <c r="P117" s="900"/>
    </row>
    <row r="118" spans="3:16" ht="14.25">
      <c r="C118" s="900"/>
      <c r="D118" s="900"/>
      <c r="E118" s="900"/>
      <c r="F118" s="900"/>
      <c r="G118" s="900"/>
      <c r="H118" s="900"/>
      <c r="I118" s="900"/>
      <c r="J118" s="900"/>
      <c r="K118" s="900"/>
      <c r="L118" s="900"/>
      <c r="M118" s="900"/>
      <c r="N118" s="900"/>
      <c r="O118" s="900"/>
      <c r="P118" s="900"/>
    </row>
    <row r="119" spans="3:16" ht="14.25">
      <c r="C119" s="900"/>
      <c r="D119" s="900"/>
      <c r="E119" s="900"/>
      <c r="F119" s="900"/>
      <c r="G119" s="900"/>
      <c r="H119" s="900"/>
      <c r="I119" s="900"/>
      <c r="J119" s="900"/>
      <c r="K119" s="900"/>
      <c r="L119" s="900"/>
      <c r="M119" s="900"/>
      <c r="N119" s="900"/>
      <c r="O119" s="900"/>
      <c r="P119" s="900"/>
    </row>
    <row r="120" spans="3:16" ht="14.25">
      <c r="C120" s="900"/>
      <c r="D120" s="900"/>
      <c r="E120" s="900"/>
      <c r="F120" s="900"/>
      <c r="G120" s="900"/>
      <c r="H120" s="900"/>
      <c r="I120" s="900"/>
      <c r="J120" s="900"/>
      <c r="K120" s="900"/>
      <c r="L120" s="900"/>
      <c r="M120" s="900"/>
      <c r="N120" s="900"/>
      <c r="O120" s="900"/>
      <c r="P120" s="900"/>
    </row>
    <row r="121" spans="3:16" ht="14.25">
      <c r="C121" s="900"/>
      <c r="D121" s="900"/>
      <c r="E121" s="900"/>
      <c r="F121" s="900"/>
      <c r="G121" s="900"/>
      <c r="H121" s="900"/>
      <c r="I121" s="900"/>
      <c r="J121" s="900"/>
      <c r="K121" s="900"/>
      <c r="L121" s="900"/>
      <c r="M121" s="900"/>
      <c r="N121" s="900"/>
      <c r="O121" s="900"/>
      <c r="P121" s="900"/>
    </row>
    <row r="122" spans="3:16" ht="14.25">
      <c r="C122" s="900"/>
      <c r="D122" s="900"/>
      <c r="E122" s="900"/>
      <c r="F122" s="900"/>
      <c r="G122" s="900"/>
      <c r="H122" s="900"/>
      <c r="I122" s="900"/>
      <c r="J122" s="900"/>
      <c r="K122" s="900"/>
      <c r="L122" s="900"/>
      <c r="M122" s="900"/>
      <c r="N122" s="900"/>
      <c r="O122" s="900"/>
      <c r="P122" s="900"/>
    </row>
    <row r="123" spans="3:16" ht="14.25">
      <c r="C123" s="900"/>
      <c r="D123" s="900"/>
      <c r="E123" s="900"/>
      <c r="F123" s="900"/>
      <c r="G123" s="900"/>
      <c r="H123" s="900"/>
      <c r="I123" s="900"/>
      <c r="J123" s="900"/>
      <c r="K123" s="900"/>
      <c r="L123" s="900"/>
      <c r="M123" s="900"/>
      <c r="N123" s="900"/>
      <c r="O123" s="900"/>
      <c r="P123" s="900"/>
    </row>
    <row r="124" spans="3:16" ht="14.25">
      <c r="C124" s="900"/>
      <c r="D124" s="900"/>
      <c r="E124" s="900"/>
      <c r="F124" s="900"/>
      <c r="G124" s="900"/>
      <c r="H124" s="900"/>
      <c r="I124" s="900"/>
      <c r="J124" s="900"/>
      <c r="K124" s="900"/>
      <c r="L124" s="900"/>
      <c r="M124" s="900"/>
      <c r="N124" s="900"/>
      <c r="O124" s="900"/>
      <c r="P124" s="900"/>
    </row>
    <row r="125" spans="3:16" ht="14.25">
      <c r="C125" s="900"/>
      <c r="D125" s="900"/>
      <c r="E125" s="900"/>
      <c r="F125" s="900"/>
      <c r="G125" s="900"/>
      <c r="H125" s="900"/>
      <c r="I125" s="900"/>
      <c r="J125" s="900"/>
      <c r="K125" s="900"/>
      <c r="L125" s="900"/>
      <c r="M125" s="900"/>
      <c r="N125" s="900"/>
      <c r="O125" s="900"/>
      <c r="P125" s="900"/>
    </row>
    <row r="126" spans="3:16" ht="14.25">
      <c r="C126" s="900"/>
      <c r="D126" s="900"/>
      <c r="E126" s="900"/>
      <c r="F126" s="900"/>
      <c r="G126" s="900"/>
      <c r="H126" s="900"/>
      <c r="I126" s="900"/>
      <c r="J126" s="900"/>
      <c r="K126" s="900"/>
      <c r="L126" s="900"/>
      <c r="M126" s="900"/>
      <c r="N126" s="900"/>
      <c r="O126" s="900"/>
      <c r="P126" s="900"/>
    </row>
    <row r="127" spans="3:16" ht="14.25">
      <c r="C127" s="900"/>
      <c r="D127" s="900"/>
      <c r="E127" s="900"/>
      <c r="F127" s="900"/>
      <c r="G127" s="900"/>
      <c r="H127" s="900"/>
      <c r="I127" s="900"/>
      <c r="J127" s="900"/>
      <c r="K127" s="900"/>
      <c r="L127" s="900"/>
      <c r="M127" s="900"/>
      <c r="N127" s="900"/>
      <c r="O127" s="900"/>
      <c r="P127" s="900"/>
    </row>
    <row r="128" spans="3:16" ht="14.25">
      <c r="C128" s="900"/>
      <c r="D128" s="900"/>
      <c r="E128" s="900"/>
      <c r="F128" s="900"/>
      <c r="G128" s="900"/>
      <c r="H128" s="900"/>
      <c r="I128" s="900"/>
      <c r="J128" s="900"/>
      <c r="K128" s="900"/>
      <c r="L128" s="900"/>
      <c r="M128" s="900"/>
      <c r="N128" s="900"/>
      <c r="O128" s="900"/>
      <c r="P128" s="900"/>
    </row>
    <row r="129" spans="3:16" ht="14.25">
      <c r="C129" s="900"/>
      <c r="D129" s="900"/>
      <c r="E129" s="900"/>
      <c r="F129" s="900"/>
      <c r="G129" s="900"/>
      <c r="H129" s="900"/>
      <c r="I129" s="900"/>
      <c r="J129" s="900"/>
      <c r="K129" s="900"/>
      <c r="L129" s="900"/>
      <c r="M129" s="900"/>
      <c r="N129" s="900"/>
      <c r="O129" s="900"/>
      <c r="P129" s="900"/>
    </row>
    <row r="130" spans="3:16" ht="14.25">
      <c r="C130" s="900"/>
      <c r="D130" s="900"/>
      <c r="E130" s="900"/>
      <c r="F130" s="900"/>
      <c r="G130" s="900"/>
      <c r="H130" s="900"/>
      <c r="I130" s="900"/>
      <c r="J130" s="900"/>
      <c r="K130" s="900"/>
      <c r="L130" s="900"/>
      <c r="M130" s="900"/>
      <c r="N130" s="900"/>
      <c r="O130" s="900"/>
      <c r="P130" s="900"/>
    </row>
    <row r="131" spans="3:16" ht="14.25">
      <c r="C131" s="900"/>
      <c r="D131" s="900"/>
      <c r="E131" s="900"/>
      <c r="F131" s="900"/>
      <c r="G131" s="900"/>
      <c r="H131" s="900"/>
      <c r="I131" s="900"/>
      <c r="J131" s="900"/>
      <c r="K131" s="900"/>
      <c r="L131" s="900"/>
      <c r="M131" s="900"/>
      <c r="N131" s="900"/>
      <c r="O131" s="900"/>
      <c r="P131" s="900"/>
    </row>
    <row r="132" spans="3:16" ht="14.25">
      <c r="C132" s="900"/>
      <c r="D132" s="900"/>
      <c r="E132" s="900"/>
      <c r="F132" s="900"/>
      <c r="G132" s="900"/>
      <c r="H132" s="900"/>
      <c r="I132" s="900"/>
      <c r="J132" s="900"/>
      <c r="K132" s="900"/>
      <c r="L132" s="900"/>
      <c r="M132" s="900"/>
      <c r="N132" s="900"/>
      <c r="O132" s="900"/>
      <c r="P132" s="900"/>
    </row>
    <row r="133" spans="3:16" ht="14.25">
      <c r="C133" s="900"/>
      <c r="D133" s="900"/>
      <c r="E133" s="900"/>
      <c r="F133" s="900"/>
      <c r="G133" s="900"/>
      <c r="H133" s="900"/>
      <c r="I133" s="900"/>
      <c r="J133" s="900"/>
      <c r="K133" s="900"/>
      <c r="L133" s="900"/>
      <c r="M133" s="900"/>
      <c r="N133" s="900"/>
      <c r="O133" s="900"/>
      <c r="P133" s="900"/>
    </row>
    <row r="134" spans="3:16" ht="14.25">
      <c r="C134" s="900"/>
      <c r="D134" s="900"/>
      <c r="E134" s="900"/>
      <c r="F134" s="900"/>
      <c r="G134" s="900"/>
      <c r="H134" s="900"/>
      <c r="I134" s="900"/>
      <c r="J134" s="900"/>
      <c r="K134" s="900"/>
      <c r="L134" s="900"/>
      <c r="M134" s="900"/>
      <c r="N134" s="900"/>
      <c r="O134" s="900"/>
      <c r="P134" s="900"/>
    </row>
    <row r="135" spans="3:16" ht="14.25">
      <c r="C135" s="900"/>
      <c r="D135" s="900"/>
      <c r="E135" s="900"/>
      <c r="F135" s="900"/>
      <c r="G135" s="900"/>
      <c r="H135" s="900"/>
      <c r="I135" s="900"/>
      <c r="J135" s="900"/>
      <c r="K135" s="900"/>
      <c r="L135" s="900"/>
      <c r="M135" s="900"/>
      <c r="N135" s="900"/>
      <c r="O135" s="900"/>
      <c r="P135" s="900"/>
    </row>
    <row r="136" spans="3:16" ht="14.25">
      <c r="C136" s="900"/>
      <c r="D136" s="900"/>
      <c r="E136" s="900"/>
      <c r="F136" s="900"/>
      <c r="G136" s="900"/>
      <c r="H136" s="900"/>
      <c r="I136" s="900"/>
      <c r="J136" s="900"/>
      <c r="K136" s="900"/>
      <c r="L136" s="900"/>
      <c r="M136" s="900"/>
      <c r="N136" s="900"/>
      <c r="O136" s="900"/>
      <c r="P136" s="900"/>
    </row>
    <row r="137" spans="3:16" ht="14.25">
      <c r="C137" s="900"/>
      <c r="D137" s="900"/>
      <c r="E137" s="900"/>
      <c r="F137" s="900"/>
      <c r="G137" s="900"/>
      <c r="H137" s="900"/>
      <c r="I137" s="900"/>
      <c r="J137" s="900"/>
      <c r="K137" s="900"/>
      <c r="L137" s="900"/>
      <c r="M137" s="900"/>
      <c r="N137" s="900"/>
      <c r="O137" s="900"/>
      <c r="P137" s="900"/>
    </row>
    <row r="138" spans="3:16" ht="14.25">
      <c r="C138" s="900"/>
      <c r="D138" s="900"/>
      <c r="E138" s="900"/>
      <c r="F138" s="900"/>
      <c r="G138" s="900"/>
      <c r="H138" s="900"/>
      <c r="I138" s="900"/>
      <c r="J138" s="900"/>
      <c r="K138" s="900"/>
      <c r="L138" s="900"/>
      <c r="M138" s="900"/>
      <c r="N138" s="900"/>
      <c r="O138" s="900"/>
      <c r="P138" s="900"/>
    </row>
    <row r="139" spans="3:16" ht="14.25">
      <c r="C139" s="900"/>
      <c r="D139" s="900"/>
      <c r="E139" s="900"/>
      <c r="F139" s="900"/>
      <c r="G139" s="900"/>
      <c r="H139" s="900"/>
      <c r="I139" s="900"/>
      <c r="J139" s="900"/>
      <c r="K139" s="900"/>
      <c r="L139" s="900"/>
      <c r="M139" s="900"/>
      <c r="N139" s="900"/>
      <c r="O139" s="900"/>
      <c r="P139" s="900"/>
    </row>
    <row r="140" spans="3:16" ht="14.25">
      <c r="C140" s="900"/>
      <c r="D140" s="900"/>
      <c r="E140" s="900"/>
      <c r="F140" s="900"/>
      <c r="G140" s="900"/>
      <c r="H140" s="900"/>
      <c r="I140" s="900"/>
      <c r="J140" s="900"/>
      <c r="K140" s="900"/>
      <c r="L140" s="900"/>
      <c r="M140" s="900"/>
      <c r="N140" s="900"/>
      <c r="O140" s="900"/>
      <c r="P140" s="900"/>
    </row>
    <row r="141" spans="3:16" ht="14.25">
      <c r="C141" s="900"/>
      <c r="D141" s="900"/>
      <c r="E141" s="900"/>
      <c r="F141" s="900"/>
      <c r="G141" s="900"/>
      <c r="H141" s="900"/>
      <c r="I141" s="900"/>
      <c r="J141" s="900"/>
      <c r="K141" s="900"/>
      <c r="L141" s="900"/>
      <c r="M141" s="900"/>
      <c r="N141" s="900"/>
      <c r="O141" s="900"/>
      <c r="P141" s="900"/>
    </row>
    <row r="142" spans="3:16" ht="14.25">
      <c r="C142" s="900"/>
      <c r="D142" s="900"/>
      <c r="E142" s="900"/>
      <c r="F142" s="900"/>
      <c r="G142" s="900"/>
      <c r="H142" s="900"/>
      <c r="I142" s="900"/>
      <c r="J142" s="900"/>
      <c r="K142" s="900"/>
      <c r="L142" s="900"/>
      <c r="M142" s="900"/>
      <c r="N142" s="900"/>
      <c r="O142" s="900"/>
      <c r="P142" s="900"/>
    </row>
    <row r="143" spans="3:16" ht="14.25">
      <c r="C143" s="900"/>
      <c r="D143" s="900"/>
      <c r="E143" s="900"/>
      <c r="F143" s="900"/>
      <c r="G143" s="900"/>
      <c r="H143" s="900"/>
      <c r="I143" s="900"/>
      <c r="J143" s="900"/>
      <c r="K143" s="900"/>
      <c r="L143" s="900"/>
      <c r="M143" s="900"/>
      <c r="N143" s="900"/>
      <c r="O143" s="900"/>
      <c r="P143" s="900"/>
    </row>
    <row r="144" spans="3:16" ht="14.25">
      <c r="C144" s="900"/>
      <c r="D144" s="900"/>
      <c r="E144" s="900"/>
      <c r="F144" s="900"/>
      <c r="G144" s="900"/>
      <c r="H144" s="900"/>
      <c r="I144" s="900"/>
      <c r="J144" s="900"/>
      <c r="K144" s="900"/>
      <c r="L144" s="900"/>
      <c r="M144" s="900"/>
      <c r="N144" s="900"/>
      <c r="O144" s="900"/>
      <c r="P144" s="900"/>
    </row>
    <row r="145" spans="3:16" ht="14.25">
      <c r="C145" s="900"/>
      <c r="D145" s="900"/>
      <c r="E145" s="900"/>
      <c r="F145" s="900"/>
      <c r="G145" s="900"/>
      <c r="H145" s="900"/>
      <c r="I145" s="900"/>
      <c r="J145" s="900"/>
      <c r="K145" s="900"/>
      <c r="L145" s="900"/>
      <c r="M145" s="900"/>
      <c r="N145" s="900"/>
      <c r="O145" s="900"/>
      <c r="P145" s="900"/>
    </row>
    <row r="146" spans="3:16" ht="14.25">
      <c r="C146" s="900"/>
      <c r="D146" s="900"/>
      <c r="E146" s="900"/>
      <c r="F146" s="900"/>
      <c r="G146" s="900"/>
      <c r="H146" s="900"/>
      <c r="I146" s="900"/>
      <c r="J146" s="900"/>
      <c r="K146" s="900"/>
      <c r="L146" s="900"/>
      <c r="M146" s="900"/>
      <c r="N146" s="900"/>
      <c r="O146" s="900"/>
      <c r="P146" s="900"/>
    </row>
    <row r="147" spans="3:16" ht="14.25">
      <c r="C147" s="900"/>
      <c r="D147" s="900"/>
      <c r="E147" s="900"/>
      <c r="F147" s="900"/>
      <c r="G147" s="900"/>
      <c r="H147" s="900"/>
      <c r="I147" s="900"/>
      <c r="J147" s="900"/>
      <c r="K147" s="900"/>
      <c r="L147" s="900"/>
      <c r="M147" s="900"/>
      <c r="N147" s="900"/>
      <c r="O147" s="900"/>
      <c r="P147" s="900"/>
    </row>
    <row r="148" spans="3:16" ht="14.25">
      <c r="C148" s="900"/>
      <c r="D148" s="900"/>
      <c r="E148" s="900"/>
      <c r="F148" s="900"/>
      <c r="G148" s="900"/>
      <c r="H148" s="900"/>
      <c r="I148" s="900"/>
      <c r="J148" s="900"/>
      <c r="K148" s="900"/>
      <c r="L148" s="900"/>
      <c r="M148" s="900"/>
      <c r="N148" s="900"/>
      <c r="O148" s="900"/>
      <c r="P148" s="900"/>
    </row>
    <row r="149" spans="3:16" ht="14.25">
      <c r="C149" s="900"/>
      <c r="D149" s="900"/>
      <c r="E149" s="900"/>
      <c r="F149" s="900"/>
      <c r="G149" s="900"/>
      <c r="H149" s="900"/>
      <c r="I149" s="900"/>
      <c r="J149" s="900"/>
      <c r="K149" s="900"/>
      <c r="L149" s="900"/>
      <c r="M149" s="900"/>
      <c r="N149" s="900"/>
      <c r="O149" s="900"/>
      <c r="P149" s="900"/>
    </row>
    <row r="150" spans="3:16" ht="14.25">
      <c r="C150" s="900"/>
      <c r="D150" s="900"/>
      <c r="E150" s="900"/>
      <c r="F150" s="900"/>
      <c r="G150" s="900"/>
      <c r="H150" s="900"/>
      <c r="I150" s="900"/>
      <c r="J150" s="900"/>
      <c r="K150" s="900"/>
      <c r="L150" s="900"/>
      <c r="M150" s="900"/>
      <c r="N150" s="900"/>
      <c r="O150" s="900"/>
      <c r="P150" s="900"/>
    </row>
    <row r="151" spans="3:16" ht="14.25">
      <c r="C151" s="900"/>
      <c r="D151" s="900"/>
      <c r="E151" s="900"/>
      <c r="F151" s="900"/>
      <c r="G151" s="900"/>
      <c r="H151" s="900"/>
      <c r="I151" s="900"/>
      <c r="J151" s="900"/>
      <c r="K151" s="900"/>
      <c r="L151" s="900"/>
      <c r="M151" s="900"/>
      <c r="N151" s="900"/>
      <c r="O151" s="900"/>
      <c r="P151" s="900"/>
    </row>
    <row r="152" spans="3:16" ht="14.25">
      <c r="C152" s="900"/>
      <c r="D152" s="900"/>
      <c r="E152" s="900"/>
      <c r="F152" s="900"/>
      <c r="G152" s="900"/>
      <c r="H152" s="900"/>
      <c r="I152" s="900"/>
      <c r="J152" s="900"/>
      <c r="K152" s="900"/>
      <c r="L152" s="900"/>
      <c r="M152" s="900"/>
      <c r="N152" s="900"/>
      <c r="O152" s="900"/>
      <c r="P152" s="900"/>
    </row>
    <row r="153" spans="3:16" ht="14.25">
      <c r="C153" s="900"/>
      <c r="D153" s="900"/>
      <c r="E153" s="900"/>
      <c r="F153" s="900"/>
      <c r="G153" s="900"/>
      <c r="H153" s="900"/>
      <c r="I153" s="900"/>
      <c r="J153" s="900"/>
      <c r="K153" s="900"/>
      <c r="L153" s="900"/>
      <c r="M153" s="900"/>
      <c r="N153" s="900"/>
      <c r="O153" s="900"/>
      <c r="P153" s="900"/>
    </row>
    <row r="154" spans="3:16" ht="14.25">
      <c r="C154" s="900"/>
      <c r="D154" s="900"/>
      <c r="E154" s="900"/>
      <c r="F154" s="900"/>
      <c r="G154" s="900"/>
      <c r="H154" s="900"/>
      <c r="I154" s="900"/>
      <c r="J154" s="900"/>
      <c r="K154" s="900"/>
      <c r="L154" s="900"/>
      <c r="M154" s="900"/>
      <c r="N154" s="900"/>
      <c r="O154" s="900"/>
      <c r="P154" s="900"/>
    </row>
    <row r="155" spans="3:16" ht="14.25">
      <c r="C155" s="900"/>
      <c r="D155" s="900"/>
      <c r="E155" s="900"/>
      <c r="F155" s="900"/>
      <c r="G155" s="900"/>
      <c r="H155" s="900"/>
      <c r="I155" s="900"/>
      <c r="J155" s="900"/>
      <c r="K155" s="900"/>
      <c r="L155" s="900"/>
      <c r="M155" s="900"/>
      <c r="N155" s="900"/>
      <c r="O155" s="900"/>
      <c r="P155" s="900"/>
    </row>
    <row r="156" spans="3:16" ht="14.25">
      <c r="C156" s="900"/>
      <c r="D156" s="900"/>
      <c r="E156" s="900"/>
      <c r="F156" s="900"/>
      <c r="G156" s="900"/>
      <c r="H156" s="900"/>
      <c r="I156" s="900"/>
      <c r="J156" s="900"/>
      <c r="K156" s="900"/>
      <c r="L156" s="900"/>
      <c r="M156" s="900"/>
      <c r="N156" s="900"/>
      <c r="O156" s="900"/>
      <c r="P156" s="900"/>
    </row>
    <row r="157" spans="3:16" ht="14.25">
      <c r="C157" s="900"/>
      <c r="D157" s="900"/>
      <c r="E157" s="900"/>
      <c r="F157" s="900"/>
      <c r="G157" s="900"/>
      <c r="H157" s="900"/>
      <c r="I157" s="900"/>
      <c r="J157" s="900"/>
      <c r="K157" s="900"/>
      <c r="L157" s="900"/>
      <c r="M157" s="900"/>
      <c r="N157" s="900"/>
      <c r="O157" s="900"/>
      <c r="P157" s="900"/>
    </row>
    <row r="158" spans="3:16" ht="14.25">
      <c r="C158" s="900"/>
      <c r="D158" s="900"/>
      <c r="E158" s="900"/>
      <c r="F158" s="900"/>
      <c r="G158" s="900"/>
      <c r="H158" s="900"/>
      <c r="I158" s="900"/>
      <c r="J158" s="900"/>
      <c r="K158" s="900"/>
      <c r="L158" s="900"/>
      <c r="M158" s="900"/>
      <c r="N158" s="900"/>
      <c r="O158" s="900"/>
      <c r="P158" s="900"/>
    </row>
    <row r="159" spans="3:16" ht="14.25">
      <c r="C159" s="900"/>
      <c r="D159" s="900"/>
      <c r="E159" s="900"/>
      <c r="F159" s="900"/>
      <c r="G159" s="900"/>
      <c r="H159" s="900"/>
      <c r="I159" s="900"/>
      <c r="J159" s="900"/>
      <c r="K159" s="900"/>
      <c r="L159" s="900"/>
      <c r="M159" s="900"/>
      <c r="N159" s="900"/>
      <c r="O159" s="900"/>
      <c r="P159" s="900"/>
    </row>
    <row r="160" spans="3:16" ht="14.25">
      <c r="C160" s="900"/>
      <c r="D160" s="900"/>
      <c r="E160" s="900"/>
      <c r="F160" s="900"/>
      <c r="G160" s="900"/>
      <c r="H160" s="900"/>
      <c r="I160" s="900"/>
      <c r="J160" s="900"/>
      <c r="K160" s="900"/>
      <c r="L160" s="900"/>
      <c r="M160" s="900"/>
      <c r="N160" s="900"/>
      <c r="O160" s="900"/>
      <c r="P160" s="900"/>
    </row>
    <row r="161" spans="3:16" ht="14.25">
      <c r="C161" s="900"/>
      <c r="D161" s="900"/>
      <c r="E161" s="900"/>
      <c r="F161" s="900"/>
      <c r="G161" s="900"/>
      <c r="H161" s="900"/>
      <c r="I161" s="900"/>
      <c r="J161" s="900"/>
      <c r="K161" s="900"/>
      <c r="L161" s="900"/>
      <c r="M161" s="900"/>
      <c r="N161" s="900"/>
      <c r="O161" s="900"/>
      <c r="P161" s="900"/>
    </row>
    <row r="162" spans="3:16" ht="14.25">
      <c r="C162" s="900"/>
      <c r="D162" s="900"/>
      <c r="E162" s="900"/>
      <c r="F162" s="900"/>
      <c r="G162" s="900"/>
      <c r="H162" s="900"/>
      <c r="I162" s="900"/>
      <c r="J162" s="900"/>
      <c r="K162" s="900"/>
      <c r="L162" s="900"/>
      <c r="M162" s="900"/>
      <c r="N162" s="900"/>
      <c r="O162" s="900"/>
      <c r="P162" s="900"/>
    </row>
    <row r="163" spans="3:16" ht="14.25">
      <c r="C163" s="900"/>
      <c r="D163" s="900"/>
      <c r="E163" s="900"/>
      <c r="F163" s="900"/>
      <c r="G163" s="900"/>
      <c r="H163" s="900"/>
      <c r="I163" s="900"/>
      <c r="J163" s="900"/>
      <c r="K163" s="900"/>
      <c r="L163" s="900"/>
      <c r="M163" s="900"/>
      <c r="N163" s="900"/>
      <c r="O163" s="900"/>
      <c r="P163" s="900"/>
    </row>
    <row r="164" spans="3:16" ht="14.25">
      <c r="C164" s="900"/>
      <c r="D164" s="900"/>
      <c r="E164" s="900"/>
      <c r="F164" s="900"/>
      <c r="G164" s="900"/>
      <c r="H164" s="900"/>
      <c r="I164" s="900"/>
      <c r="J164" s="900"/>
      <c r="K164" s="900"/>
      <c r="L164" s="900"/>
      <c r="M164" s="900"/>
      <c r="N164" s="900"/>
      <c r="O164" s="900"/>
      <c r="P164" s="900"/>
    </row>
    <row r="165" spans="3:16" ht="14.25">
      <c r="C165" s="900"/>
      <c r="D165" s="900"/>
      <c r="E165" s="900"/>
      <c r="F165" s="900"/>
      <c r="G165" s="900"/>
      <c r="H165" s="900"/>
      <c r="I165" s="900"/>
      <c r="J165" s="900"/>
      <c r="K165" s="900"/>
      <c r="L165" s="900"/>
      <c r="M165" s="900"/>
      <c r="N165" s="900"/>
      <c r="O165" s="900"/>
      <c r="P165" s="900"/>
    </row>
    <row r="166" spans="3:16" ht="14.25">
      <c r="C166" s="900"/>
      <c r="D166" s="900"/>
      <c r="E166" s="900"/>
      <c r="F166" s="900"/>
      <c r="G166" s="900"/>
      <c r="H166" s="900"/>
      <c r="I166" s="900"/>
      <c r="J166" s="900"/>
      <c r="K166" s="900"/>
      <c r="L166" s="900"/>
      <c r="M166" s="900"/>
      <c r="N166" s="900"/>
      <c r="O166" s="900"/>
      <c r="P166" s="900"/>
    </row>
    <row r="167" spans="3:16" ht="14.25">
      <c r="C167" s="900"/>
      <c r="D167" s="900"/>
      <c r="E167" s="900"/>
      <c r="F167" s="900"/>
      <c r="G167" s="900"/>
      <c r="H167" s="900"/>
      <c r="I167" s="900"/>
      <c r="J167" s="900"/>
      <c r="K167" s="900"/>
      <c r="L167" s="900"/>
      <c r="M167" s="900"/>
      <c r="N167" s="900"/>
      <c r="O167" s="900"/>
      <c r="P167" s="900"/>
    </row>
    <row r="168" spans="3:16" ht="14.25">
      <c r="C168" s="900"/>
      <c r="D168" s="900"/>
      <c r="E168" s="900"/>
      <c r="F168" s="900"/>
      <c r="G168" s="900"/>
      <c r="H168" s="900"/>
      <c r="I168" s="900"/>
      <c r="J168" s="900"/>
      <c r="K168" s="900"/>
      <c r="L168" s="900"/>
      <c r="M168" s="900"/>
      <c r="N168" s="900"/>
      <c r="O168" s="900"/>
      <c r="P168" s="900"/>
    </row>
    <row r="169" spans="3:16" ht="14.25">
      <c r="C169" s="900"/>
      <c r="D169" s="900"/>
      <c r="E169" s="900"/>
      <c r="F169" s="900"/>
      <c r="G169" s="900"/>
      <c r="H169" s="900"/>
      <c r="I169" s="900"/>
      <c r="J169" s="900"/>
      <c r="K169" s="900"/>
      <c r="L169" s="900"/>
      <c r="M169" s="900"/>
      <c r="N169" s="900"/>
      <c r="O169" s="900"/>
      <c r="P169" s="900"/>
    </row>
    <row r="170" spans="3:16" ht="14.25">
      <c r="C170" s="900"/>
      <c r="D170" s="900"/>
      <c r="E170" s="900"/>
      <c r="F170" s="900"/>
      <c r="G170" s="900"/>
      <c r="H170" s="900"/>
      <c r="I170" s="900"/>
      <c r="J170" s="900"/>
      <c r="K170" s="900"/>
      <c r="L170" s="900"/>
      <c r="M170" s="900"/>
      <c r="N170" s="900"/>
      <c r="O170" s="900"/>
      <c r="P170" s="900"/>
    </row>
    <row r="171" spans="3:16" ht="14.25">
      <c r="C171" s="900"/>
      <c r="D171" s="900"/>
      <c r="E171" s="900"/>
      <c r="F171" s="900"/>
      <c r="G171" s="900"/>
      <c r="H171" s="900"/>
      <c r="I171" s="900"/>
      <c r="J171" s="900"/>
      <c r="K171" s="900"/>
      <c r="L171" s="900"/>
      <c r="M171" s="900"/>
      <c r="N171" s="900"/>
      <c r="O171" s="900"/>
      <c r="P171" s="900"/>
    </row>
    <row r="172" spans="3:16" ht="14.25">
      <c r="C172" s="900"/>
      <c r="D172" s="900"/>
      <c r="E172" s="900"/>
      <c r="F172" s="900"/>
      <c r="G172" s="900"/>
      <c r="H172" s="900"/>
      <c r="I172" s="900"/>
      <c r="J172" s="900"/>
      <c r="K172" s="900"/>
      <c r="L172" s="900"/>
      <c r="M172" s="900"/>
      <c r="N172" s="900"/>
      <c r="O172" s="900"/>
      <c r="P172" s="900"/>
    </row>
    <row r="173" spans="3:16" ht="14.25">
      <c r="C173" s="900"/>
      <c r="D173" s="900"/>
      <c r="E173" s="900"/>
      <c r="F173" s="900"/>
      <c r="G173" s="900"/>
      <c r="H173" s="900"/>
      <c r="I173" s="900"/>
      <c r="J173" s="900"/>
      <c r="K173" s="900"/>
      <c r="L173" s="900"/>
      <c r="M173" s="900"/>
      <c r="N173" s="900"/>
      <c r="O173" s="900"/>
      <c r="P173" s="900"/>
    </row>
    <row r="174" spans="3:16" ht="14.25">
      <c r="C174" s="900"/>
      <c r="D174" s="900"/>
      <c r="E174" s="900"/>
      <c r="F174" s="900"/>
      <c r="G174" s="900"/>
      <c r="H174" s="900"/>
      <c r="I174" s="900"/>
      <c r="J174" s="900"/>
      <c r="K174" s="900"/>
      <c r="L174" s="900"/>
      <c r="M174" s="900"/>
      <c r="N174" s="900"/>
      <c r="O174" s="900"/>
      <c r="P174" s="900"/>
    </row>
    <row r="175" spans="3:16" ht="14.25">
      <c r="C175" s="900"/>
      <c r="D175" s="900"/>
      <c r="E175" s="900"/>
      <c r="F175" s="900"/>
      <c r="G175" s="900"/>
      <c r="H175" s="900"/>
      <c r="I175" s="900"/>
      <c r="J175" s="900"/>
      <c r="K175" s="900"/>
      <c r="L175" s="900"/>
      <c r="M175" s="900"/>
      <c r="N175" s="900"/>
      <c r="O175" s="900"/>
      <c r="P175" s="900"/>
    </row>
    <row r="176" spans="3:16" ht="14.25">
      <c r="C176" s="900"/>
      <c r="D176" s="900"/>
      <c r="E176" s="900"/>
      <c r="F176" s="900"/>
      <c r="G176" s="900"/>
      <c r="H176" s="900"/>
      <c r="I176" s="900"/>
      <c r="J176" s="900"/>
      <c r="K176" s="900"/>
      <c r="L176" s="900"/>
      <c r="M176" s="900"/>
      <c r="N176" s="900"/>
      <c r="O176" s="900"/>
      <c r="P176" s="900"/>
    </row>
    <row r="177" spans="3:16" ht="14.25">
      <c r="C177" s="900"/>
      <c r="D177" s="900"/>
      <c r="E177" s="900"/>
      <c r="F177" s="900"/>
      <c r="G177" s="900"/>
      <c r="H177" s="900"/>
      <c r="I177" s="900"/>
      <c r="J177" s="900"/>
      <c r="K177" s="900"/>
      <c r="L177" s="900"/>
      <c r="M177" s="900"/>
      <c r="N177" s="900"/>
      <c r="O177" s="900"/>
      <c r="P177" s="900"/>
    </row>
    <row r="178" spans="3:16" ht="14.25">
      <c r="C178" s="900"/>
      <c r="D178" s="900"/>
      <c r="E178" s="900"/>
      <c r="F178" s="900"/>
      <c r="G178" s="900"/>
      <c r="H178" s="900"/>
      <c r="I178" s="900"/>
      <c r="J178" s="900"/>
      <c r="K178" s="900"/>
      <c r="L178" s="900"/>
      <c r="M178" s="900"/>
      <c r="N178" s="900"/>
      <c r="O178" s="900"/>
      <c r="P178" s="900"/>
    </row>
    <row r="179" spans="3:16" ht="14.25">
      <c r="C179" s="900"/>
      <c r="D179" s="900"/>
      <c r="E179" s="900"/>
      <c r="F179" s="900"/>
      <c r="G179" s="900"/>
      <c r="H179" s="900"/>
      <c r="I179" s="900"/>
      <c r="J179" s="900"/>
      <c r="K179" s="900"/>
      <c r="L179" s="900"/>
      <c r="M179" s="900"/>
      <c r="N179" s="900"/>
      <c r="O179" s="900"/>
      <c r="P179" s="900"/>
    </row>
    <row r="180" spans="3:16" ht="14.25">
      <c r="C180" s="900"/>
      <c r="D180" s="900"/>
      <c r="E180" s="900"/>
      <c r="F180" s="900"/>
      <c r="G180" s="900"/>
      <c r="H180" s="900"/>
      <c r="I180" s="900"/>
      <c r="J180" s="900"/>
      <c r="K180" s="900"/>
      <c r="L180" s="900"/>
      <c r="M180" s="900"/>
      <c r="N180" s="900"/>
      <c r="O180" s="900"/>
      <c r="P180" s="900"/>
    </row>
    <row r="181" spans="3:16" ht="14.25">
      <c r="C181" s="900"/>
      <c r="D181" s="900"/>
      <c r="E181" s="900"/>
      <c r="F181" s="900"/>
      <c r="G181" s="900"/>
      <c r="H181" s="900"/>
      <c r="I181" s="900"/>
      <c r="J181" s="900"/>
      <c r="K181" s="900"/>
      <c r="L181" s="900"/>
      <c r="M181" s="900"/>
      <c r="N181" s="900"/>
      <c r="O181" s="900"/>
      <c r="P181" s="900"/>
    </row>
    <row r="182" spans="3:16" ht="14.25">
      <c r="C182" s="900"/>
      <c r="D182" s="900"/>
      <c r="E182" s="900"/>
      <c r="F182" s="900"/>
      <c r="G182" s="900"/>
      <c r="H182" s="900"/>
      <c r="I182" s="900"/>
      <c r="J182" s="900"/>
      <c r="K182" s="900"/>
      <c r="L182" s="900"/>
      <c r="M182" s="900"/>
      <c r="N182" s="900"/>
      <c r="O182" s="900"/>
      <c r="P182" s="900"/>
    </row>
    <row r="183" spans="3:16" ht="14.25">
      <c r="C183" s="900"/>
      <c r="D183" s="900"/>
      <c r="E183" s="900"/>
      <c r="F183" s="900"/>
      <c r="G183" s="900"/>
      <c r="H183" s="900"/>
      <c r="I183" s="900"/>
      <c r="J183" s="900"/>
      <c r="K183" s="900"/>
      <c r="L183" s="900"/>
      <c r="M183" s="900"/>
      <c r="N183" s="900"/>
      <c r="O183" s="900"/>
      <c r="P183" s="900"/>
    </row>
    <row r="184" spans="3:16" ht="14.25">
      <c r="C184" s="900"/>
      <c r="D184" s="900"/>
      <c r="E184" s="900"/>
      <c r="F184" s="900"/>
      <c r="G184" s="900"/>
      <c r="H184" s="900"/>
      <c r="I184" s="900"/>
      <c r="J184" s="900"/>
      <c r="K184" s="900"/>
      <c r="L184" s="900"/>
      <c r="M184" s="900"/>
      <c r="N184" s="900"/>
      <c r="O184" s="900"/>
      <c r="P184" s="900"/>
    </row>
    <row r="185" spans="3:16" ht="14.25">
      <c r="C185" s="900"/>
      <c r="D185" s="900"/>
      <c r="E185" s="900"/>
      <c r="F185" s="900"/>
      <c r="G185" s="900"/>
      <c r="H185" s="900"/>
      <c r="I185" s="900"/>
      <c r="J185" s="900"/>
      <c r="K185" s="900"/>
      <c r="L185" s="900"/>
      <c r="M185" s="900"/>
      <c r="N185" s="900"/>
      <c r="O185" s="900"/>
      <c r="P185" s="900"/>
    </row>
    <row r="186" spans="3:16" ht="14.25">
      <c r="C186" s="900"/>
      <c r="D186" s="900"/>
      <c r="E186" s="900"/>
      <c r="F186" s="900"/>
      <c r="G186" s="900"/>
      <c r="H186" s="900"/>
      <c r="I186" s="900"/>
      <c r="J186" s="900"/>
      <c r="K186" s="900"/>
      <c r="L186" s="900"/>
      <c r="M186" s="900"/>
      <c r="N186" s="900"/>
      <c r="O186" s="900"/>
      <c r="P186" s="900"/>
    </row>
    <row r="187" spans="3:16" ht="14.25">
      <c r="C187" s="900"/>
      <c r="D187" s="900"/>
      <c r="E187" s="900"/>
      <c r="F187" s="900"/>
      <c r="G187" s="900"/>
      <c r="H187" s="900"/>
      <c r="I187" s="900"/>
      <c r="J187" s="900"/>
      <c r="K187" s="900"/>
      <c r="L187" s="900"/>
      <c r="M187" s="900"/>
      <c r="N187" s="900"/>
      <c r="O187" s="900"/>
      <c r="P187" s="900"/>
    </row>
    <row r="188" spans="3:16" ht="14.25">
      <c r="C188" s="900"/>
      <c r="D188" s="900"/>
      <c r="E188" s="900"/>
      <c r="F188" s="900"/>
      <c r="G188" s="900"/>
      <c r="H188" s="900"/>
      <c r="I188" s="900"/>
      <c r="J188" s="900"/>
      <c r="K188" s="900"/>
      <c r="L188" s="900"/>
      <c r="M188" s="900"/>
      <c r="N188" s="900"/>
      <c r="O188" s="900"/>
      <c r="P188" s="900"/>
    </row>
    <row r="189" spans="3:16" ht="14.25">
      <c r="C189" s="900"/>
      <c r="D189" s="900"/>
      <c r="E189" s="900"/>
      <c r="F189" s="900"/>
      <c r="G189" s="900"/>
      <c r="H189" s="900"/>
      <c r="I189" s="900"/>
      <c r="J189" s="900"/>
      <c r="K189" s="900"/>
      <c r="L189" s="900"/>
      <c r="M189" s="900"/>
      <c r="N189" s="900"/>
      <c r="O189" s="900"/>
      <c r="P189" s="900"/>
    </row>
    <row r="190" spans="3:16" ht="14.25">
      <c r="C190" s="900"/>
      <c r="D190" s="900"/>
      <c r="E190" s="900"/>
      <c r="F190" s="900"/>
      <c r="G190" s="900"/>
      <c r="H190" s="900"/>
      <c r="I190" s="900"/>
      <c r="J190" s="900"/>
      <c r="K190" s="900"/>
      <c r="L190" s="900"/>
      <c r="M190" s="900"/>
      <c r="N190" s="900"/>
      <c r="O190" s="900"/>
      <c r="P190" s="900"/>
    </row>
    <row r="191" spans="3:16" ht="14.25">
      <c r="C191" s="900"/>
      <c r="D191" s="900"/>
      <c r="E191" s="900"/>
      <c r="F191" s="900"/>
      <c r="G191" s="900"/>
      <c r="H191" s="900"/>
      <c r="I191" s="900"/>
      <c r="J191" s="900"/>
      <c r="K191" s="900"/>
      <c r="L191" s="900"/>
      <c r="M191" s="900"/>
      <c r="N191" s="900"/>
      <c r="O191" s="900"/>
      <c r="P191" s="900"/>
    </row>
    <row r="192" spans="3:16" ht="14.25">
      <c r="C192" s="900"/>
      <c r="D192" s="900"/>
      <c r="E192" s="900"/>
      <c r="F192" s="900"/>
      <c r="G192" s="900"/>
      <c r="H192" s="900"/>
      <c r="I192" s="900"/>
      <c r="J192" s="900"/>
      <c r="K192" s="900"/>
      <c r="L192" s="900"/>
      <c r="M192" s="900"/>
      <c r="N192" s="900"/>
      <c r="O192" s="900"/>
      <c r="P192" s="900"/>
    </row>
    <row r="193" spans="3:16" ht="14.25">
      <c r="C193" s="900"/>
      <c r="D193" s="900"/>
      <c r="E193" s="900"/>
      <c r="F193" s="900"/>
      <c r="G193" s="900"/>
      <c r="H193" s="900"/>
      <c r="I193" s="900"/>
      <c r="J193" s="900"/>
      <c r="K193" s="900"/>
      <c r="L193" s="900"/>
      <c r="M193" s="900"/>
      <c r="N193" s="900"/>
      <c r="O193" s="900"/>
      <c r="P193" s="900"/>
    </row>
    <row r="194" spans="3:16" ht="14.25">
      <c r="C194" s="900"/>
      <c r="D194" s="900"/>
      <c r="E194" s="900"/>
      <c r="F194" s="900"/>
      <c r="G194" s="900"/>
      <c r="H194" s="900"/>
      <c r="I194" s="900"/>
      <c r="J194" s="900"/>
      <c r="K194" s="900"/>
      <c r="L194" s="900"/>
      <c r="M194" s="900"/>
      <c r="N194" s="900"/>
      <c r="O194" s="900"/>
      <c r="P194" s="900"/>
    </row>
    <row r="195" spans="3:16" ht="14.25">
      <c r="C195" s="900"/>
      <c r="D195" s="900"/>
      <c r="E195" s="900"/>
      <c r="F195" s="900"/>
      <c r="G195" s="900"/>
      <c r="H195" s="900"/>
      <c r="I195" s="900"/>
      <c r="J195" s="900"/>
      <c r="K195" s="900"/>
      <c r="L195" s="900"/>
      <c r="M195" s="900"/>
      <c r="N195" s="900"/>
      <c r="O195" s="900"/>
      <c r="P195" s="900"/>
    </row>
    <row r="196" spans="3:16" ht="14.25">
      <c r="C196" s="900"/>
      <c r="D196" s="900"/>
      <c r="E196" s="900"/>
      <c r="F196" s="900"/>
      <c r="G196" s="900"/>
      <c r="H196" s="900"/>
      <c r="I196" s="900"/>
      <c r="J196" s="900"/>
      <c r="K196" s="900"/>
      <c r="L196" s="900"/>
      <c r="M196" s="900"/>
      <c r="N196" s="900"/>
      <c r="O196" s="900"/>
      <c r="P196" s="900"/>
    </row>
    <row r="197" spans="3:16" ht="14.25">
      <c r="C197" s="900"/>
      <c r="D197" s="900"/>
      <c r="E197" s="900"/>
      <c r="F197" s="900"/>
      <c r="G197" s="900"/>
      <c r="H197" s="900"/>
      <c r="I197" s="900"/>
      <c r="J197" s="900"/>
      <c r="K197" s="900"/>
      <c r="L197" s="900"/>
      <c r="M197" s="900"/>
      <c r="N197" s="900"/>
      <c r="O197" s="900"/>
      <c r="P197" s="900"/>
    </row>
    <row r="198" spans="3:16" ht="14.25">
      <c r="C198" s="900"/>
      <c r="D198" s="900"/>
      <c r="E198" s="900"/>
      <c r="F198" s="900"/>
      <c r="G198" s="900"/>
      <c r="H198" s="900"/>
      <c r="I198" s="900"/>
      <c r="J198" s="900"/>
      <c r="K198" s="900"/>
      <c r="L198" s="900"/>
      <c r="M198" s="900"/>
      <c r="N198" s="900"/>
      <c r="O198" s="900"/>
      <c r="P198" s="900"/>
    </row>
    <row r="199" spans="3:16" ht="14.25">
      <c r="C199" s="900"/>
      <c r="D199" s="900"/>
      <c r="E199" s="900"/>
      <c r="F199" s="900"/>
      <c r="G199" s="900"/>
      <c r="H199" s="900"/>
      <c r="I199" s="900"/>
      <c r="J199" s="900"/>
      <c r="K199" s="900"/>
      <c r="L199" s="900"/>
      <c r="M199" s="900"/>
      <c r="N199" s="900"/>
      <c r="O199" s="900"/>
      <c r="P199" s="900"/>
    </row>
    <row r="200" spans="3:16" ht="14.25">
      <c r="C200" s="900"/>
      <c r="D200" s="900"/>
      <c r="E200" s="900"/>
      <c r="F200" s="900"/>
      <c r="G200" s="900"/>
      <c r="H200" s="900"/>
      <c r="I200" s="900"/>
      <c r="J200" s="900"/>
      <c r="K200" s="900"/>
      <c r="L200" s="900"/>
      <c r="M200" s="900"/>
      <c r="N200" s="900"/>
      <c r="O200" s="900"/>
      <c r="P200" s="900"/>
    </row>
    <row r="201" spans="3:16" ht="14.25">
      <c r="C201" s="900"/>
      <c r="D201" s="900"/>
      <c r="E201" s="900"/>
      <c r="F201" s="900"/>
      <c r="G201" s="900"/>
      <c r="H201" s="900"/>
      <c r="I201" s="900"/>
      <c r="J201" s="900"/>
      <c r="K201" s="900"/>
      <c r="L201" s="900"/>
      <c r="M201" s="900"/>
      <c r="N201" s="900"/>
      <c r="O201" s="900"/>
      <c r="P201" s="900"/>
    </row>
    <row r="202" spans="3:16" ht="14.25">
      <c r="C202" s="900"/>
      <c r="D202" s="900"/>
      <c r="E202" s="900"/>
      <c r="F202" s="900"/>
      <c r="G202" s="900"/>
      <c r="H202" s="900"/>
      <c r="I202" s="900"/>
      <c r="J202" s="900"/>
      <c r="K202" s="900"/>
      <c r="L202" s="900"/>
      <c r="M202" s="900"/>
      <c r="N202" s="900"/>
      <c r="O202" s="900"/>
      <c r="P202" s="900"/>
    </row>
    <row r="203" spans="3:16" ht="14.25">
      <c r="C203" s="900"/>
      <c r="D203" s="900"/>
      <c r="E203" s="900"/>
      <c r="F203" s="900"/>
      <c r="G203" s="900"/>
      <c r="H203" s="900"/>
      <c r="I203" s="900"/>
      <c r="J203" s="900"/>
      <c r="K203" s="900"/>
      <c r="L203" s="900"/>
      <c r="M203" s="900"/>
      <c r="N203" s="900"/>
      <c r="O203" s="900"/>
      <c r="P203" s="900"/>
    </row>
    <row r="204" spans="3:16" ht="14.25">
      <c r="C204" s="900"/>
      <c r="D204" s="900"/>
      <c r="E204" s="900"/>
      <c r="F204" s="900"/>
      <c r="G204" s="900"/>
      <c r="H204" s="900"/>
      <c r="I204" s="900"/>
      <c r="J204" s="900"/>
      <c r="K204" s="900"/>
      <c r="L204" s="900"/>
      <c r="M204" s="900"/>
      <c r="N204" s="900"/>
      <c r="O204" s="900"/>
      <c r="P204" s="900"/>
    </row>
    <row r="205" spans="3:16" ht="14.25">
      <c r="C205" s="900"/>
      <c r="D205" s="900"/>
      <c r="E205" s="900"/>
      <c r="F205" s="900"/>
      <c r="G205" s="900"/>
      <c r="H205" s="900"/>
      <c r="I205" s="900"/>
      <c r="J205" s="900"/>
      <c r="K205" s="900"/>
      <c r="L205" s="900"/>
      <c r="M205" s="900"/>
      <c r="N205" s="900"/>
      <c r="O205" s="900"/>
      <c r="P205" s="900"/>
    </row>
    <row r="206" spans="3:16" ht="14.25">
      <c r="C206" s="900"/>
      <c r="D206" s="900"/>
      <c r="E206" s="900"/>
      <c r="F206" s="900"/>
      <c r="G206" s="900"/>
      <c r="H206" s="900"/>
      <c r="I206" s="900"/>
      <c r="J206" s="900"/>
      <c r="K206" s="900"/>
      <c r="L206" s="900"/>
      <c r="M206" s="900"/>
      <c r="N206" s="900"/>
      <c r="O206" s="900"/>
      <c r="P206" s="900"/>
    </row>
    <row r="207" spans="3:16" ht="14.25">
      <c r="C207" s="900"/>
      <c r="D207" s="900"/>
      <c r="E207" s="900"/>
      <c r="F207" s="900"/>
      <c r="G207" s="900"/>
      <c r="H207" s="900"/>
      <c r="I207" s="900"/>
      <c r="J207" s="900"/>
      <c r="K207" s="900"/>
      <c r="L207" s="900"/>
      <c r="M207" s="900"/>
      <c r="N207" s="900"/>
      <c r="O207" s="900"/>
      <c r="P207" s="900"/>
    </row>
    <row r="208" spans="3:16" ht="14.25">
      <c r="C208" s="900"/>
      <c r="D208" s="900"/>
      <c r="E208" s="900"/>
      <c r="F208" s="900"/>
      <c r="G208" s="900"/>
      <c r="H208" s="900"/>
      <c r="I208" s="900"/>
      <c r="J208" s="900"/>
      <c r="K208" s="900"/>
      <c r="L208" s="900"/>
      <c r="M208" s="900"/>
      <c r="N208" s="900"/>
      <c r="O208" s="900"/>
      <c r="P208" s="900"/>
    </row>
    <row r="209" spans="3:16" ht="14.25">
      <c r="C209" s="900"/>
      <c r="D209" s="900"/>
      <c r="E209" s="900"/>
      <c r="F209" s="900"/>
      <c r="G209" s="900"/>
      <c r="H209" s="900"/>
      <c r="I209" s="900"/>
      <c r="J209" s="900"/>
      <c r="K209" s="900"/>
      <c r="L209" s="900"/>
      <c r="M209" s="900"/>
      <c r="N209" s="900"/>
      <c r="O209" s="900"/>
      <c r="P209" s="900"/>
    </row>
    <row r="210" spans="3:16" ht="14.25">
      <c r="C210" s="900"/>
      <c r="D210" s="900"/>
      <c r="E210" s="900"/>
      <c r="F210" s="900"/>
      <c r="G210" s="900"/>
      <c r="H210" s="900"/>
      <c r="I210" s="900"/>
      <c r="J210" s="900"/>
      <c r="K210" s="900"/>
      <c r="L210" s="900"/>
      <c r="M210" s="900"/>
      <c r="N210" s="900"/>
      <c r="O210" s="900"/>
      <c r="P210" s="900"/>
    </row>
    <row r="211" spans="3:16" ht="14.25">
      <c r="C211" s="900"/>
      <c r="D211" s="900"/>
      <c r="E211" s="900"/>
      <c r="F211" s="900"/>
      <c r="G211" s="900"/>
      <c r="H211" s="900"/>
      <c r="I211" s="900"/>
      <c r="J211" s="900"/>
      <c r="K211" s="900"/>
      <c r="L211" s="900"/>
      <c r="M211" s="900"/>
      <c r="N211" s="900"/>
      <c r="O211" s="900"/>
      <c r="P211" s="900"/>
    </row>
    <row r="212" spans="3:16" ht="14.25">
      <c r="C212" s="900"/>
      <c r="D212" s="900"/>
      <c r="E212" s="900"/>
      <c r="F212" s="900"/>
      <c r="G212" s="900"/>
      <c r="H212" s="900"/>
      <c r="I212" s="900"/>
      <c r="J212" s="900"/>
      <c r="K212" s="900"/>
      <c r="L212" s="900"/>
      <c r="M212" s="900"/>
      <c r="N212" s="900"/>
      <c r="O212" s="900"/>
      <c r="P212" s="900"/>
    </row>
    <row r="213" spans="3:16" ht="14.25">
      <c r="C213" s="900"/>
      <c r="D213" s="900"/>
      <c r="E213" s="900"/>
      <c r="F213" s="900"/>
      <c r="G213" s="900"/>
      <c r="H213" s="900"/>
      <c r="I213" s="900"/>
      <c r="J213" s="900"/>
      <c r="K213" s="900"/>
      <c r="L213" s="900"/>
      <c r="M213" s="900"/>
      <c r="N213" s="900"/>
      <c r="O213" s="900"/>
      <c r="P213" s="900"/>
    </row>
    <row r="214" spans="3:16" ht="14.25">
      <c r="C214" s="900"/>
      <c r="D214" s="900"/>
      <c r="E214" s="900"/>
      <c r="F214" s="900"/>
      <c r="G214" s="900"/>
      <c r="H214" s="900"/>
      <c r="I214" s="900"/>
      <c r="J214" s="900"/>
      <c r="K214" s="900"/>
      <c r="L214" s="900"/>
      <c r="M214" s="900"/>
      <c r="N214" s="900"/>
      <c r="O214" s="900"/>
      <c r="P214" s="900"/>
    </row>
    <row r="215" spans="3:16" ht="14.25">
      <c r="C215" s="900"/>
      <c r="D215" s="900"/>
      <c r="E215" s="900"/>
      <c r="F215" s="900"/>
      <c r="G215" s="900"/>
      <c r="H215" s="900"/>
      <c r="I215" s="900"/>
      <c r="J215" s="900"/>
      <c r="K215" s="900"/>
      <c r="L215" s="900"/>
      <c r="M215" s="900"/>
      <c r="N215" s="900"/>
      <c r="O215" s="900"/>
      <c r="P215" s="900"/>
    </row>
    <row r="216" spans="3:16" ht="14.25">
      <c r="C216" s="900"/>
      <c r="D216" s="900"/>
      <c r="E216" s="900"/>
      <c r="F216" s="900"/>
      <c r="G216" s="900"/>
      <c r="H216" s="900"/>
      <c r="I216" s="900"/>
      <c r="J216" s="900"/>
      <c r="K216" s="900"/>
      <c r="L216" s="900"/>
      <c r="M216" s="900"/>
      <c r="N216" s="900"/>
      <c r="O216" s="900"/>
      <c r="P216" s="900"/>
    </row>
    <row r="217" spans="3:16" ht="14.25">
      <c r="C217" s="900"/>
      <c r="D217" s="900"/>
      <c r="E217" s="900"/>
      <c r="F217" s="900"/>
      <c r="G217" s="900"/>
      <c r="H217" s="900"/>
      <c r="I217" s="900"/>
      <c r="J217" s="900"/>
      <c r="K217" s="900"/>
      <c r="L217" s="900"/>
      <c r="M217" s="900"/>
      <c r="N217" s="900"/>
      <c r="O217" s="900"/>
      <c r="P217" s="900"/>
    </row>
    <row r="218" spans="3:16" ht="14.25">
      <c r="C218" s="900"/>
      <c r="D218" s="900"/>
      <c r="E218" s="900"/>
      <c r="F218" s="900"/>
      <c r="G218" s="900"/>
      <c r="H218" s="900"/>
      <c r="I218" s="900"/>
      <c r="J218" s="900"/>
      <c r="K218" s="900"/>
      <c r="L218" s="900"/>
      <c r="M218" s="900"/>
      <c r="N218" s="900"/>
      <c r="O218" s="900"/>
      <c r="P218" s="900"/>
    </row>
    <row r="219" spans="3:16" ht="14.25">
      <c r="C219" s="900"/>
      <c r="D219" s="900"/>
      <c r="E219" s="900"/>
      <c r="F219" s="900"/>
      <c r="G219" s="900"/>
      <c r="H219" s="900"/>
      <c r="I219" s="900"/>
      <c r="J219" s="900"/>
      <c r="K219" s="900"/>
      <c r="L219" s="900"/>
      <c r="M219" s="900"/>
      <c r="N219" s="900"/>
      <c r="O219" s="900"/>
      <c r="P219" s="900"/>
    </row>
    <row r="220" spans="3:16" ht="14.25">
      <c r="C220" s="900"/>
      <c r="D220" s="900"/>
      <c r="E220" s="900"/>
      <c r="F220" s="900"/>
      <c r="G220" s="900"/>
      <c r="H220" s="900"/>
      <c r="I220" s="900"/>
      <c r="J220" s="900"/>
      <c r="K220" s="900"/>
      <c r="L220" s="900"/>
      <c r="M220" s="900"/>
      <c r="N220" s="900"/>
      <c r="O220" s="900"/>
      <c r="P220" s="900"/>
    </row>
    <row r="221" spans="3:16" ht="14.25">
      <c r="C221" s="900"/>
      <c r="D221" s="900"/>
      <c r="E221" s="900"/>
      <c r="F221" s="900"/>
      <c r="G221" s="900"/>
      <c r="H221" s="900"/>
      <c r="I221" s="900"/>
      <c r="J221" s="900"/>
      <c r="K221" s="900"/>
      <c r="L221" s="900"/>
      <c r="M221" s="900"/>
      <c r="N221" s="900"/>
      <c r="O221" s="900"/>
      <c r="P221" s="900"/>
    </row>
    <row r="222" spans="3:16" ht="14.25">
      <c r="C222" s="900"/>
      <c r="D222" s="900"/>
      <c r="E222" s="900"/>
      <c r="F222" s="900"/>
      <c r="G222" s="900"/>
      <c r="H222" s="900"/>
      <c r="I222" s="900"/>
      <c r="J222" s="900"/>
      <c r="K222" s="900"/>
      <c r="L222" s="900"/>
      <c r="M222" s="900"/>
      <c r="N222" s="900"/>
      <c r="O222" s="900"/>
      <c r="P222" s="900"/>
    </row>
    <row r="223" spans="3:16" ht="14.25">
      <c r="C223" s="900"/>
      <c r="D223" s="900"/>
      <c r="E223" s="900"/>
      <c r="F223" s="900"/>
      <c r="G223" s="900"/>
      <c r="H223" s="900"/>
      <c r="I223" s="900"/>
      <c r="J223" s="900"/>
      <c r="K223" s="900"/>
      <c r="L223" s="900"/>
      <c r="M223" s="900"/>
      <c r="N223" s="900"/>
      <c r="O223" s="900"/>
      <c r="P223" s="900"/>
    </row>
    <row r="224" spans="3:16" ht="14.25">
      <c r="C224" s="900"/>
      <c r="D224" s="900"/>
      <c r="E224" s="900"/>
      <c r="F224" s="900"/>
      <c r="G224" s="900"/>
      <c r="H224" s="900"/>
      <c r="I224" s="900"/>
      <c r="J224" s="900"/>
      <c r="K224" s="900"/>
      <c r="L224" s="900"/>
      <c r="M224" s="900"/>
      <c r="N224" s="900"/>
      <c r="O224" s="900"/>
      <c r="P224" s="900"/>
    </row>
    <row r="225" spans="3:16" ht="14.25">
      <c r="C225" s="900"/>
      <c r="D225" s="900"/>
      <c r="E225" s="900"/>
      <c r="F225" s="900"/>
      <c r="G225" s="900"/>
      <c r="H225" s="900"/>
      <c r="I225" s="900"/>
      <c r="J225" s="900"/>
      <c r="K225" s="900"/>
      <c r="L225" s="900"/>
      <c r="M225" s="900"/>
      <c r="N225" s="900"/>
      <c r="O225" s="900"/>
      <c r="P225" s="900"/>
    </row>
    <row r="226" spans="3:16" ht="14.25">
      <c r="C226" s="900"/>
      <c r="D226" s="900"/>
      <c r="E226" s="900"/>
      <c r="F226" s="900"/>
      <c r="G226" s="900"/>
      <c r="H226" s="900"/>
      <c r="I226" s="900"/>
      <c r="J226" s="900"/>
      <c r="K226" s="900"/>
      <c r="L226" s="900"/>
      <c r="M226" s="900"/>
      <c r="N226" s="900"/>
      <c r="O226" s="900"/>
      <c r="P226" s="900"/>
    </row>
    <row r="227" spans="3:16" ht="14.25">
      <c r="C227" s="900"/>
      <c r="D227" s="900"/>
      <c r="E227" s="900"/>
      <c r="F227" s="900"/>
      <c r="G227" s="900"/>
      <c r="H227" s="900"/>
      <c r="I227" s="900"/>
      <c r="J227" s="900"/>
      <c r="K227" s="900"/>
      <c r="L227" s="900"/>
      <c r="M227" s="900"/>
      <c r="N227" s="900"/>
      <c r="O227" s="900"/>
      <c r="P227" s="900"/>
    </row>
    <row r="228" spans="3:16" ht="14.25">
      <c r="C228" s="900"/>
      <c r="D228" s="900"/>
      <c r="E228" s="900"/>
      <c r="F228" s="900"/>
      <c r="G228" s="900"/>
      <c r="H228" s="900"/>
      <c r="I228" s="900"/>
      <c r="J228" s="900"/>
      <c r="K228" s="900"/>
      <c r="L228" s="900"/>
      <c r="M228" s="900"/>
      <c r="N228" s="900"/>
      <c r="O228" s="900"/>
      <c r="P228" s="900"/>
    </row>
    <row r="229" spans="3:16" ht="14.25">
      <c r="C229" s="900"/>
      <c r="D229" s="900"/>
      <c r="E229" s="900"/>
      <c r="F229" s="900"/>
      <c r="G229" s="900"/>
      <c r="H229" s="900"/>
      <c r="I229" s="900"/>
      <c r="J229" s="900"/>
      <c r="K229" s="900"/>
      <c r="L229" s="900"/>
      <c r="M229" s="900"/>
      <c r="N229" s="900"/>
      <c r="O229" s="900"/>
      <c r="P229" s="900"/>
    </row>
    <row r="230" spans="3:16" ht="14.25">
      <c r="C230" s="900"/>
      <c r="D230" s="900"/>
      <c r="E230" s="900"/>
      <c r="F230" s="900"/>
      <c r="G230" s="900"/>
      <c r="H230" s="900"/>
      <c r="I230" s="900"/>
      <c r="J230" s="900"/>
      <c r="K230" s="900"/>
      <c r="L230" s="900"/>
      <c r="M230" s="900"/>
      <c r="N230" s="900"/>
      <c r="O230" s="900"/>
      <c r="P230" s="900"/>
    </row>
    <row r="231" spans="3:16" ht="14.25">
      <c r="C231" s="900"/>
      <c r="D231" s="900"/>
      <c r="E231" s="900"/>
      <c r="F231" s="900"/>
      <c r="G231" s="900"/>
      <c r="H231" s="900"/>
      <c r="I231" s="900"/>
      <c r="J231" s="900"/>
      <c r="K231" s="900"/>
      <c r="L231" s="900"/>
      <c r="M231" s="900"/>
      <c r="N231" s="900"/>
      <c r="O231" s="900"/>
      <c r="P231" s="900"/>
    </row>
    <row r="232" spans="3:16" ht="14.25">
      <c r="C232" s="900"/>
      <c r="D232" s="900"/>
      <c r="E232" s="900"/>
      <c r="F232" s="900"/>
      <c r="G232" s="900"/>
      <c r="H232" s="900"/>
      <c r="I232" s="900"/>
      <c r="J232" s="900"/>
      <c r="K232" s="900"/>
      <c r="L232" s="900"/>
      <c r="M232" s="900"/>
      <c r="N232" s="900"/>
      <c r="O232" s="900"/>
      <c r="P232" s="900"/>
    </row>
    <row r="233" spans="3:16" ht="14.25">
      <c r="C233" s="900"/>
      <c r="D233" s="900"/>
      <c r="E233" s="900"/>
      <c r="F233" s="900"/>
      <c r="G233" s="900"/>
      <c r="H233" s="900"/>
      <c r="I233" s="900"/>
      <c r="J233" s="900"/>
      <c r="K233" s="900"/>
      <c r="L233" s="900"/>
      <c r="M233" s="900"/>
      <c r="N233" s="900"/>
      <c r="O233" s="900"/>
      <c r="P233" s="900"/>
    </row>
    <row r="234" spans="3:16" ht="14.25">
      <c r="C234" s="900"/>
      <c r="D234" s="900"/>
      <c r="E234" s="900"/>
      <c r="F234" s="900"/>
      <c r="G234" s="900"/>
      <c r="H234" s="900"/>
      <c r="I234" s="900"/>
      <c r="J234" s="900"/>
      <c r="K234" s="900"/>
      <c r="L234" s="900"/>
      <c r="M234" s="900"/>
      <c r="N234" s="900"/>
      <c r="O234" s="900"/>
      <c r="P234" s="900"/>
    </row>
    <row r="235" spans="3:16" ht="14.25">
      <c r="C235" s="900"/>
      <c r="D235" s="900"/>
      <c r="E235" s="900"/>
      <c r="F235" s="900"/>
      <c r="G235" s="900"/>
      <c r="H235" s="900"/>
      <c r="I235" s="900"/>
      <c r="J235" s="900"/>
      <c r="K235" s="900"/>
      <c r="L235" s="900"/>
      <c r="M235" s="900"/>
      <c r="N235" s="900"/>
      <c r="O235" s="900"/>
      <c r="P235" s="900"/>
    </row>
    <row r="236" spans="3:16" ht="14.25">
      <c r="C236" s="900"/>
      <c r="D236" s="900"/>
      <c r="E236" s="900"/>
      <c r="F236" s="900"/>
      <c r="G236" s="900"/>
      <c r="H236" s="900"/>
      <c r="I236" s="900"/>
      <c r="J236" s="900"/>
      <c r="K236" s="900"/>
      <c r="L236" s="900"/>
      <c r="M236" s="900"/>
      <c r="N236" s="900"/>
      <c r="O236" s="900"/>
      <c r="P236" s="900"/>
    </row>
    <row r="237" spans="3:16" ht="14.25">
      <c r="C237" s="900"/>
      <c r="D237" s="900"/>
      <c r="E237" s="900"/>
      <c r="F237" s="900"/>
      <c r="G237" s="900"/>
      <c r="H237" s="900"/>
      <c r="I237" s="900"/>
      <c r="J237" s="900"/>
      <c r="K237" s="900"/>
      <c r="L237" s="900"/>
      <c r="M237" s="900"/>
      <c r="N237" s="900"/>
      <c r="O237" s="900"/>
      <c r="P237" s="900"/>
    </row>
    <row r="238" spans="3:16" ht="14.25">
      <c r="C238" s="900"/>
      <c r="D238" s="900"/>
      <c r="E238" s="900"/>
      <c r="F238" s="900"/>
      <c r="G238" s="900"/>
      <c r="H238" s="900"/>
      <c r="I238" s="900"/>
      <c r="J238" s="900"/>
      <c r="K238" s="900"/>
      <c r="L238" s="900"/>
      <c r="M238" s="900"/>
      <c r="N238" s="900"/>
      <c r="O238" s="900"/>
      <c r="P238" s="900"/>
    </row>
    <row r="239" spans="3:16" ht="14.25">
      <c r="C239" s="900"/>
      <c r="D239" s="900"/>
      <c r="E239" s="900"/>
      <c r="F239" s="900"/>
      <c r="G239" s="900"/>
      <c r="H239" s="900"/>
      <c r="I239" s="900"/>
      <c r="J239" s="900"/>
      <c r="K239" s="900"/>
      <c r="L239" s="900"/>
      <c r="M239" s="900"/>
      <c r="N239" s="900"/>
      <c r="O239" s="900"/>
      <c r="P239" s="900"/>
    </row>
    <row r="240" spans="3:16" ht="14.25">
      <c r="C240" s="900"/>
      <c r="D240" s="900"/>
      <c r="E240" s="900"/>
      <c r="F240" s="900"/>
      <c r="G240" s="900"/>
      <c r="H240" s="900"/>
      <c r="I240" s="900"/>
      <c r="J240" s="900"/>
      <c r="K240" s="900"/>
      <c r="L240" s="900"/>
      <c r="M240" s="900"/>
      <c r="N240" s="900"/>
      <c r="O240" s="900"/>
      <c r="P240" s="900"/>
    </row>
    <row r="241" spans="3:16" ht="14.25">
      <c r="C241" s="900"/>
      <c r="D241" s="900"/>
      <c r="E241" s="900"/>
      <c r="F241" s="900"/>
      <c r="G241" s="900"/>
      <c r="H241" s="900"/>
      <c r="I241" s="900"/>
      <c r="J241" s="900"/>
      <c r="K241" s="900"/>
      <c r="L241" s="900"/>
      <c r="M241" s="900"/>
      <c r="N241" s="900"/>
      <c r="O241" s="900"/>
      <c r="P241" s="900"/>
    </row>
    <row r="242" spans="3:16" ht="14.25">
      <c r="C242" s="900"/>
      <c r="D242" s="900"/>
      <c r="E242" s="900"/>
      <c r="F242" s="900"/>
      <c r="G242" s="900"/>
      <c r="H242" s="900"/>
      <c r="I242" s="900"/>
      <c r="J242" s="900"/>
      <c r="K242" s="900"/>
      <c r="L242" s="900"/>
      <c r="M242" s="900"/>
      <c r="N242" s="900"/>
      <c r="O242" s="900"/>
      <c r="P242" s="900"/>
    </row>
    <row r="243" spans="3:16" ht="14.25">
      <c r="C243" s="900"/>
      <c r="D243" s="900"/>
      <c r="E243" s="900"/>
      <c r="F243" s="900"/>
      <c r="G243" s="900"/>
      <c r="H243" s="900"/>
      <c r="I243" s="900"/>
      <c r="J243" s="900"/>
      <c r="K243" s="900"/>
      <c r="L243" s="900"/>
      <c r="M243" s="900"/>
      <c r="N243" s="900"/>
      <c r="O243" s="900"/>
      <c r="P243" s="900"/>
    </row>
    <row r="244" spans="3:16" ht="14.25">
      <c r="C244" s="900"/>
      <c r="D244" s="900"/>
      <c r="E244" s="900"/>
      <c r="F244" s="900"/>
      <c r="G244" s="900"/>
      <c r="H244" s="900"/>
      <c r="I244" s="900"/>
      <c r="J244" s="900"/>
      <c r="K244" s="900"/>
      <c r="L244" s="900"/>
      <c r="M244" s="900"/>
      <c r="N244" s="900"/>
      <c r="O244" s="900"/>
      <c r="P244" s="900"/>
    </row>
    <row r="245" spans="3:16" ht="14.25">
      <c r="C245" s="900"/>
      <c r="D245" s="900"/>
      <c r="E245" s="900"/>
      <c r="F245" s="900"/>
      <c r="G245" s="900"/>
      <c r="H245" s="900"/>
      <c r="I245" s="900"/>
      <c r="J245" s="900"/>
      <c r="K245" s="900"/>
      <c r="L245" s="900"/>
      <c r="M245" s="900"/>
      <c r="N245" s="900"/>
      <c r="O245" s="900"/>
      <c r="P245" s="900"/>
    </row>
    <row r="246" spans="3:16" ht="14.25">
      <c r="C246" s="900"/>
      <c r="D246" s="900"/>
      <c r="E246" s="900"/>
      <c r="F246" s="900"/>
      <c r="G246" s="900"/>
      <c r="H246" s="900"/>
      <c r="I246" s="900"/>
      <c r="J246" s="900"/>
      <c r="K246" s="900"/>
      <c r="L246" s="900"/>
      <c r="M246" s="900"/>
      <c r="N246" s="900"/>
      <c r="O246" s="900"/>
      <c r="P246" s="900"/>
    </row>
    <row r="247" spans="3:16" ht="14.25">
      <c r="C247" s="900"/>
      <c r="D247" s="900"/>
      <c r="E247" s="900"/>
      <c r="F247" s="900"/>
      <c r="G247" s="900"/>
      <c r="H247" s="900"/>
      <c r="I247" s="900"/>
      <c r="J247" s="900"/>
      <c r="K247" s="900"/>
      <c r="L247" s="900"/>
      <c r="M247" s="900"/>
      <c r="N247" s="900"/>
      <c r="O247" s="900"/>
      <c r="P247" s="900"/>
    </row>
    <row r="248" spans="3:16" ht="14.25">
      <c r="C248" s="900"/>
      <c r="D248" s="900"/>
      <c r="E248" s="900"/>
      <c r="F248" s="900"/>
      <c r="G248" s="900"/>
      <c r="H248" s="900"/>
      <c r="I248" s="900"/>
      <c r="J248" s="900"/>
      <c r="K248" s="900"/>
      <c r="L248" s="900"/>
      <c r="M248" s="900"/>
      <c r="N248" s="900"/>
      <c r="O248" s="900"/>
      <c r="P248" s="900"/>
    </row>
    <row r="249" spans="3:16" ht="14.25">
      <c r="C249" s="900"/>
      <c r="D249" s="900"/>
      <c r="E249" s="900"/>
      <c r="F249" s="900"/>
      <c r="G249" s="900"/>
      <c r="H249" s="900"/>
      <c r="I249" s="900"/>
      <c r="J249" s="900"/>
      <c r="K249" s="900"/>
      <c r="L249" s="900"/>
      <c r="M249" s="900"/>
      <c r="N249" s="900"/>
      <c r="O249" s="900"/>
      <c r="P249" s="900"/>
    </row>
    <row r="250" spans="3:16" ht="14.25">
      <c r="C250" s="900"/>
      <c r="D250" s="900"/>
      <c r="E250" s="900"/>
      <c r="F250" s="900"/>
      <c r="G250" s="900"/>
      <c r="H250" s="900"/>
      <c r="I250" s="900"/>
      <c r="J250" s="900"/>
      <c r="K250" s="900"/>
      <c r="L250" s="900"/>
      <c r="M250" s="900"/>
      <c r="N250" s="900"/>
      <c r="O250" s="900"/>
      <c r="P250" s="900"/>
    </row>
    <row r="251" spans="3:16" ht="14.25">
      <c r="C251" s="900"/>
      <c r="D251" s="900"/>
      <c r="E251" s="900"/>
      <c r="F251" s="900"/>
      <c r="G251" s="900"/>
      <c r="H251" s="900"/>
      <c r="I251" s="900"/>
      <c r="J251" s="900"/>
      <c r="K251" s="900"/>
      <c r="L251" s="900"/>
      <c r="M251" s="900"/>
      <c r="N251" s="900"/>
      <c r="O251" s="900"/>
      <c r="P251" s="900"/>
    </row>
    <row r="252" spans="3:16" ht="14.25">
      <c r="C252" s="900"/>
      <c r="D252" s="900"/>
      <c r="E252" s="900"/>
      <c r="F252" s="900"/>
      <c r="G252" s="900"/>
      <c r="H252" s="900"/>
      <c r="I252" s="900"/>
      <c r="J252" s="900"/>
      <c r="K252" s="900"/>
      <c r="L252" s="900"/>
      <c r="M252" s="900"/>
      <c r="N252" s="900"/>
      <c r="O252" s="900"/>
      <c r="P252" s="900"/>
    </row>
    <row r="253" spans="3:16" ht="14.25">
      <c r="C253" s="900"/>
      <c r="D253" s="900"/>
      <c r="E253" s="900"/>
      <c r="F253" s="900"/>
      <c r="G253" s="900"/>
      <c r="H253" s="900"/>
      <c r="I253" s="900"/>
      <c r="J253" s="900"/>
      <c r="K253" s="900"/>
      <c r="L253" s="900"/>
      <c r="M253" s="900"/>
      <c r="N253" s="900"/>
      <c r="O253" s="900"/>
      <c r="P253" s="900"/>
    </row>
    <row r="254" spans="3:16" ht="14.25">
      <c r="C254" s="900"/>
      <c r="D254" s="900"/>
      <c r="E254" s="900"/>
      <c r="F254" s="900"/>
      <c r="G254" s="900"/>
      <c r="H254" s="900"/>
      <c r="I254" s="900"/>
      <c r="J254" s="900"/>
      <c r="K254" s="900"/>
      <c r="L254" s="900"/>
      <c r="M254" s="900"/>
      <c r="N254" s="900"/>
      <c r="O254" s="900"/>
      <c r="P254" s="900"/>
    </row>
    <row r="255" spans="3:16" ht="14.25">
      <c r="C255" s="900"/>
      <c r="D255" s="900"/>
      <c r="E255" s="900"/>
      <c r="F255" s="900"/>
      <c r="G255" s="900"/>
      <c r="H255" s="900"/>
      <c r="I255" s="900"/>
      <c r="J255" s="900"/>
      <c r="K255" s="900"/>
      <c r="L255" s="900"/>
      <c r="M255" s="900"/>
      <c r="N255" s="900"/>
      <c r="O255" s="900"/>
      <c r="P255" s="900"/>
    </row>
    <row r="256" spans="3:16" ht="14.25">
      <c r="C256" s="900"/>
      <c r="D256" s="900"/>
      <c r="E256" s="900"/>
      <c r="F256" s="900"/>
      <c r="G256" s="900"/>
      <c r="H256" s="900"/>
      <c r="I256" s="900"/>
      <c r="J256" s="900"/>
      <c r="K256" s="900"/>
      <c r="L256" s="900"/>
      <c r="M256" s="900"/>
      <c r="N256" s="900"/>
      <c r="O256" s="900"/>
      <c r="P256" s="900"/>
    </row>
    <row r="257" spans="3:16" ht="14.25">
      <c r="C257" s="900"/>
      <c r="D257" s="900"/>
      <c r="E257" s="900"/>
      <c r="F257" s="900"/>
      <c r="G257" s="900"/>
      <c r="H257" s="900"/>
      <c r="I257" s="900"/>
      <c r="J257" s="900"/>
      <c r="K257" s="900"/>
      <c r="L257" s="900"/>
      <c r="M257" s="900"/>
      <c r="N257" s="900"/>
      <c r="O257" s="900"/>
      <c r="P257" s="900"/>
    </row>
    <row r="258" spans="3:16" ht="14.25">
      <c r="C258" s="900"/>
      <c r="D258" s="900"/>
      <c r="E258" s="900"/>
      <c r="F258" s="900"/>
      <c r="G258" s="900"/>
      <c r="H258" s="900"/>
      <c r="I258" s="900"/>
      <c r="J258" s="900"/>
      <c r="K258" s="900"/>
      <c r="L258" s="900"/>
      <c r="M258" s="900"/>
      <c r="N258" s="900"/>
      <c r="O258" s="900"/>
      <c r="P258" s="900"/>
    </row>
    <row r="259" spans="3:16" ht="14.25">
      <c r="C259" s="900"/>
      <c r="D259" s="900"/>
      <c r="E259" s="900"/>
      <c r="F259" s="900"/>
      <c r="G259" s="900"/>
      <c r="H259" s="900"/>
      <c r="I259" s="900"/>
      <c r="J259" s="900"/>
      <c r="K259" s="900"/>
      <c r="L259" s="900"/>
      <c r="M259" s="900"/>
      <c r="N259" s="900"/>
      <c r="O259" s="900"/>
      <c r="P259" s="900"/>
    </row>
    <row r="260" spans="3:16" ht="14.25">
      <c r="C260" s="900"/>
      <c r="D260" s="900"/>
      <c r="E260" s="900"/>
      <c r="F260" s="900"/>
      <c r="G260" s="900"/>
      <c r="H260" s="900"/>
      <c r="I260" s="900"/>
      <c r="J260" s="900"/>
      <c r="K260" s="900"/>
      <c r="L260" s="900"/>
      <c r="M260" s="900"/>
      <c r="N260" s="900"/>
      <c r="O260" s="900"/>
      <c r="P260" s="900"/>
    </row>
    <row r="261" spans="3:16" ht="14.25">
      <c r="C261" s="900"/>
      <c r="D261" s="900"/>
      <c r="E261" s="900"/>
      <c r="F261" s="900"/>
      <c r="G261" s="900"/>
      <c r="H261" s="900"/>
      <c r="I261" s="900"/>
      <c r="J261" s="900"/>
      <c r="K261" s="900"/>
      <c r="L261" s="900"/>
      <c r="M261" s="900"/>
      <c r="N261" s="900"/>
      <c r="O261" s="900"/>
      <c r="P261" s="900"/>
    </row>
    <row r="262" spans="3:16" ht="14.25">
      <c r="C262" s="900"/>
      <c r="D262" s="900"/>
      <c r="E262" s="900"/>
      <c r="F262" s="900"/>
      <c r="G262" s="900"/>
      <c r="H262" s="900"/>
      <c r="I262" s="900"/>
      <c r="J262" s="900"/>
      <c r="K262" s="900"/>
      <c r="L262" s="900"/>
      <c r="M262" s="900"/>
      <c r="N262" s="900"/>
      <c r="O262" s="900"/>
      <c r="P262" s="900"/>
    </row>
    <row r="263" spans="3:16" ht="14.25">
      <c r="C263" s="900"/>
      <c r="D263" s="900"/>
      <c r="E263" s="900"/>
      <c r="F263" s="900"/>
      <c r="G263" s="900"/>
      <c r="H263" s="900"/>
      <c r="I263" s="900"/>
      <c r="J263" s="900"/>
      <c r="K263" s="900"/>
      <c r="L263" s="900"/>
      <c r="M263" s="900"/>
      <c r="N263" s="900"/>
      <c r="O263" s="900"/>
      <c r="P263" s="900"/>
    </row>
    <row r="264" spans="3:16" ht="14.25">
      <c r="C264" s="900"/>
      <c r="D264" s="900"/>
      <c r="E264" s="900"/>
      <c r="F264" s="900"/>
      <c r="G264" s="900"/>
      <c r="H264" s="900"/>
      <c r="I264" s="900"/>
      <c r="J264" s="900"/>
      <c r="K264" s="900"/>
      <c r="L264" s="900"/>
      <c r="M264" s="900"/>
      <c r="N264" s="900"/>
      <c r="O264" s="900"/>
      <c r="P264" s="900"/>
    </row>
    <row r="265" spans="3:16" ht="14.25">
      <c r="C265" s="900"/>
      <c r="D265" s="900"/>
      <c r="E265" s="900"/>
      <c r="F265" s="900"/>
      <c r="G265" s="900"/>
      <c r="H265" s="900"/>
      <c r="I265" s="900"/>
      <c r="J265" s="900"/>
      <c r="K265" s="900"/>
      <c r="L265" s="900"/>
      <c r="M265" s="900"/>
      <c r="N265" s="900"/>
      <c r="O265" s="900"/>
      <c r="P265" s="900"/>
    </row>
    <row r="266" spans="3:16" ht="14.25">
      <c r="C266" s="900"/>
      <c r="D266" s="900"/>
      <c r="E266" s="900"/>
      <c r="F266" s="900"/>
      <c r="G266" s="900"/>
      <c r="H266" s="900"/>
      <c r="I266" s="900"/>
      <c r="J266" s="900"/>
      <c r="K266" s="900"/>
      <c r="L266" s="900"/>
      <c r="M266" s="900"/>
      <c r="N266" s="900"/>
      <c r="O266" s="900"/>
      <c r="P266" s="900"/>
    </row>
    <row r="267" spans="3:16" ht="14.25">
      <c r="C267" s="900"/>
      <c r="D267" s="900"/>
      <c r="E267" s="900"/>
      <c r="F267" s="900"/>
      <c r="G267" s="900"/>
      <c r="H267" s="900"/>
      <c r="I267" s="900"/>
      <c r="J267" s="900"/>
      <c r="K267" s="900"/>
      <c r="L267" s="900"/>
      <c r="M267" s="900"/>
      <c r="N267" s="900"/>
      <c r="O267" s="900"/>
      <c r="P267" s="900"/>
    </row>
    <row r="268" spans="3:16" ht="14.25">
      <c r="C268" s="900"/>
      <c r="D268" s="900"/>
      <c r="E268" s="900"/>
      <c r="F268" s="900"/>
      <c r="G268" s="900"/>
      <c r="H268" s="900"/>
      <c r="I268" s="900"/>
      <c r="J268" s="900"/>
      <c r="K268" s="900"/>
      <c r="L268" s="900"/>
      <c r="M268" s="900"/>
      <c r="N268" s="900"/>
      <c r="O268" s="900"/>
      <c r="P268" s="900"/>
    </row>
    <row r="269" spans="3:16" ht="14.25">
      <c r="C269" s="900"/>
      <c r="D269" s="900"/>
      <c r="E269" s="900"/>
      <c r="F269" s="900"/>
      <c r="G269" s="900"/>
      <c r="H269" s="900"/>
      <c r="I269" s="900"/>
      <c r="J269" s="900"/>
      <c r="K269" s="900"/>
      <c r="L269" s="900"/>
      <c r="M269" s="900"/>
      <c r="N269" s="900"/>
      <c r="O269" s="900"/>
      <c r="P269" s="900"/>
    </row>
    <row r="270" spans="3:16" ht="14.25">
      <c r="C270" s="900"/>
      <c r="D270" s="900"/>
      <c r="E270" s="900"/>
      <c r="F270" s="900"/>
      <c r="G270" s="900"/>
      <c r="H270" s="900"/>
      <c r="I270" s="900"/>
      <c r="J270" s="900"/>
      <c r="K270" s="900"/>
      <c r="L270" s="900"/>
      <c r="M270" s="900"/>
      <c r="N270" s="900"/>
      <c r="O270" s="900"/>
      <c r="P270" s="900"/>
    </row>
    <row r="271" spans="3:16" ht="14.25">
      <c r="C271" s="900"/>
      <c r="D271" s="900"/>
      <c r="E271" s="900"/>
      <c r="F271" s="900"/>
      <c r="G271" s="900"/>
      <c r="H271" s="900"/>
      <c r="I271" s="900"/>
      <c r="J271" s="900"/>
      <c r="K271" s="900"/>
      <c r="L271" s="900"/>
      <c r="M271" s="900"/>
      <c r="N271" s="900"/>
      <c r="O271" s="900"/>
      <c r="P271" s="900"/>
    </row>
    <row r="272" spans="3:16" ht="14.25">
      <c r="C272" s="900"/>
      <c r="D272" s="900"/>
      <c r="E272" s="900"/>
      <c r="F272" s="900"/>
      <c r="G272" s="900"/>
      <c r="H272" s="900"/>
      <c r="I272" s="900"/>
      <c r="J272" s="900"/>
      <c r="K272" s="900"/>
      <c r="L272" s="900"/>
      <c r="M272" s="900"/>
      <c r="N272" s="900"/>
      <c r="O272" s="900"/>
      <c r="P272" s="900"/>
    </row>
    <row r="273" spans="3:16" ht="14.25">
      <c r="C273" s="900"/>
      <c r="D273" s="900"/>
      <c r="E273" s="900"/>
      <c r="F273" s="900"/>
      <c r="G273" s="900"/>
      <c r="H273" s="900"/>
      <c r="I273" s="900"/>
      <c r="J273" s="900"/>
      <c r="K273" s="900"/>
      <c r="L273" s="900"/>
      <c r="M273" s="900"/>
      <c r="N273" s="900"/>
      <c r="O273" s="900"/>
      <c r="P273" s="900"/>
    </row>
    <row r="274" spans="3:16" ht="14.25">
      <c r="C274" s="900"/>
      <c r="D274" s="900"/>
      <c r="E274" s="900"/>
      <c r="F274" s="900"/>
      <c r="G274" s="900"/>
      <c r="H274" s="900"/>
      <c r="I274" s="900"/>
      <c r="J274" s="900"/>
      <c r="K274" s="900"/>
      <c r="L274" s="900"/>
      <c r="M274" s="900"/>
      <c r="N274" s="900"/>
      <c r="O274" s="900"/>
      <c r="P274" s="900"/>
    </row>
    <row r="275" spans="3:16" ht="14.25">
      <c r="C275" s="900"/>
      <c r="D275" s="900"/>
      <c r="E275" s="900"/>
      <c r="F275" s="900"/>
      <c r="G275" s="900"/>
      <c r="H275" s="900"/>
      <c r="I275" s="900"/>
      <c r="J275" s="900"/>
      <c r="K275" s="900"/>
      <c r="L275" s="900"/>
      <c r="M275" s="900"/>
      <c r="N275" s="900"/>
      <c r="O275" s="900"/>
      <c r="P275" s="900"/>
    </row>
    <row r="276" spans="3:16" ht="14.25">
      <c r="C276" s="900"/>
      <c r="D276" s="900"/>
      <c r="E276" s="900"/>
      <c r="F276" s="900"/>
      <c r="G276" s="900"/>
      <c r="H276" s="900"/>
      <c r="I276" s="900"/>
      <c r="J276" s="900"/>
      <c r="K276" s="900"/>
      <c r="L276" s="900"/>
      <c r="M276" s="900"/>
      <c r="N276" s="900"/>
      <c r="O276" s="900"/>
      <c r="P276" s="900"/>
    </row>
    <row r="277" spans="3:16" ht="14.25">
      <c r="C277" s="900"/>
      <c r="D277" s="900"/>
      <c r="E277" s="900"/>
      <c r="F277" s="900"/>
      <c r="G277" s="900"/>
      <c r="H277" s="900"/>
      <c r="I277" s="900"/>
      <c r="J277" s="900"/>
      <c r="K277" s="900"/>
      <c r="L277" s="900"/>
      <c r="M277" s="900"/>
      <c r="N277" s="900"/>
      <c r="O277" s="900"/>
      <c r="P277" s="900"/>
    </row>
    <row r="278" spans="3:16" ht="14.25">
      <c r="C278" s="900"/>
      <c r="D278" s="900"/>
      <c r="E278" s="900"/>
      <c r="F278" s="900"/>
      <c r="G278" s="900"/>
      <c r="H278" s="900"/>
      <c r="I278" s="900"/>
      <c r="J278" s="900"/>
      <c r="K278" s="900"/>
      <c r="L278" s="900"/>
      <c r="M278" s="900"/>
      <c r="N278" s="900"/>
      <c r="O278" s="900"/>
      <c r="P278" s="900"/>
    </row>
    <row r="279" spans="3:16" ht="14.25">
      <c r="C279" s="900"/>
      <c r="D279" s="900"/>
      <c r="E279" s="900"/>
      <c r="F279" s="900"/>
      <c r="G279" s="900"/>
      <c r="H279" s="900"/>
      <c r="I279" s="900"/>
      <c r="J279" s="900"/>
      <c r="K279" s="900"/>
      <c r="L279" s="900"/>
      <c r="M279" s="900"/>
      <c r="N279" s="900"/>
      <c r="O279" s="900"/>
      <c r="P279" s="900"/>
    </row>
    <row r="280" spans="3:16" ht="14.25">
      <c r="C280" s="900"/>
      <c r="D280" s="900"/>
      <c r="E280" s="900"/>
      <c r="F280" s="900"/>
      <c r="G280" s="900"/>
      <c r="H280" s="900"/>
      <c r="I280" s="900"/>
      <c r="J280" s="900"/>
      <c r="K280" s="900"/>
      <c r="L280" s="900"/>
      <c r="M280" s="900"/>
      <c r="N280" s="900"/>
      <c r="O280" s="900"/>
      <c r="P280" s="900"/>
    </row>
    <row r="281" spans="3:16" ht="14.25">
      <c r="C281" s="900"/>
      <c r="D281" s="900"/>
      <c r="E281" s="900"/>
      <c r="F281" s="900"/>
      <c r="G281" s="900"/>
      <c r="H281" s="900"/>
      <c r="I281" s="900"/>
      <c r="J281" s="900"/>
      <c r="K281" s="900"/>
      <c r="L281" s="900"/>
      <c r="M281" s="900"/>
      <c r="N281" s="900"/>
      <c r="O281" s="900"/>
      <c r="P281" s="900"/>
    </row>
    <row r="282" spans="3:16" ht="14.25">
      <c r="C282" s="900"/>
      <c r="D282" s="900"/>
      <c r="E282" s="900"/>
      <c r="F282" s="900"/>
      <c r="G282" s="900"/>
      <c r="H282" s="900"/>
      <c r="I282" s="900"/>
      <c r="J282" s="900"/>
      <c r="K282" s="900"/>
      <c r="L282" s="900"/>
      <c r="M282" s="900"/>
      <c r="N282" s="900"/>
      <c r="O282" s="900"/>
      <c r="P282" s="900"/>
    </row>
    <row r="283" spans="3:16" ht="14.25">
      <c r="C283" s="900"/>
      <c r="D283" s="900"/>
      <c r="E283" s="900"/>
      <c r="F283" s="900"/>
      <c r="G283" s="900"/>
      <c r="H283" s="900"/>
      <c r="I283" s="900"/>
      <c r="J283" s="900"/>
      <c r="K283" s="900"/>
      <c r="L283" s="900"/>
      <c r="M283" s="900"/>
      <c r="N283" s="900"/>
      <c r="O283" s="900"/>
      <c r="P283" s="900"/>
    </row>
    <row r="284" spans="3:16" ht="14.25">
      <c r="C284" s="900"/>
      <c r="D284" s="900"/>
      <c r="E284" s="900"/>
      <c r="F284" s="900"/>
      <c r="G284" s="900"/>
      <c r="H284" s="900"/>
      <c r="I284" s="900"/>
      <c r="J284" s="900"/>
      <c r="K284" s="900"/>
      <c r="L284" s="900"/>
      <c r="M284" s="900"/>
      <c r="N284" s="900"/>
      <c r="O284" s="900"/>
      <c r="P284" s="900"/>
    </row>
    <row r="285" spans="3:16" ht="14.25">
      <c r="C285" s="900"/>
      <c r="D285" s="900"/>
      <c r="E285" s="900"/>
      <c r="F285" s="900"/>
      <c r="G285" s="900"/>
      <c r="H285" s="900"/>
      <c r="I285" s="900"/>
      <c r="J285" s="900"/>
      <c r="K285" s="900"/>
      <c r="L285" s="900"/>
      <c r="M285" s="900"/>
      <c r="N285" s="900"/>
      <c r="O285" s="900"/>
      <c r="P285" s="900"/>
    </row>
    <row r="286" spans="3:16" ht="14.25">
      <c r="C286" s="900"/>
      <c r="D286" s="900"/>
      <c r="E286" s="900"/>
      <c r="F286" s="900"/>
      <c r="G286" s="900"/>
      <c r="H286" s="900"/>
      <c r="I286" s="900"/>
      <c r="J286" s="900"/>
      <c r="K286" s="900"/>
      <c r="L286" s="900"/>
      <c r="M286" s="900"/>
      <c r="N286" s="900"/>
      <c r="O286" s="900"/>
      <c r="P286" s="900"/>
    </row>
    <row r="287" spans="3:16" ht="14.25">
      <c r="C287" s="900"/>
      <c r="D287" s="900"/>
      <c r="E287" s="900"/>
      <c r="F287" s="900"/>
      <c r="G287" s="900"/>
      <c r="H287" s="900"/>
      <c r="I287" s="900"/>
      <c r="J287" s="900"/>
      <c r="K287" s="900"/>
      <c r="L287" s="900"/>
      <c r="M287" s="900"/>
      <c r="N287" s="900"/>
      <c r="O287" s="900"/>
      <c r="P287" s="900"/>
    </row>
    <row r="288" spans="3:16" ht="14.25">
      <c r="C288" s="900"/>
      <c r="D288" s="900"/>
      <c r="E288" s="900"/>
      <c r="F288" s="900"/>
      <c r="G288" s="900"/>
      <c r="H288" s="900"/>
      <c r="I288" s="900"/>
      <c r="J288" s="900"/>
      <c r="K288" s="900"/>
      <c r="L288" s="900"/>
      <c r="M288" s="900"/>
      <c r="N288" s="900"/>
      <c r="O288" s="900"/>
      <c r="P288" s="900"/>
    </row>
    <row r="289" spans="3:16" ht="14.25">
      <c r="C289" s="900"/>
      <c r="D289" s="900"/>
      <c r="E289" s="900"/>
      <c r="F289" s="900"/>
      <c r="G289" s="900"/>
      <c r="H289" s="900"/>
      <c r="I289" s="900"/>
      <c r="J289" s="900"/>
      <c r="K289" s="900"/>
      <c r="L289" s="900"/>
      <c r="M289" s="900"/>
      <c r="N289" s="900"/>
      <c r="O289" s="900"/>
      <c r="P289" s="900"/>
    </row>
    <row r="290" spans="3:16" ht="14.25">
      <c r="C290" s="900"/>
      <c r="D290" s="900"/>
      <c r="E290" s="900"/>
      <c r="F290" s="900"/>
      <c r="G290" s="900"/>
      <c r="H290" s="900"/>
      <c r="I290" s="900"/>
      <c r="J290" s="900"/>
      <c r="K290" s="900"/>
      <c r="L290" s="900"/>
      <c r="M290" s="900"/>
      <c r="N290" s="900"/>
      <c r="O290" s="900"/>
      <c r="P290" s="900"/>
    </row>
    <row r="291" spans="3:16" ht="14.25">
      <c r="C291" s="900"/>
      <c r="D291" s="900"/>
      <c r="E291" s="900"/>
      <c r="F291" s="900"/>
      <c r="G291" s="900"/>
      <c r="H291" s="900"/>
      <c r="I291" s="900"/>
      <c r="J291" s="900"/>
      <c r="K291" s="900"/>
      <c r="L291" s="900"/>
      <c r="M291" s="900"/>
      <c r="N291" s="900"/>
      <c r="O291" s="900"/>
      <c r="P291" s="900"/>
    </row>
    <row r="292" spans="3:16" ht="14.25">
      <c r="C292" s="900"/>
      <c r="D292" s="900"/>
      <c r="E292" s="900"/>
      <c r="F292" s="900"/>
      <c r="G292" s="900"/>
      <c r="H292" s="900"/>
      <c r="I292" s="900"/>
      <c r="J292" s="900"/>
      <c r="K292" s="900"/>
      <c r="L292" s="900"/>
      <c r="M292" s="900"/>
      <c r="N292" s="900"/>
      <c r="O292" s="900"/>
      <c r="P292" s="900"/>
    </row>
    <row r="293" spans="3:16" ht="14.25">
      <c r="C293" s="900"/>
      <c r="D293" s="900"/>
      <c r="E293" s="900"/>
      <c r="F293" s="900"/>
      <c r="G293" s="900"/>
      <c r="H293" s="900"/>
      <c r="I293" s="900"/>
      <c r="J293" s="900"/>
      <c r="K293" s="900"/>
      <c r="L293" s="900"/>
      <c r="M293" s="900"/>
      <c r="N293" s="900"/>
      <c r="O293" s="900"/>
      <c r="P293" s="900"/>
    </row>
    <row r="294" spans="3:16" ht="14.25">
      <c r="C294" s="900"/>
      <c r="D294" s="900"/>
      <c r="E294" s="900"/>
      <c r="F294" s="900"/>
      <c r="G294" s="900"/>
      <c r="H294" s="900"/>
      <c r="I294" s="900"/>
      <c r="J294" s="900"/>
      <c r="K294" s="900"/>
      <c r="L294" s="900"/>
      <c r="M294" s="900"/>
      <c r="N294" s="900"/>
      <c r="O294" s="900"/>
      <c r="P294" s="900"/>
    </row>
    <row r="295" spans="3:16" ht="14.25">
      <c r="C295" s="900"/>
      <c r="D295" s="900"/>
      <c r="E295" s="900"/>
      <c r="F295" s="900"/>
      <c r="G295" s="900"/>
      <c r="H295" s="900"/>
      <c r="I295" s="900"/>
      <c r="J295" s="900"/>
      <c r="K295" s="900"/>
      <c r="L295" s="900"/>
      <c r="M295" s="900"/>
      <c r="N295" s="900"/>
      <c r="O295" s="900"/>
      <c r="P295" s="900"/>
    </row>
    <row r="296" spans="3:16" ht="14.25">
      <c r="C296" s="900"/>
      <c r="D296" s="900"/>
      <c r="E296" s="900"/>
      <c r="F296" s="900"/>
      <c r="G296" s="900"/>
      <c r="H296" s="900"/>
      <c r="I296" s="900"/>
      <c r="J296" s="900"/>
      <c r="K296" s="900"/>
      <c r="L296" s="900"/>
      <c r="M296" s="900"/>
      <c r="N296" s="900"/>
      <c r="O296" s="900"/>
      <c r="P296" s="900"/>
    </row>
    <row r="297" spans="3:16" ht="14.25">
      <c r="C297" s="900"/>
      <c r="D297" s="900"/>
      <c r="E297" s="900"/>
      <c r="F297" s="900"/>
      <c r="G297" s="900"/>
      <c r="H297" s="900"/>
      <c r="I297" s="900"/>
      <c r="J297" s="900"/>
      <c r="K297" s="900"/>
      <c r="L297" s="900"/>
      <c r="M297" s="900"/>
      <c r="N297" s="900"/>
      <c r="O297" s="900"/>
      <c r="P297" s="900"/>
    </row>
    <row r="298" spans="3:16" ht="14.25">
      <c r="C298" s="900"/>
      <c r="D298" s="900"/>
      <c r="E298" s="900"/>
      <c r="F298" s="900"/>
      <c r="G298" s="900"/>
      <c r="H298" s="900"/>
      <c r="I298" s="900"/>
      <c r="J298" s="900"/>
      <c r="K298" s="900"/>
      <c r="L298" s="900"/>
      <c r="M298" s="900"/>
      <c r="N298" s="900"/>
      <c r="O298" s="900"/>
      <c r="P298" s="900"/>
    </row>
    <row r="299" spans="3:16" ht="14.25">
      <c r="C299" s="900"/>
      <c r="D299" s="900"/>
      <c r="E299" s="900"/>
      <c r="F299" s="900"/>
      <c r="G299" s="900"/>
      <c r="H299" s="900"/>
      <c r="I299" s="900"/>
      <c r="J299" s="900"/>
      <c r="K299" s="900"/>
      <c r="L299" s="900"/>
      <c r="M299" s="900"/>
      <c r="N299" s="900"/>
      <c r="O299" s="900"/>
      <c r="P299" s="900"/>
    </row>
    <row r="300" spans="3:16" ht="14.25">
      <c r="C300" s="900"/>
      <c r="D300" s="900"/>
      <c r="E300" s="900"/>
      <c r="F300" s="900"/>
      <c r="G300" s="900"/>
      <c r="H300" s="900"/>
      <c r="I300" s="900"/>
      <c r="J300" s="900"/>
      <c r="K300" s="900"/>
      <c r="L300" s="900"/>
      <c r="M300" s="900"/>
      <c r="N300" s="900"/>
      <c r="O300" s="900"/>
      <c r="P300" s="900"/>
    </row>
    <row r="301" spans="3:16" ht="14.25">
      <c r="C301" s="900"/>
      <c r="D301" s="900"/>
      <c r="E301" s="900"/>
      <c r="F301" s="900"/>
      <c r="G301" s="900"/>
      <c r="H301" s="900"/>
      <c r="I301" s="900"/>
      <c r="J301" s="900"/>
      <c r="K301" s="900"/>
      <c r="L301" s="900"/>
      <c r="M301" s="900"/>
      <c r="N301" s="900"/>
      <c r="O301" s="900"/>
      <c r="P301" s="900"/>
    </row>
    <row r="302" spans="3:16" ht="14.25">
      <c r="C302" s="900"/>
      <c r="D302" s="900"/>
      <c r="E302" s="900"/>
      <c r="F302" s="900"/>
      <c r="G302" s="900"/>
      <c r="H302" s="900"/>
      <c r="I302" s="900"/>
      <c r="J302" s="900"/>
      <c r="K302" s="900"/>
      <c r="L302" s="900"/>
      <c r="M302" s="900"/>
      <c r="N302" s="900"/>
      <c r="O302" s="900"/>
      <c r="P302" s="900"/>
    </row>
    <row r="303" spans="3:16" ht="14.25">
      <c r="C303" s="900"/>
      <c r="D303" s="900"/>
      <c r="E303" s="900"/>
      <c r="F303" s="900"/>
      <c r="G303" s="900"/>
      <c r="H303" s="900"/>
      <c r="I303" s="900"/>
      <c r="J303" s="900"/>
      <c r="K303" s="900"/>
      <c r="L303" s="900"/>
      <c r="M303" s="900"/>
      <c r="N303" s="900"/>
      <c r="O303" s="900"/>
      <c r="P303" s="900"/>
    </row>
    <row r="304" spans="3:16" ht="14.25">
      <c r="C304" s="900"/>
      <c r="D304" s="900"/>
      <c r="E304" s="900"/>
      <c r="F304" s="900"/>
      <c r="G304" s="900"/>
      <c r="H304" s="900"/>
      <c r="I304" s="900"/>
      <c r="J304" s="900"/>
      <c r="K304" s="900"/>
      <c r="L304" s="900"/>
      <c r="M304" s="900"/>
      <c r="N304" s="900"/>
      <c r="O304" s="900"/>
      <c r="P304" s="900"/>
    </row>
    <row r="305" spans="3:16" ht="14.25">
      <c r="C305" s="900"/>
      <c r="D305" s="900"/>
      <c r="E305" s="900"/>
      <c r="F305" s="900"/>
      <c r="G305" s="900"/>
      <c r="H305" s="900"/>
      <c r="I305" s="900"/>
      <c r="J305" s="900"/>
      <c r="K305" s="900"/>
      <c r="L305" s="900"/>
      <c r="M305" s="900"/>
      <c r="N305" s="900"/>
      <c r="O305" s="900"/>
      <c r="P305" s="900"/>
    </row>
    <row r="306" spans="3:16" ht="14.25">
      <c r="C306" s="900"/>
      <c r="D306" s="900"/>
      <c r="E306" s="900"/>
      <c r="F306" s="900"/>
      <c r="G306" s="900"/>
      <c r="H306" s="900"/>
      <c r="I306" s="900"/>
      <c r="J306" s="900"/>
      <c r="K306" s="900"/>
      <c r="L306" s="900"/>
      <c r="M306" s="900"/>
      <c r="N306" s="900"/>
      <c r="O306" s="900"/>
      <c r="P306" s="900"/>
    </row>
    <row r="307" spans="3:16" ht="14.25">
      <c r="C307" s="900"/>
      <c r="D307" s="900"/>
      <c r="E307" s="900"/>
      <c r="F307" s="900"/>
      <c r="G307" s="900"/>
      <c r="H307" s="900"/>
      <c r="I307" s="900"/>
      <c r="J307" s="900"/>
      <c r="K307" s="900"/>
      <c r="L307" s="900"/>
      <c r="M307" s="900"/>
      <c r="N307" s="900"/>
      <c r="O307" s="900"/>
      <c r="P307" s="900"/>
    </row>
    <row r="308" spans="3:16" ht="14.25">
      <c r="C308" s="900"/>
      <c r="D308" s="900"/>
      <c r="E308" s="900"/>
      <c r="F308" s="900"/>
      <c r="G308" s="900"/>
      <c r="H308" s="900"/>
      <c r="I308" s="900"/>
      <c r="J308" s="900"/>
      <c r="K308" s="900"/>
      <c r="L308" s="900"/>
      <c r="M308" s="900"/>
      <c r="N308" s="900"/>
      <c r="O308" s="900"/>
      <c r="P308" s="900"/>
    </row>
    <row r="309" spans="3:16" ht="14.25">
      <c r="C309" s="900"/>
      <c r="D309" s="900"/>
      <c r="E309" s="900"/>
      <c r="F309" s="900"/>
      <c r="G309" s="900"/>
      <c r="H309" s="900"/>
      <c r="I309" s="900"/>
      <c r="J309" s="900"/>
      <c r="K309" s="900"/>
      <c r="L309" s="900"/>
      <c r="M309" s="900"/>
      <c r="N309" s="900"/>
      <c r="O309" s="900"/>
      <c r="P309" s="900"/>
    </row>
    <row r="310" spans="3:16" ht="14.25">
      <c r="C310" s="900"/>
      <c r="D310" s="900"/>
      <c r="E310" s="900"/>
      <c r="F310" s="900"/>
      <c r="G310" s="900"/>
      <c r="H310" s="900"/>
      <c r="I310" s="900"/>
      <c r="J310" s="900"/>
      <c r="K310" s="900"/>
      <c r="L310" s="900"/>
      <c r="M310" s="900"/>
      <c r="N310" s="900"/>
      <c r="O310" s="900"/>
      <c r="P310" s="900"/>
    </row>
    <row r="311" spans="3:16" ht="14.25">
      <c r="C311" s="900"/>
      <c r="D311" s="900"/>
      <c r="E311" s="900"/>
      <c r="F311" s="900"/>
      <c r="G311" s="900"/>
      <c r="H311" s="900"/>
      <c r="I311" s="900"/>
      <c r="J311" s="900"/>
      <c r="K311" s="900"/>
      <c r="L311" s="900"/>
      <c r="M311" s="900"/>
      <c r="N311" s="900"/>
      <c r="O311" s="900"/>
      <c r="P311" s="900"/>
    </row>
    <row r="312" spans="3:16" ht="14.25">
      <c r="C312" s="900"/>
      <c r="D312" s="900"/>
      <c r="E312" s="900"/>
      <c r="F312" s="900"/>
      <c r="G312" s="900"/>
      <c r="H312" s="900"/>
      <c r="I312" s="900"/>
      <c r="J312" s="900"/>
      <c r="K312" s="900"/>
      <c r="L312" s="900"/>
      <c r="M312" s="900"/>
      <c r="N312" s="900"/>
      <c r="O312" s="900"/>
      <c r="P312" s="900"/>
    </row>
    <row r="313" spans="3:16" ht="14.25">
      <c r="C313" s="900"/>
      <c r="D313" s="900"/>
      <c r="E313" s="900"/>
      <c r="F313" s="900"/>
      <c r="G313" s="900"/>
      <c r="H313" s="900"/>
      <c r="I313" s="900"/>
      <c r="J313" s="900"/>
      <c r="K313" s="900"/>
      <c r="L313" s="900"/>
      <c r="M313" s="900"/>
      <c r="N313" s="900"/>
      <c r="O313" s="900"/>
      <c r="P313" s="900"/>
    </row>
    <row r="314" spans="3:16" ht="14.25">
      <c r="C314" s="900"/>
      <c r="D314" s="900"/>
      <c r="E314" s="900"/>
      <c r="F314" s="900"/>
      <c r="G314" s="900"/>
      <c r="H314" s="900"/>
      <c r="I314" s="900"/>
      <c r="J314" s="900"/>
      <c r="K314" s="900"/>
      <c r="L314" s="900"/>
      <c r="M314" s="900"/>
      <c r="N314" s="900"/>
      <c r="O314" s="900"/>
      <c r="P314" s="900"/>
    </row>
    <row r="315" spans="3:16" ht="14.25">
      <c r="C315" s="900"/>
      <c r="D315" s="900"/>
      <c r="E315" s="900"/>
      <c r="F315" s="900"/>
      <c r="G315" s="900"/>
      <c r="H315" s="900"/>
      <c r="I315" s="900"/>
      <c r="J315" s="900"/>
      <c r="K315" s="900"/>
      <c r="L315" s="900"/>
      <c r="M315" s="900"/>
      <c r="N315" s="900"/>
      <c r="O315" s="900"/>
      <c r="P315" s="900"/>
    </row>
    <row r="316" spans="3:16" ht="14.25">
      <c r="C316" s="900"/>
      <c r="D316" s="900"/>
      <c r="E316" s="900"/>
      <c r="F316" s="900"/>
      <c r="G316" s="900"/>
      <c r="H316" s="900"/>
      <c r="I316" s="900"/>
      <c r="J316" s="900"/>
      <c r="K316" s="900"/>
      <c r="L316" s="900"/>
      <c r="M316" s="900"/>
      <c r="N316" s="900"/>
      <c r="O316" s="900"/>
      <c r="P316" s="900"/>
    </row>
    <row r="317" spans="3:16" ht="14.25">
      <c r="C317" s="900"/>
      <c r="D317" s="900"/>
      <c r="E317" s="900"/>
      <c r="F317" s="900"/>
      <c r="G317" s="900"/>
      <c r="H317" s="900"/>
      <c r="I317" s="900"/>
      <c r="J317" s="900"/>
      <c r="K317" s="900"/>
      <c r="L317" s="900"/>
      <c r="M317" s="900"/>
      <c r="N317" s="900"/>
      <c r="O317" s="900"/>
      <c r="P317" s="900"/>
    </row>
    <row r="318" spans="3:16" ht="14.25">
      <c r="C318" s="900"/>
      <c r="D318" s="900"/>
      <c r="E318" s="900"/>
      <c r="F318" s="900"/>
      <c r="G318" s="900"/>
      <c r="H318" s="900"/>
      <c r="I318" s="900"/>
      <c r="J318" s="900"/>
      <c r="K318" s="900"/>
      <c r="L318" s="900"/>
      <c r="M318" s="900"/>
      <c r="N318" s="900"/>
      <c r="O318" s="900"/>
      <c r="P318" s="900"/>
    </row>
    <row r="319" spans="3:16" ht="14.25">
      <c r="C319" s="900"/>
      <c r="D319" s="900"/>
      <c r="E319" s="900"/>
      <c r="F319" s="900"/>
      <c r="G319" s="900"/>
      <c r="H319" s="900"/>
      <c r="I319" s="900"/>
      <c r="J319" s="900"/>
      <c r="K319" s="900"/>
      <c r="L319" s="900"/>
      <c r="M319" s="900"/>
      <c r="N319" s="900"/>
      <c r="O319" s="900"/>
      <c r="P319" s="900"/>
    </row>
    <row r="320" spans="3:16" ht="14.25">
      <c r="C320" s="900"/>
      <c r="D320" s="900"/>
      <c r="E320" s="900"/>
      <c r="F320" s="900"/>
      <c r="G320" s="900"/>
      <c r="H320" s="900"/>
      <c r="I320" s="900"/>
      <c r="J320" s="900"/>
      <c r="K320" s="900"/>
      <c r="L320" s="900"/>
      <c r="M320" s="900"/>
      <c r="N320" s="900"/>
      <c r="O320" s="900"/>
      <c r="P320" s="900"/>
    </row>
    <row r="321" spans="3:16" ht="14.25">
      <c r="C321" s="900"/>
      <c r="D321" s="900"/>
      <c r="E321" s="900"/>
      <c r="F321" s="900"/>
      <c r="G321" s="900"/>
      <c r="H321" s="900"/>
      <c r="I321" s="900"/>
      <c r="J321" s="900"/>
      <c r="K321" s="900"/>
      <c r="L321" s="900"/>
      <c r="M321" s="900"/>
      <c r="N321" s="900"/>
      <c r="O321" s="900"/>
      <c r="P321" s="900"/>
    </row>
    <row r="322" spans="3:16" ht="14.25">
      <c r="C322" s="900"/>
      <c r="D322" s="900"/>
      <c r="E322" s="900"/>
      <c r="F322" s="900"/>
      <c r="G322" s="900"/>
      <c r="H322" s="900"/>
      <c r="I322" s="900"/>
      <c r="J322" s="900"/>
      <c r="K322" s="900"/>
      <c r="L322" s="900"/>
      <c r="M322" s="900"/>
      <c r="N322" s="900"/>
      <c r="O322" s="900"/>
      <c r="P322" s="900"/>
    </row>
    <row r="323" spans="3:16" ht="14.25">
      <c r="C323" s="900"/>
      <c r="D323" s="900"/>
      <c r="E323" s="900"/>
      <c r="F323" s="900"/>
      <c r="G323" s="900"/>
      <c r="H323" s="900"/>
      <c r="I323" s="900"/>
      <c r="J323" s="900"/>
      <c r="K323" s="900"/>
      <c r="L323" s="900"/>
      <c r="M323" s="900"/>
      <c r="N323" s="900"/>
      <c r="O323" s="900"/>
      <c r="P323" s="900"/>
    </row>
    <row r="324" spans="3:16" ht="14.25">
      <c r="C324" s="900"/>
      <c r="D324" s="900"/>
      <c r="E324" s="900"/>
      <c r="F324" s="900"/>
      <c r="G324" s="900"/>
      <c r="H324" s="900"/>
      <c r="I324" s="900"/>
      <c r="J324" s="900"/>
      <c r="K324" s="900"/>
      <c r="L324" s="900"/>
      <c r="M324" s="900"/>
      <c r="N324" s="900"/>
      <c r="O324" s="900"/>
      <c r="P324" s="900"/>
    </row>
    <row r="325" spans="3:16" ht="14.25">
      <c r="C325" s="900"/>
      <c r="D325" s="900"/>
      <c r="E325" s="900"/>
      <c r="F325" s="900"/>
      <c r="G325" s="900"/>
      <c r="H325" s="900"/>
      <c r="I325" s="900"/>
      <c r="J325" s="900"/>
      <c r="K325" s="900"/>
      <c r="L325" s="900"/>
      <c r="M325" s="900"/>
      <c r="N325" s="900"/>
      <c r="O325" s="900"/>
      <c r="P325" s="900"/>
    </row>
    <row r="326" spans="3:16" ht="14.25">
      <c r="C326" s="900"/>
      <c r="D326" s="900"/>
      <c r="E326" s="900"/>
      <c r="F326" s="900"/>
      <c r="G326" s="900"/>
      <c r="H326" s="900"/>
      <c r="I326" s="900"/>
      <c r="J326" s="900"/>
      <c r="K326" s="900"/>
      <c r="L326" s="900"/>
      <c r="M326" s="900"/>
      <c r="N326" s="900"/>
      <c r="O326" s="900"/>
      <c r="P326" s="900"/>
    </row>
    <row r="327" spans="3:16" ht="14.25">
      <c r="C327" s="900"/>
      <c r="D327" s="900"/>
      <c r="E327" s="900"/>
      <c r="F327" s="900"/>
      <c r="G327" s="900"/>
      <c r="H327" s="900"/>
      <c r="I327" s="900"/>
      <c r="J327" s="900"/>
      <c r="K327" s="900"/>
      <c r="L327" s="900"/>
      <c r="M327" s="900"/>
      <c r="N327" s="900"/>
      <c r="O327" s="900"/>
      <c r="P327" s="900"/>
    </row>
    <row r="328" spans="3:16" ht="14.25">
      <c r="C328" s="900"/>
      <c r="D328" s="900"/>
      <c r="E328" s="900"/>
      <c r="F328" s="900"/>
      <c r="G328" s="900"/>
      <c r="H328" s="900"/>
      <c r="I328" s="900"/>
      <c r="J328" s="900"/>
      <c r="K328" s="900"/>
      <c r="L328" s="900"/>
      <c r="M328" s="900"/>
      <c r="N328" s="900"/>
      <c r="O328" s="900"/>
      <c r="P328" s="900"/>
    </row>
    <row r="329" spans="3:16" ht="14.25">
      <c r="C329" s="900"/>
      <c r="D329" s="900"/>
      <c r="E329" s="900"/>
      <c r="F329" s="900"/>
      <c r="G329" s="900"/>
      <c r="H329" s="900"/>
      <c r="I329" s="900"/>
      <c r="J329" s="900"/>
      <c r="K329" s="900"/>
      <c r="L329" s="900"/>
      <c r="M329" s="900"/>
      <c r="N329" s="900"/>
      <c r="O329" s="900"/>
      <c r="P329" s="900"/>
    </row>
    <row r="330" spans="3:16" ht="14.25">
      <c r="C330" s="900"/>
      <c r="D330" s="900"/>
      <c r="E330" s="900"/>
      <c r="F330" s="900"/>
      <c r="G330" s="900"/>
      <c r="H330" s="900"/>
      <c r="I330" s="900"/>
      <c r="J330" s="900"/>
      <c r="K330" s="900"/>
      <c r="L330" s="900"/>
      <c r="M330" s="900"/>
      <c r="N330" s="900"/>
      <c r="O330" s="900"/>
      <c r="P330" s="900"/>
    </row>
    <row r="331" spans="3:16" ht="14.25">
      <c r="C331" s="900"/>
      <c r="D331" s="900"/>
      <c r="E331" s="900"/>
      <c r="F331" s="900"/>
      <c r="G331" s="900"/>
      <c r="H331" s="900"/>
      <c r="I331" s="900"/>
      <c r="J331" s="900"/>
      <c r="K331" s="900"/>
      <c r="L331" s="900"/>
      <c r="M331" s="900"/>
      <c r="N331" s="900"/>
      <c r="O331" s="900"/>
      <c r="P331" s="900"/>
    </row>
    <row r="332" spans="3:16" ht="14.25">
      <c r="C332" s="900"/>
      <c r="D332" s="900"/>
      <c r="E332" s="900"/>
      <c r="F332" s="900"/>
      <c r="G332" s="900"/>
      <c r="H332" s="900"/>
      <c r="I332" s="900"/>
      <c r="J332" s="900"/>
      <c r="K332" s="900"/>
      <c r="L332" s="900"/>
      <c r="M332" s="900"/>
      <c r="N332" s="900"/>
      <c r="O332" s="900"/>
      <c r="P332" s="900"/>
    </row>
    <row r="333" spans="3:16" ht="14.25">
      <c r="C333" s="900"/>
      <c r="D333" s="900"/>
      <c r="E333" s="900"/>
      <c r="F333" s="900"/>
      <c r="G333" s="900"/>
      <c r="H333" s="900"/>
      <c r="I333" s="900"/>
      <c r="J333" s="900"/>
      <c r="K333" s="900"/>
      <c r="L333" s="900"/>
      <c r="M333" s="900"/>
      <c r="N333" s="900"/>
      <c r="O333" s="900"/>
      <c r="P333" s="900"/>
    </row>
    <row r="334" spans="3:16" ht="14.25">
      <c r="C334" s="900"/>
      <c r="D334" s="900"/>
      <c r="E334" s="900"/>
      <c r="F334" s="900"/>
      <c r="G334" s="900"/>
      <c r="H334" s="900"/>
      <c r="I334" s="900"/>
      <c r="J334" s="900"/>
      <c r="K334" s="900"/>
      <c r="L334" s="900"/>
      <c r="M334" s="900"/>
      <c r="N334" s="900"/>
      <c r="O334" s="900"/>
      <c r="P334" s="900"/>
    </row>
    <row r="335" spans="3:16" ht="14.25">
      <c r="C335" s="900"/>
      <c r="D335" s="900"/>
      <c r="E335" s="900"/>
      <c r="F335" s="900"/>
      <c r="G335" s="900"/>
      <c r="H335" s="900"/>
      <c r="I335" s="900"/>
      <c r="J335" s="900"/>
      <c r="K335" s="900"/>
      <c r="L335" s="900"/>
      <c r="M335" s="900"/>
      <c r="N335" s="900"/>
      <c r="O335" s="900"/>
      <c r="P335" s="900"/>
    </row>
    <row r="336" spans="3:16" ht="14.25">
      <c r="C336" s="900"/>
      <c r="D336" s="900"/>
      <c r="E336" s="900"/>
      <c r="F336" s="900"/>
      <c r="G336" s="900"/>
      <c r="H336" s="900"/>
      <c r="I336" s="900"/>
      <c r="J336" s="900"/>
      <c r="K336" s="900"/>
      <c r="L336" s="900"/>
      <c r="M336" s="900"/>
      <c r="N336" s="900"/>
      <c r="O336" s="900"/>
      <c r="P336" s="900"/>
    </row>
    <row r="337" spans="3:16" ht="14.25">
      <c r="C337" s="900"/>
      <c r="D337" s="900"/>
      <c r="E337" s="900"/>
      <c r="F337" s="900"/>
      <c r="G337" s="900"/>
      <c r="H337" s="900"/>
      <c r="I337" s="900"/>
      <c r="J337" s="900"/>
      <c r="K337" s="900"/>
      <c r="L337" s="900"/>
      <c r="M337" s="900"/>
      <c r="N337" s="900"/>
      <c r="O337" s="900"/>
      <c r="P337" s="900"/>
    </row>
    <row r="338" spans="3:16" ht="14.25">
      <c r="C338" s="900"/>
      <c r="D338" s="900"/>
      <c r="E338" s="900"/>
      <c r="F338" s="900"/>
      <c r="G338" s="900"/>
      <c r="H338" s="900"/>
      <c r="I338" s="900"/>
      <c r="J338" s="900"/>
      <c r="K338" s="900"/>
      <c r="L338" s="900"/>
      <c r="M338" s="900"/>
      <c r="N338" s="900"/>
      <c r="O338" s="900"/>
      <c r="P338" s="900"/>
    </row>
    <row r="339" spans="3:16" ht="14.25">
      <c r="C339" s="900"/>
      <c r="D339" s="900"/>
      <c r="E339" s="900"/>
      <c r="F339" s="900"/>
      <c r="G339" s="900"/>
      <c r="H339" s="900"/>
      <c r="I339" s="900"/>
      <c r="J339" s="900"/>
      <c r="K339" s="900"/>
      <c r="L339" s="900"/>
      <c r="M339" s="900"/>
      <c r="N339" s="900"/>
      <c r="O339" s="900"/>
      <c r="P339" s="900"/>
    </row>
    <row r="340" spans="3:16" ht="14.25">
      <c r="C340" s="900"/>
      <c r="D340" s="900"/>
      <c r="E340" s="900"/>
      <c r="F340" s="900"/>
      <c r="G340" s="900"/>
      <c r="H340" s="900"/>
      <c r="I340" s="900"/>
      <c r="J340" s="900"/>
      <c r="K340" s="900"/>
      <c r="L340" s="900"/>
      <c r="M340" s="900"/>
      <c r="N340" s="900"/>
      <c r="O340" s="900"/>
      <c r="P340" s="900"/>
    </row>
    <row r="341" spans="3:16" ht="14.25">
      <c r="C341" s="900"/>
      <c r="D341" s="900"/>
      <c r="E341" s="900"/>
      <c r="F341" s="900"/>
      <c r="G341" s="900"/>
      <c r="H341" s="900"/>
      <c r="I341" s="900"/>
      <c r="J341" s="900"/>
      <c r="K341" s="900"/>
      <c r="L341" s="900"/>
      <c r="M341" s="900"/>
      <c r="N341" s="900"/>
      <c r="O341" s="900"/>
      <c r="P341" s="900"/>
    </row>
    <row r="342" spans="3:16" ht="14.25">
      <c r="C342" s="900"/>
      <c r="D342" s="900"/>
      <c r="E342" s="900"/>
      <c r="F342" s="900"/>
      <c r="G342" s="900"/>
      <c r="H342" s="900"/>
      <c r="I342" s="900"/>
      <c r="J342" s="900"/>
      <c r="K342" s="900"/>
      <c r="L342" s="900"/>
      <c r="M342" s="900"/>
      <c r="N342" s="900"/>
      <c r="O342" s="900"/>
      <c r="P342" s="900"/>
    </row>
    <row r="343" spans="3:16" ht="14.25">
      <c r="C343" s="900"/>
      <c r="D343" s="900"/>
      <c r="E343" s="900"/>
      <c r="F343" s="900"/>
      <c r="G343" s="900"/>
      <c r="H343" s="900"/>
      <c r="I343" s="900"/>
      <c r="J343" s="900"/>
      <c r="K343" s="900"/>
      <c r="L343" s="900"/>
      <c r="M343" s="900"/>
      <c r="N343" s="900"/>
      <c r="O343" s="900"/>
      <c r="P343" s="900"/>
    </row>
    <row r="344" spans="3:16" ht="14.25">
      <c r="C344" s="900"/>
      <c r="D344" s="900"/>
      <c r="E344" s="900"/>
      <c r="F344" s="900"/>
      <c r="G344" s="900"/>
      <c r="H344" s="900"/>
      <c r="I344" s="900"/>
      <c r="J344" s="900"/>
      <c r="K344" s="900"/>
      <c r="L344" s="900"/>
      <c r="M344" s="900"/>
      <c r="N344" s="900"/>
      <c r="O344" s="900"/>
      <c r="P344" s="900"/>
    </row>
    <row r="345" spans="3:16" ht="14.25">
      <c r="C345" s="900"/>
      <c r="D345" s="900"/>
      <c r="E345" s="900"/>
      <c r="F345" s="900"/>
      <c r="G345" s="900"/>
      <c r="H345" s="900"/>
      <c r="I345" s="900"/>
      <c r="J345" s="900"/>
      <c r="K345" s="900"/>
      <c r="L345" s="900"/>
      <c r="M345" s="900"/>
      <c r="N345" s="900"/>
      <c r="O345" s="900"/>
      <c r="P345" s="900"/>
    </row>
    <row r="346" spans="3:16" ht="14.25">
      <c r="C346" s="900"/>
      <c r="D346" s="900"/>
      <c r="E346" s="900"/>
      <c r="F346" s="900"/>
      <c r="G346" s="900"/>
      <c r="H346" s="900"/>
      <c r="I346" s="900"/>
      <c r="J346" s="900"/>
      <c r="K346" s="900"/>
      <c r="L346" s="900"/>
      <c r="M346" s="900"/>
      <c r="N346" s="900"/>
      <c r="O346" s="900"/>
      <c r="P346" s="900"/>
    </row>
    <row r="347" spans="3:16" ht="14.25">
      <c r="C347" s="900"/>
      <c r="D347" s="900"/>
      <c r="E347" s="900"/>
      <c r="F347" s="900"/>
      <c r="G347" s="900"/>
      <c r="H347" s="900"/>
      <c r="I347" s="900"/>
      <c r="J347" s="900"/>
      <c r="K347" s="900"/>
      <c r="L347" s="900"/>
      <c r="M347" s="900"/>
      <c r="N347" s="900"/>
      <c r="O347" s="900"/>
      <c r="P347" s="900"/>
    </row>
    <row r="348" spans="3:16" ht="14.25">
      <c r="C348" s="900"/>
      <c r="D348" s="900"/>
      <c r="E348" s="900"/>
      <c r="F348" s="900"/>
      <c r="G348" s="900"/>
      <c r="H348" s="900"/>
      <c r="I348" s="900"/>
      <c r="J348" s="900"/>
      <c r="K348" s="900"/>
      <c r="L348" s="900"/>
      <c r="M348" s="900"/>
      <c r="N348" s="900"/>
      <c r="O348" s="900"/>
      <c r="P348" s="900"/>
    </row>
    <row r="349" spans="3:16" ht="14.25">
      <c r="C349" s="900"/>
      <c r="D349" s="900"/>
      <c r="E349" s="900"/>
      <c r="F349" s="900"/>
      <c r="G349" s="900"/>
      <c r="H349" s="900"/>
      <c r="I349" s="900"/>
      <c r="J349" s="900"/>
      <c r="K349" s="900"/>
      <c r="L349" s="900"/>
      <c r="M349" s="900"/>
      <c r="N349" s="900"/>
      <c r="O349" s="900"/>
      <c r="P349" s="900"/>
    </row>
    <row r="350" spans="3:16" ht="14.25">
      <c r="C350" s="900"/>
      <c r="D350" s="900"/>
      <c r="E350" s="900"/>
      <c r="F350" s="900"/>
      <c r="G350" s="900"/>
      <c r="H350" s="900"/>
      <c r="I350" s="900"/>
      <c r="J350" s="900"/>
      <c r="K350" s="900"/>
      <c r="L350" s="900"/>
      <c r="M350" s="900"/>
      <c r="N350" s="900"/>
      <c r="O350" s="900"/>
      <c r="P350" s="900"/>
    </row>
    <row r="351" spans="3:16" ht="14.25">
      <c r="C351" s="900"/>
      <c r="D351" s="900"/>
      <c r="E351" s="900"/>
      <c r="F351" s="900"/>
      <c r="G351" s="900"/>
      <c r="H351" s="900"/>
      <c r="I351" s="900"/>
      <c r="J351" s="900"/>
      <c r="K351" s="900"/>
      <c r="L351" s="900"/>
      <c r="M351" s="900"/>
      <c r="N351" s="900"/>
      <c r="O351" s="900"/>
      <c r="P351" s="900"/>
    </row>
    <row r="352" spans="3:16" ht="14.25">
      <c r="C352" s="900"/>
      <c r="D352" s="900"/>
      <c r="E352" s="900"/>
      <c r="F352" s="900"/>
      <c r="G352" s="900"/>
      <c r="H352" s="900"/>
      <c r="I352" s="900"/>
      <c r="J352" s="900"/>
      <c r="K352" s="900"/>
      <c r="L352" s="900"/>
      <c r="M352" s="900"/>
      <c r="N352" s="900"/>
      <c r="O352" s="900"/>
      <c r="P352" s="900"/>
    </row>
    <row r="353" spans="3:16" ht="14.25">
      <c r="C353" s="900"/>
      <c r="D353" s="900"/>
      <c r="E353" s="900"/>
      <c r="F353" s="900"/>
      <c r="G353" s="900"/>
      <c r="H353" s="900"/>
      <c r="I353" s="900"/>
      <c r="J353" s="900"/>
      <c r="K353" s="900"/>
      <c r="L353" s="900"/>
      <c r="M353" s="900"/>
      <c r="N353" s="900"/>
      <c r="O353" s="900"/>
      <c r="P353" s="900"/>
    </row>
    <row r="354" spans="3:16" ht="14.25">
      <c r="C354" s="900"/>
      <c r="D354" s="900"/>
      <c r="E354" s="900"/>
      <c r="F354" s="900"/>
      <c r="G354" s="900"/>
      <c r="H354" s="900"/>
      <c r="I354" s="900"/>
      <c r="J354" s="900"/>
      <c r="K354" s="900"/>
      <c r="L354" s="900"/>
      <c r="M354" s="900"/>
      <c r="N354" s="900"/>
      <c r="O354" s="900"/>
      <c r="P354" s="900"/>
    </row>
    <row r="355" spans="3:16" ht="14.25">
      <c r="C355" s="900"/>
      <c r="D355" s="900"/>
      <c r="E355" s="900"/>
      <c r="F355" s="900"/>
      <c r="G355" s="900"/>
      <c r="H355" s="900"/>
      <c r="I355" s="900"/>
      <c r="J355" s="900"/>
      <c r="K355" s="900"/>
      <c r="L355" s="900"/>
      <c r="M355" s="900"/>
      <c r="N355" s="900"/>
      <c r="O355" s="900"/>
      <c r="P355" s="900"/>
    </row>
    <row r="356" spans="3:16" ht="14.25">
      <c r="C356" s="900"/>
      <c r="D356" s="900"/>
      <c r="E356" s="900"/>
      <c r="F356" s="900"/>
      <c r="G356" s="900"/>
      <c r="H356" s="900"/>
      <c r="I356" s="900"/>
      <c r="J356" s="900"/>
      <c r="K356" s="900"/>
      <c r="L356" s="900"/>
      <c r="M356" s="900"/>
      <c r="N356" s="900"/>
      <c r="O356" s="900"/>
      <c r="P356" s="900"/>
    </row>
    <row r="357" spans="3:16" ht="14.25">
      <c r="C357" s="900"/>
      <c r="D357" s="900"/>
      <c r="E357" s="900"/>
      <c r="F357" s="900"/>
      <c r="G357" s="900"/>
      <c r="H357" s="900"/>
      <c r="I357" s="900"/>
      <c r="J357" s="900"/>
      <c r="K357" s="900"/>
      <c r="L357" s="900"/>
      <c r="M357" s="900"/>
      <c r="N357" s="900"/>
      <c r="O357" s="900"/>
      <c r="P357" s="900"/>
    </row>
    <row r="358" spans="3:16" ht="14.25">
      <c r="C358" s="900"/>
      <c r="D358" s="900"/>
      <c r="E358" s="900"/>
      <c r="F358" s="900"/>
      <c r="G358" s="900"/>
      <c r="H358" s="900"/>
      <c r="I358" s="900"/>
      <c r="J358" s="900"/>
      <c r="K358" s="900"/>
      <c r="L358" s="900"/>
      <c r="M358" s="900"/>
      <c r="N358" s="900"/>
      <c r="O358" s="900"/>
      <c r="P358" s="900"/>
    </row>
    <row r="359" spans="3:16" ht="14.25">
      <c r="C359" s="900"/>
      <c r="D359" s="900"/>
      <c r="E359" s="900"/>
      <c r="F359" s="900"/>
      <c r="G359" s="900"/>
      <c r="H359" s="900"/>
      <c r="I359" s="900"/>
      <c r="J359" s="900"/>
      <c r="K359" s="900"/>
      <c r="L359" s="900"/>
      <c r="M359" s="900"/>
      <c r="N359" s="900"/>
      <c r="O359" s="900"/>
      <c r="P359" s="900"/>
    </row>
    <row r="360" spans="3:16" ht="14.25">
      <c r="C360" s="900"/>
      <c r="D360" s="900"/>
      <c r="E360" s="900"/>
      <c r="F360" s="900"/>
      <c r="G360" s="900"/>
      <c r="H360" s="900"/>
      <c r="I360" s="900"/>
      <c r="J360" s="900"/>
      <c r="K360" s="900"/>
      <c r="L360" s="900"/>
      <c r="M360" s="900"/>
      <c r="N360" s="900"/>
      <c r="O360" s="900"/>
      <c r="P360" s="900"/>
    </row>
    <row r="361" spans="3:16" ht="14.25">
      <c r="C361" s="900"/>
      <c r="D361" s="900"/>
      <c r="E361" s="900"/>
      <c r="F361" s="900"/>
      <c r="G361" s="900"/>
      <c r="H361" s="900"/>
      <c r="I361" s="900"/>
      <c r="J361" s="900"/>
      <c r="K361" s="900"/>
      <c r="L361" s="900"/>
      <c r="M361" s="900"/>
      <c r="N361" s="900"/>
      <c r="O361" s="900"/>
      <c r="P361" s="900"/>
    </row>
    <row r="362" spans="3:16" ht="14.25">
      <c r="C362" s="900"/>
      <c r="D362" s="900"/>
      <c r="E362" s="900"/>
      <c r="F362" s="900"/>
      <c r="G362" s="900"/>
      <c r="H362" s="900"/>
      <c r="I362" s="900"/>
      <c r="J362" s="900"/>
      <c r="K362" s="900"/>
      <c r="L362" s="900"/>
      <c r="M362" s="900"/>
      <c r="N362" s="900"/>
      <c r="O362" s="900"/>
      <c r="P362" s="900"/>
    </row>
    <row r="363" spans="3:16" ht="14.25">
      <c r="C363" s="900"/>
      <c r="D363" s="900"/>
      <c r="E363" s="900"/>
      <c r="F363" s="900"/>
      <c r="G363" s="900"/>
      <c r="H363" s="900"/>
      <c r="I363" s="900"/>
      <c r="J363" s="900"/>
      <c r="K363" s="900"/>
      <c r="L363" s="900"/>
      <c r="M363" s="900"/>
      <c r="N363" s="900"/>
      <c r="O363" s="900"/>
      <c r="P363" s="900"/>
    </row>
    <row r="364" spans="3:16" ht="14.25">
      <c r="C364" s="900"/>
      <c r="D364" s="900"/>
      <c r="E364" s="900"/>
      <c r="F364" s="900"/>
      <c r="G364" s="900"/>
      <c r="H364" s="900"/>
      <c r="I364" s="900"/>
      <c r="J364" s="900"/>
      <c r="K364" s="900"/>
      <c r="L364" s="900"/>
      <c r="M364" s="900"/>
      <c r="N364" s="900"/>
      <c r="O364" s="900"/>
      <c r="P364" s="900"/>
    </row>
    <row r="365" spans="3:16" ht="14.25">
      <c r="C365" s="900"/>
      <c r="D365" s="900"/>
      <c r="E365" s="900"/>
      <c r="F365" s="900"/>
      <c r="G365" s="900"/>
      <c r="H365" s="900"/>
      <c r="I365" s="900"/>
      <c r="J365" s="900"/>
      <c r="K365" s="900"/>
      <c r="L365" s="900"/>
      <c r="M365" s="900"/>
      <c r="N365" s="900"/>
      <c r="O365" s="900"/>
      <c r="P365" s="900"/>
    </row>
    <row r="366" spans="3:16" ht="14.25">
      <c r="C366" s="900"/>
      <c r="D366" s="900"/>
      <c r="E366" s="900"/>
      <c r="F366" s="900"/>
      <c r="G366" s="900"/>
      <c r="H366" s="900"/>
      <c r="I366" s="900"/>
      <c r="J366" s="900"/>
      <c r="K366" s="900"/>
      <c r="L366" s="900"/>
      <c r="M366" s="900"/>
      <c r="N366" s="900"/>
      <c r="O366" s="900"/>
      <c r="P366" s="900"/>
    </row>
    <row r="367" spans="3:16" ht="14.25">
      <c r="C367" s="900"/>
      <c r="D367" s="900"/>
      <c r="E367" s="900"/>
      <c r="F367" s="900"/>
      <c r="G367" s="900"/>
      <c r="H367" s="900"/>
      <c r="I367" s="900"/>
      <c r="J367" s="900"/>
      <c r="K367" s="900"/>
      <c r="L367" s="900"/>
      <c r="M367" s="900"/>
      <c r="N367" s="900"/>
      <c r="O367" s="900"/>
      <c r="P367" s="900"/>
    </row>
    <row r="368" spans="3:16" ht="14.25">
      <c r="C368" s="900"/>
      <c r="D368" s="900"/>
      <c r="E368" s="900"/>
      <c r="F368" s="900"/>
      <c r="G368" s="900"/>
      <c r="H368" s="900"/>
      <c r="I368" s="900"/>
      <c r="J368" s="900"/>
      <c r="K368" s="900"/>
      <c r="L368" s="900"/>
      <c r="M368" s="900"/>
      <c r="N368" s="900"/>
      <c r="O368" s="900"/>
      <c r="P368" s="900"/>
    </row>
    <row r="369" spans="3:16" ht="14.25">
      <c r="C369" s="900"/>
      <c r="D369" s="900"/>
      <c r="E369" s="900"/>
      <c r="F369" s="900"/>
      <c r="G369" s="900"/>
      <c r="H369" s="900"/>
      <c r="I369" s="900"/>
      <c r="J369" s="900"/>
      <c r="K369" s="900"/>
      <c r="L369" s="900"/>
      <c r="M369" s="900"/>
      <c r="N369" s="900"/>
      <c r="O369" s="900"/>
      <c r="P369" s="900"/>
    </row>
    <row r="370" spans="3:16" ht="14.25">
      <c r="C370" s="900"/>
      <c r="D370" s="900"/>
      <c r="E370" s="900"/>
      <c r="F370" s="900"/>
      <c r="G370" s="900"/>
      <c r="H370" s="900"/>
      <c r="I370" s="900"/>
      <c r="J370" s="900"/>
      <c r="K370" s="900"/>
      <c r="L370" s="900"/>
      <c r="M370" s="900"/>
      <c r="N370" s="900"/>
      <c r="O370" s="900"/>
      <c r="P370" s="900"/>
    </row>
    <row r="371" spans="3:16" ht="14.25">
      <c r="C371" s="900"/>
      <c r="D371" s="900"/>
      <c r="E371" s="900"/>
      <c r="F371" s="900"/>
      <c r="G371" s="900"/>
      <c r="H371" s="900"/>
      <c r="I371" s="900"/>
      <c r="J371" s="900"/>
      <c r="K371" s="900"/>
      <c r="L371" s="900"/>
      <c r="M371" s="900"/>
      <c r="N371" s="900"/>
      <c r="O371" s="900"/>
      <c r="P371" s="900"/>
    </row>
    <row r="372" spans="3:16" ht="14.25">
      <c r="C372" s="900"/>
      <c r="D372" s="900"/>
      <c r="E372" s="900"/>
      <c r="F372" s="900"/>
      <c r="G372" s="900"/>
      <c r="H372" s="900"/>
      <c r="I372" s="900"/>
      <c r="J372" s="900"/>
      <c r="K372" s="900"/>
      <c r="L372" s="900"/>
      <c r="M372" s="900"/>
      <c r="N372" s="900"/>
      <c r="O372" s="900"/>
      <c r="P372" s="900"/>
    </row>
    <row r="373" spans="3:16" ht="14.25">
      <c r="C373" s="900"/>
      <c r="D373" s="900"/>
      <c r="E373" s="900"/>
      <c r="F373" s="900"/>
      <c r="G373" s="900"/>
      <c r="H373" s="900"/>
      <c r="I373" s="900"/>
      <c r="J373" s="900"/>
      <c r="K373" s="900"/>
      <c r="L373" s="900"/>
      <c r="M373" s="900"/>
      <c r="N373" s="900"/>
      <c r="O373" s="900"/>
      <c r="P373" s="900"/>
    </row>
    <row r="374" spans="3:16" ht="14.25">
      <c r="C374" s="900"/>
      <c r="D374" s="900"/>
      <c r="E374" s="900"/>
      <c r="F374" s="900"/>
      <c r="G374" s="900"/>
      <c r="H374" s="900"/>
      <c r="I374" s="900"/>
      <c r="J374" s="900"/>
      <c r="K374" s="900"/>
      <c r="L374" s="900"/>
      <c r="M374" s="900"/>
      <c r="N374" s="900"/>
      <c r="O374" s="900"/>
      <c r="P374" s="900"/>
    </row>
    <row r="375" spans="3:16" ht="14.25">
      <c r="C375" s="900"/>
      <c r="D375" s="900"/>
      <c r="E375" s="900"/>
      <c r="F375" s="900"/>
      <c r="G375" s="900"/>
      <c r="H375" s="900"/>
      <c r="I375" s="900"/>
      <c r="J375" s="900"/>
      <c r="K375" s="900"/>
      <c r="L375" s="900"/>
      <c r="M375" s="900"/>
      <c r="N375" s="900"/>
      <c r="O375" s="900"/>
      <c r="P375" s="900"/>
    </row>
    <row r="376" spans="3:16" ht="14.25">
      <c r="C376" s="900"/>
      <c r="D376" s="900"/>
      <c r="E376" s="900"/>
      <c r="F376" s="900"/>
      <c r="G376" s="900"/>
      <c r="H376" s="900"/>
      <c r="I376" s="900"/>
      <c r="J376" s="900"/>
      <c r="K376" s="900"/>
      <c r="L376" s="900"/>
      <c r="M376" s="900"/>
      <c r="N376" s="900"/>
      <c r="O376" s="900"/>
      <c r="P376" s="900"/>
    </row>
    <row r="377" spans="3:16" ht="14.25">
      <c r="C377" s="900"/>
      <c r="D377" s="900"/>
      <c r="E377" s="900"/>
      <c r="F377" s="900"/>
      <c r="G377" s="900"/>
      <c r="H377" s="900"/>
      <c r="I377" s="900"/>
      <c r="J377" s="900"/>
      <c r="K377" s="900"/>
      <c r="L377" s="900"/>
      <c r="M377" s="900"/>
      <c r="N377" s="900"/>
      <c r="O377" s="900"/>
      <c r="P377" s="900"/>
    </row>
    <row r="378" spans="3:16" ht="14.25">
      <c r="C378" s="900"/>
      <c r="D378" s="900"/>
      <c r="E378" s="900"/>
      <c r="F378" s="900"/>
      <c r="G378" s="900"/>
      <c r="H378" s="900"/>
      <c r="I378" s="900"/>
      <c r="J378" s="900"/>
      <c r="K378" s="900"/>
      <c r="L378" s="900"/>
      <c r="M378" s="900"/>
      <c r="N378" s="900"/>
      <c r="O378" s="900"/>
      <c r="P378" s="900"/>
    </row>
    <row r="379" spans="3:16" ht="14.25">
      <c r="C379" s="900"/>
      <c r="D379" s="900"/>
      <c r="E379" s="900"/>
      <c r="F379" s="900"/>
      <c r="G379" s="900"/>
      <c r="H379" s="900"/>
      <c r="I379" s="900"/>
      <c r="J379" s="900"/>
      <c r="K379" s="900"/>
      <c r="L379" s="900"/>
      <c r="M379" s="900"/>
      <c r="N379" s="900"/>
      <c r="O379" s="900"/>
      <c r="P379" s="900"/>
    </row>
    <row r="380" spans="3:16" ht="14.25">
      <c r="C380" s="900"/>
      <c r="D380" s="900"/>
      <c r="E380" s="900"/>
      <c r="F380" s="900"/>
      <c r="G380" s="900"/>
      <c r="H380" s="900"/>
      <c r="I380" s="900"/>
      <c r="J380" s="900"/>
      <c r="K380" s="900"/>
      <c r="L380" s="900"/>
      <c r="M380" s="900"/>
      <c r="N380" s="900"/>
      <c r="O380" s="900"/>
      <c r="P380" s="900"/>
    </row>
    <row r="381" spans="3:16" ht="14.25">
      <c r="C381" s="900"/>
      <c r="D381" s="900"/>
      <c r="E381" s="900"/>
      <c r="F381" s="900"/>
      <c r="G381" s="900"/>
      <c r="H381" s="900"/>
      <c r="I381" s="900"/>
      <c r="J381" s="900"/>
      <c r="K381" s="900"/>
      <c r="L381" s="900"/>
      <c r="M381" s="900"/>
      <c r="N381" s="900"/>
      <c r="O381" s="900"/>
      <c r="P381" s="900"/>
    </row>
    <row r="382" spans="3:16" ht="14.25">
      <c r="C382" s="900"/>
      <c r="D382" s="900"/>
      <c r="E382" s="900"/>
      <c r="F382" s="900"/>
      <c r="G382" s="900"/>
      <c r="H382" s="900"/>
      <c r="I382" s="900"/>
      <c r="J382" s="900"/>
      <c r="K382" s="900"/>
      <c r="L382" s="900"/>
      <c r="M382" s="900"/>
      <c r="N382" s="900"/>
      <c r="O382" s="900"/>
      <c r="P382" s="900"/>
    </row>
    <row r="383" spans="3:16" ht="14.25">
      <c r="C383" s="900"/>
      <c r="D383" s="900"/>
      <c r="E383" s="900"/>
      <c r="F383" s="900"/>
      <c r="G383" s="900"/>
      <c r="H383" s="900"/>
      <c r="I383" s="900"/>
      <c r="J383" s="900"/>
      <c r="K383" s="900"/>
      <c r="L383" s="900"/>
      <c r="M383" s="900"/>
      <c r="N383" s="900"/>
      <c r="O383" s="900"/>
      <c r="P383" s="900"/>
    </row>
    <row r="384" spans="3:16" ht="14.25">
      <c r="C384" s="900"/>
      <c r="D384" s="900"/>
      <c r="E384" s="900"/>
      <c r="F384" s="900"/>
      <c r="G384" s="900"/>
      <c r="H384" s="900"/>
      <c r="I384" s="900"/>
      <c r="J384" s="900"/>
      <c r="K384" s="900"/>
      <c r="L384" s="900"/>
      <c r="M384" s="900"/>
      <c r="N384" s="900"/>
      <c r="O384" s="900"/>
      <c r="P384" s="900"/>
    </row>
    <row r="385" spans="3:16" ht="14.25">
      <c r="C385" s="900"/>
      <c r="D385" s="900"/>
      <c r="E385" s="900"/>
      <c r="F385" s="900"/>
      <c r="G385" s="900"/>
      <c r="H385" s="900"/>
      <c r="I385" s="900"/>
      <c r="J385" s="900"/>
      <c r="K385" s="900"/>
      <c r="L385" s="900"/>
      <c r="M385" s="900"/>
      <c r="N385" s="900"/>
      <c r="O385" s="900"/>
      <c r="P385" s="900"/>
    </row>
    <row r="386" spans="3:16" ht="14.25">
      <c r="C386" s="900"/>
      <c r="D386" s="900"/>
      <c r="E386" s="900"/>
      <c r="F386" s="900"/>
      <c r="G386" s="900"/>
      <c r="H386" s="900"/>
      <c r="I386" s="900"/>
      <c r="J386" s="900"/>
      <c r="K386" s="900"/>
      <c r="L386" s="900"/>
      <c r="M386" s="900"/>
      <c r="N386" s="900"/>
      <c r="O386" s="900"/>
      <c r="P386" s="900"/>
    </row>
    <row r="387" spans="3:16" ht="14.25">
      <c r="C387" s="900"/>
      <c r="D387" s="900"/>
      <c r="E387" s="900"/>
      <c r="F387" s="900"/>
      <c r="G387" s="900"/>
      <c r="H387" s="900"/>
      <c r="I387" s="900"/>
      <c r="J387" s="900"/>
      <c r="K387" s="900"/>
      <c r="L387" s="900"/>
      <c r="M387" s="900"/>
      <c r="N387" s="900"/>
      <c r="O387" s="900"/>
      <c r="P387" s="900"/>
    </row>
    <row r="388" spans="3:16" ht="14.25">
      <c r="C388" s="900"/>
      <c r="D388" s="900"/>
      <c r="E388" s="900"/>
      <c r="F388" s="900"/>
      <c r="G388" s="900"/>
      <c r="H388" s="900"/>
      <c r="I388" s="900"/>
      <c r="J388" s="900"/>
      <c r="K388" s="900"/>
      <c r="L388" s="900"/>
      <c r="M388" s="900"/>
      <c r="N388" s="900"/>
      <c r="O388" s="900"/>
      <c r="P388" s="900"/>
    </row>
    <row r="389" spans="3:16" ht="14.25">
      <c r="C389" s="900"/>
      <c r="D389" s="900"/>
      <c r="E389" s="900"/>
      <c r="F389" s="900"/>
      <c r="G389" s="900"/>
      <c r="H389" s="900"/>
      <c r="I389" s="900"/>
      <c r="J389" s="900"/>
      <c r="K389" s="900"/>
      <c r="L389" s="900"/>
      <c r="M389" s="900"/>
      <c r="N389" s="900"/>
      <c r="O389" s="900"/>
      <c r="P389" s="900"/>
    </row>
    <row r="390" spans="3:16" ht="14.25">
      <c r="C390" s="900"/>
      <c r="D390" s="900"/>
      <c r="E390" s="900"/>
      <c r="F390" s="900"/>
      <c r="G390" s="900"/>
      <c r="H390" s="900"/>
      <c r="I390" s="900"/>
      <c r="J390" s="900"/>
      <c r="K390" s="900"/>
      <c r="L390" s="900"/>
      <c r="M390" s="900"/>
      <c r="N390" s="900"/>
      <c r="O390" s="900"/>
      <c r="P390" s="900"/>
    </row>
    <row r="391" spans="3:16" ht="14.25">
      <c r="C391" s="900"/>
      <c r="D391" s="900"/>
      <c r="E391" s="900"/>
      <c r="F391" s="900"/>
      <c r="G391" s="900"/>
      <c r="H391" s="900"/>
      <c r="I391" s="900"/>
      <c r="J391" s="900"/>
      <c r="K391" s="900"/>
      <c r="L391" s="900"/>
      <c r="M391" s="900"/>
      <c r="N391" s="900"/>
      <c r="O391" s="900"/>
      <c r="P391" s="900"/>
    </row>
    <row r="392" spans="3:16" ht="14.25">
      <c r="C392" s="900"/>
      <c r="D392" s="900"/>
      <c r="E392" s="900"/>
      <c r="F392" s="900"/>
      <c r="G392" s="900"/>
      <c r="H392" s="900"/>
      <c r="I392" s="900"/>
      <c r="J392" s="900"/>
      <c r="K392" s="900"/>
      <c r="L392" s="900"/>
      <c r="M392" s="900"/>
      <c r="N392" s="900"/>
      <c r="O392" s="900"/>
      <c r="P392" s="900"/>
    </row>
    <row r="393" spans="3:16" ht="14.25">
      <c r="C393" s="900"/>
      <c r="D393" s="900"/>
      <c r="E393" s="900"/>
      <c r="F393" s="900"/>
      <c r="G393" s="900"/>
      <c r="H393" s="900"/>
      <c r="I393" s="900"/>
      <c r="J393" s="900"/>
      <c r="K393" s="900"/>
      <c r="L393" s="900"/>
      <c r="M393" s="900"/>
      <c r="N393" s="900"/>
      <c r="O393" s="900"/>
      <c r="P393" s="900"/>
    </row>
    <row r="394" spans="3:16" ht="14.25">
      <c r="C394" s="900"/>
      <c r="D394" s="900"/>
      <c r="E394" s="900"/>
      <c r="F394" s="900"/>
      <c r="G394" s="900"/>
      <c r="H394" s="900"/>
      <c r="I394" s="900"/>
      <c r="J394" s="900"/>
      <c r="K394" s="900"/>
      <c r="L394" s="900"/>
      <c r="M394" s="900"/>
      <c r="N394" s="900"/>
      <c r="O394" s="900"/>
      <c r="P394" s="900"/>
    </row>
    <row r="395" spans="3:16" ht="14.25">
      <c r="C395" s="900"/>
      <c r="D395" s="900"/>
      <c r="E395" s="900"/>
      <c r="F395" s="900"/>
      <c r="G395" s="900"/>
      <c r="H395" s="900"/>
      <c r="I395" s="900"/>
      <c r="J395" s="900"/>
      <c r="K395" s="900"/>
      <c r="L395" s="900"/>
      <c r="M395" s="900"/>
      <c r="N395" s="900"/>
      <c r="O395" s="900"/>
      <c r="P395" s="900"/>
    </row>
    <row r="396" spans="3:16" ht="14.25">
      <c r="C396" s="900"/>
      <c r="D396" s="900"/>
      <c r="E396" s="900"/>
      <c r="F396" s="900"/>
      <c r="G396" s="900"/>
      <c r="H396" s="900"/>
      <c r="I396" s="900"/>
      <c r="J396" s="900"/>
      <c r="K396" s="900"/>
      <c r="L396" s="900"/>
      <c r="M396" s="900"/>
      <c r="N396" s="900"/>
      <c r="O396" s="900"/>
      <c r="P396" s="900"/>
    </row>
    <row r="397" spans="3:16" ht="14.25">
      <c r="C397" s="900"/>
      <c r="D397" s="900"/>
      <c r="E397" s="900"/>
      <c r="F397" s="900"/>
      <c r="G397" s="900"/>
      <c r="H397" s="900"/>
      <c r="I397" s="900"/>
      <c r="J397" s="900"/>
      <c r="K397" s="900"/>
      <c r="L397" s="900"/>
      <c r="M397" s="900"/>
      <c r="N397" s="900"/>
      <c r="O397" s="900"/>
      <c r="P397" s="900"/>
    </row>
    <row r="398" spans="3:16" ht="14.25">
      <c r="C398" s="900"/>
      <c r="D398" s="900"/>
      <c r="E398" s="900"/>
      <c r="F398" s="900"/>
      <c r="G398" s="900"/>
      <c r="H398" s="900"/>
      <c r="I398" s="900"/>
      <c r="J398" s="900"/>
      <c r="K398" s="900"/>
      <c r="L398" s="900"/>
      <c r="M398" s="900"/>
      <c r="N398" s="900"/>
      <c r="O398" s="900"/>
      <c r="P398" s="900"/>
    </row>
    <row r="399" spans="3:16" ht="14.25">
      <c r="C399" s="900"/>
      <c r="D399" s="900"/>
      <c r="E399" s="900"/>
      <c r="F399" s="900"/>
      <c r="G399" s="900"/>
      <c r="H399" s="900"/>
      <c r="I399" s="900"/>
      <c r="J399" s="900"/>
      <c r="K399" s="900"/>
      <c r="L399" s="900"/>
      <c r="M399" s="900"/>
      <c r="N399" s="900"/>
      <c r="O399" s="900"/>
      <c r="P399" s="900"/>
    </row>
    <row r="400" spans="3:16" ht="14.25">
      <c r="C400" s="900"/>
      <c r="D400" s="900"/>
      <c r="E400" s="900"/>
      <c r="F400" s="900"/>
      <c r="G400" s="900"/>
      <c r="H400" s="900"/>
      <c r="I400" s="900"/>
      <c r="J400" s="900"/>
      <c r="K400" s="900"/>
      <c r="L400" s="900"/>
      <c r="M400" s="900"/>
      <c r="N400" s="900"/>
      <c r="O400" s="900"/>
      <c r="P400" s="900"/>
    </row>
    <row r="401" spans="3:16" ht="14.25">
      <c r="C401" s="900"/>
      <c r="D401" s="900"/>
      <c r="E401" s="900"/>
      <c r="F401" s="900"/>
      <c r="G401" s="900"/>
      <c r="H401" s="900"/>
      <c r="I401" s="900"/>
      <c r="J401" s="900"/>
      <c r="K401" s="900"/>
      <c r="L401" s="900"/>
      <c r="M401" s="900"/>
      <c r="N401" s="900"/>
      <c r="O401" s="900"/>
      <c r="P401" s="900"/>
    </row>
    <row r="402" spans="3:16" ht="14.25">
      <c r="C402" s="900"/>
      <c r="D402" s="900"/>
      <c r="E402" s="900"/>
      <c r="F402" s="900"/>
      <c r="G402" s="900"/>
      <c r="H402" s="900"/>
      <c r="I402" s="900"/>
      <c r="J402" s="900"/>
      <c r="K402" s="900"/>
      <c r="L402" s="900"/>
      <c r="M402" s="900"/>
      <c r="N402" s="900"/>
      <c r="O402" s="900"/>
      <c r="P402" s="900"/>
    </row>
    <row r="403" spans="3:16" ht="14.25">
      <c r="C403" s="900"/>
      <c r="D403" s="900"/>
      <c r="E403" s="900"/>
      <c r="F403" s="900"/>
      <c r="G403" s="900"/>
      <c r="H403" s="900"/>
      <c r="I403" s="900"/>
      <c r="J403" s="900"/>
      <c r="K403" s="900"/>
      <c r="L403" s="900"/>
      <c r="M403" s="900"/>
      <c r="N403" s="900"/>
      <c r="O403" s="900"/>
      <c r="P403" s="900"/>
    </row>
    <row r="404" spans="3:16" ht="14.25">
      <c r="C404" s="900"/>
      <c r="D404" s="900"/>
      <c r="E404" s="900"/>
      <c r="F404" s="900"/>
      <c r="G404" s="900"/>
      <c r="H404" s="900"/>
      <c r="I404" s="900"/>
      <c r="J404" s="900"/>
      <c r="K404" s="900"/>
      <c r="L404" s="900"/>
      <c r="M404" s="900"/>
      <c r="N404" s="900"/>
      <c r="O404" s="900"/>
      <c r="P404" s="900"/>
    </row>
    <row r="405" spans="3:16" ht="14.25">
      <c r="C405" s="900"/>
      <c r="D405" s="900"/>
      <c r="E405" s="900"/>
      <c r="F405" s="900"/>
      <c r="G405" s="900"/>
      <c r="H405" s="900"/>
      <c r="I405" s="900"/>
      <c r="J405" s="900"/>
      <c r="K405" s="900"/>
      <c r="L405" s="900"/>
      <c r="M405" s="900"/>
      <c r="N405" s="900"/>
      <c r="O405" s="900"/>
      <c r="P405" s="900"/>
    </row>
    <row r="406" spans="3:16" ht="14.25">
      <c r="C406" s="900"/>
      <c r="D406" s="900"/>
      <c r="E406" s="900"/>
      <c r="F406" s="900"/>
      <c r="G406" s="900"/>
      <c r="H406" s="900"/>
      <c r="I406" s="900"/>
      <c r="J406" s="900"/>
      <c r="K406" s="900"/>
      <c r="L406" s="900"/>
      <c r="M406" s="900"/>
      <c r="N406" s="900"/>
      <c r="O406" s="900"/>
      <c r="P406" s="900"/>
    </row>
    <row r="407" spans="3:16" ht="14.25">
      <c r="C407" s="900"/>
      <c r="D407" s="900"/>
      <c r="E407" s="900"/>
      <c r="F407" s="900"/>
      <c r="G407" s="900"/>
      <c r="H407" s="900"/>
      <c r="I407" s="900"/>
      <c r="J407" s="900"/>
      <c r="K407" s="900"/>
      <c r="L407" s="900"/>
      <c r="M407" s="900"/>
      <c r="N407" s="900"/>
      <c r="O407" s="900"/>
      <c r="P407" s="900"/>
    </row>
    <row r="408" spans="3:16" ht="14.25">
      <c r="C408" s="900"/>
      <c r="D408" s="900"/>
      <c r="E408" s="900"/>
      <c r="F408" s="900"/>
      <c r="G408" s="900"/>
      <c r="H408" s="900"/>
      <c r="I408" s="900"/>
      <c r="J408" s="900"/>
      <c r="K408" s="900"/>
      <c r="L408" s="900"/>
      <c r="M408" s="900"/>
      <c r="N408" s="900"/>
      <c r="O408" s="900"/>
      <c r="P408" s="900"/>
    </row>
    <row r="409" spans="3:16" ht="14.25">
      <c r="C409" s="900"/>
      <c r="D409" s="900"/>
      <c r="E409" s="900"/>
      <c r="F409" s="900"/>
      <c r="G409" s="900"/>
      <c r="H409" s="900"/>
      <c r="I409" s="900"/>
      <c r="J409" s="900"/>
      <c r="K409" s="900"/>
      <c r="L409" s="900"/>
      <c r="M409" s="900"/>
      <c r="N409" s="900"/>
      <c r="O409" s="900"/>
      <c r="P409" s="900"/>
    </row>
    <row r="410" spans="3:16" ht="14.25">
      <c r="C410" s="900"/>
      <c r="D410" s="900"/>
      <c r="E410" s="900"/>
      <c r="F410" s="900"/>
      <c r="G410" s="900"/>
      <c r="H410" s="900"/>
      <c r="I410" s="900"/>
      <c r="J410" s="900"/>
      <c r="K410" s="900"/>
      <c r="L410" s="900"/>
      <c r="M410" s="900"/>
      <c r="N410" s="900"/>
      <c r="O410" s="900"/>
      <c r="P410" s="900"/>
    </row>
    <row r="411" spans="3:16" ht="14.25">
      <c r="C411" s="900"/>
      <c r="D411" s="900"/>
      <c r="E411" s="900"/>
      <c r="F411" s="900"/>
      <c r="G411" s="900"/>
      <c r="H411" s="900"/>
      <c r="I411" s="900"/>
      <c r="J411" s="900"/>
      <c r="K411" s="900"/>
      <c r="L411" s="900"/>
      <c r="M411" s="900"/>
      <c r="N411" s="900"/>
      <c r="O411" s="900"/>
      <c r="P411" s="900"/>
    </row>
    <row r="412" spans="3:16" ht="14.25">
      <c r="C412" s="900"/>
      <c r="D412" s="900"/>
      <c r="E412" s="900"/>
      <c r="F412" s="900"/>
      <c r="G412" s="900"/>
      <c r="H412" s="900"/>
      <c r="I412" s="900"/>
      <c r="J412" s="900"/>
      <c r="K412" s="900"/>
      <c r="L412" s="900"/>
      <c r="M412" s="900"/>
      <c r="N412" s="900"/>
      <c r="O412" s="900"/>
      <c r="P412" s="900"/>
    </row>
    <row r="413" spans="3:16" ht="14.25">
      <c r="C413" s="900"/>
      <c r="D413" s="900"/>
      <c r="E413" s="900"/>
      <c r="F413" s="900"/>
      <c r="G413" s="900"/>
      <c r="H413" s="900"/>
      <c r="I413" s="900"/>
      <c r="J413" s="900"/>
      <c r="K413" s="900"/>
      <c r="L413" s="900"/>
      <c r="M413" s="900"/>
      <c r="N413" s="900"/>
      <c r="O413" s="900"/>
      <c r="P413" s="900"/>
    </row>
    <row r="414" spans="3:16" ht="14.25">
      <c r="C414" s="900"/>
      <c r="D414" s="900"/>
      <c r="E414" s="900"/>
      <c r="F414" s="900"/>
      <c r="G414" s="900"/>
      <c r="H414" s="900"/>
      <c r="I414" s="900"/>
      <c r="J414" s="900"/>
      <c r="K414" s="900"/>
      <c r="L414" s="900"/>
      <c r="M414" s="900"/>
      <c r="N414" s="900"/>
      <c r="O414" s="900"/>
      <c r="P414" s="900"/>
    </row>
    <row r="415" spans="3:16" ht="14.25">
      <c r="C415" s="900"/>
      <c r="D415" s="900"/>
      <c r="E415" s="900"/>
      <c r="F415" s="900"/>
      <c r="G415" s="900"/>
      <c r="H415" s="900"/>
      <c r="I415" s="900"/>
      <c r="J415" s="900"/>
      <c r="K415" s="900"/>
      <c r="L415" s="900"/>
      <c r="M415" s="900"/>
      <c r="N415" s="900"/>
      <c r="O415" s="900"/>
      <c r="P415" s="900"/>
    </row>
    <row r="416" spans="3:16" ht="14.25">
      <c r="C416" s="900"/>
      <c r="D416" s="900"/>
      <c r="E416" s="900"/>
      <c r="F416" s="900"/>
      <c r="G416" s="900"/>
      <c r="H416" s="900"/>
      <c r="I416" s="900"/>
      <c r="J416" s="900"/>
      <c r="K416" s="900"/>
      <c r="L416" s="900"/>
      <c r="M416" s="900"/>
      <c r="N416" s="900"/>
      <c r="O416" s="900"/>
      <c r="P416" s="900"/>
    </row>
    <row r="417" spans="3:16" ht="14.25">
      <c r="C417" s="900"/>
      <c r="D417" s="900"/>
      <c r="E417" s="900"/>
      <c r="F417" s="900"/>
      <c r="G417" s="900"/>
      <c r="H417" s="900"/>
      <c r="I417" s="900"/>
      <c r="J417" s="900"/>
      <c r="K417" s="900"/>
      <c r="L417" s="900"/>
      <c r="M417" s="900"/>
      <c r="N417" s="900"/>
      <c r="O417" s="900"/>
      <c r="P417" s="900"/>
    </row>
    <row r="418" spans="3:16" ht="14.25">
      <c r="C418" s="900"/>
      <c r="D418" s="900"/>
      <c r="E418" s="900"/>
      <c r="F418" s="900"/>
      <c r="G418" s="900"/>
      <c r="H418" s="900"/>
      <c r="I418" s="900"/>
      <c r="J418" s="900"/>
      <c r="K418" s="900"/>
      <c r="L418" s="900"/>
      <c r="M418" s="900"/>
      <c r="N418" s="900"/>
      <c r="O418" s="900"/>
      <c r="P418" s="900"/>
    </row>
    <row r="419" spans="3:16" ht="14.25">
      <c r="C419" s="900"/>
      <c r="D419" s="900"/>
      <c r="E419" s="900"/>
      <c r="F419" s="900"/>
      <c r="G419" s="900"/>
      <c r="H419" s="900"/>
      <c r="I419" s="900"/>
      <c r="J419" s="900"/>
      <c r="K419" s="900"/>
      <c r="L419" s="900"/>
      <c r="M419" s="900"/>
      <c r="N419" s="900"/>
      <c r="O419" s="900"/>
      <c r="P419" s="900"/>
    </row>
    <row r="420" spans="3:16" ht="14.25">
      <c r="C420" s="900"/>
      <c r="D420" s="900"/>
      <c r="E420" s="900"/>
      <c r="F420" s="900"/>
      <c r="G420" s="900"/>
      <c r="H420" s="900"/>
      <c r="I420" s="900"/>
      <c r="J420" s="900"/>
      <c r="K420" s="900"/>
      <c r="L420" s="900"/>
      <c r="M420" s="900"/>
      <c r="N420" s="900"/>
      <c r="O420" s="900"/>
      <c r="P420" s="900"/>
    </row>
    <row r="421" spans="3:16" ht="14.25">
      <c r="C421" s="900"/>
      <c r="D421" s="900"/>
      <c r="E421" s="900"/>
      <c r="F421" s="900"/>
      <c r="G421" s="900"/>
      <c r="H421" s="900"/>
      <c r="I421" s="900"/>
      <c r="J421" s="900"/>
      <c r="K421" s="900"/>
      <c r="L421" s="900"/>
      <c r="M421" s="900"/>
      <c r="N421" s="900"/>
      <c r="O421" s="900"/>
      <c r="P421" s="900"/>
    </row>
    <row r="422" spans="3:16" ht="14.25">
      <c r="C422" s="900"/>
      <c r="D422" s="900"/>
      <c r="E422" s="900"/>
      <c r="F422" s="900"/>
      <c r="G422" s="900"/>
      <c r="H422" s="900"/>
      <c r="I422" s="900"/>
      <c r="J422" s="900"/>
      <c r="K422" s="900"/>
      <c r="L422" s="900"/>
      <c r="M422" s="900"/>
      <c r="N422" s="900"/>
      <c r="O422" s="900"/>
      <c r="P422" s="900"/>
    </row>
    <row r="423" spans="3:16" ht="14.25">
      <c r="C423" s="900"/>
      <c r="D423" s="900"/>
      <c r="E423" s="900"/>
      <c r="F423" s="900"/>
      <c r="G423" s="900"/>
      <c r="H423" s="900"/>
      <c r="I423" s="900"/>
      <c r="J423" s="900"/>
      <c r="K423" s="900"/>
      <c r="L423" s="900"/>
      <c r="M423" s="900"/>
      <c r="N423" s="900"/>
      <c r="O423" s="900"/>
      <c r="P423" s="900"/>
    </row>
    <row r="424" spans="3:16" ht="14.25">
      <c r="C424" s="900"/>
      <c r="D424" s="900"/>
      <c r="E424" s="900"/>
      <c r="F424" s="900"/>
      <c r="G424" s="900"/>
      <c r="H424" s="900"/>
      <c r="I424" s="900"/>
      <c r="J424" s="900"/>
      <c r="K424" s="900"/>
      <c r="L424" s="900"/>
      <c r="M424" s="900"/>
      <c r="N424" s="900"/>
      <c r="O424" s="900"/>
      <c r="P424" s="900"/>
    </row>
    <row r="425" spans="3:16" ht="14.25">
      <c r="C425" s="900"/>
      <c r="D425" s="900"/>
      <c r="E425" s="900"/>
      <c r="F425" s="900"/>
      <c r="G425" s="900"/>
      <c r="H425" s="900"/>
      <c r="I425" s="900"/>
      <c r="J425" s="900"/>
      <c r="K425" s="900"/>
      <c r="L425" s="900"/>
      <c r="M425" s="900"/>
      <c r="N425" s="900"/>
      <c r="O425" s="900"/>
      <c r="P425" s="900"/>
    </row>
    <row r="426" spans="3:16" ht="14.25">
      <c r="C426" s="900"/>
      <c r="D426" s="900"/>
      <c r="E426" s="900"/>
      <c r="F426" s="900"/>
      <c r="G426" s="900"/>
      <c r="H426" s="900"/>
      <c r="I426" s="900"/>
      <c r="J426" s="900"/>
      <c r="K426" s="900"/>
      <c r="L426" s="900"/>
      <c r="M426" s="900"/>
      <c r="N426" s="900"/>
      <c r="O426" s="900"/>
      <c r="P426" s="900"/>
    </row>
    <row r="427" spans="3:16" ht="14.25">
      <c r="C427" s="900"/>
      <c r="D427" s="900"/>
      <c r="E427" s="900"/>
      <c r="F427" s="900"/>
      <c r="G427" s="900"/>
      <c r="H427" s="900"/>
      <c r="I427" s="900"/>
      <c r="J427" s="900"/>
      <c r="K427" s="900"/>
      <c r="L427" s="900"/>
      <c r="M427" s="900"/>
      <c r="N427" s="900"/>
      <c r="O427" s="900"/>
      <c r="P427" s="900"/>
    </row>
    <row r="428" spans="3:16" ht="14.25">
      <c r="C428" s="900"/>
      <c r="D428" s="900"/>
      <c r="E428" s="900"/>
      <c r="F428" s="900"/>
      <c r="G428" s="900"/>
      <c r="H428" s="900"/>
      <c r="I428" s="900"/>
      <c r="J428" s="900"/>
      <c r="K428" s="900"/>
      <c r="L428" s="900"/>
      <c r="M428" s="900"/>
      <c r="N428" s="900"/>
      <c r="O428" s="900"/>
      <c r="P428" s="900"/>
    </row>
    <row r="429" spans="3:16" ht="14.25">
      <c r="C429" s="900"/>
      <c r="D429" s="900"/>
      <c r="E429" s="900"/>
      <c r="F429" s="900"/>
      <c r="G429" s="900"/>
      <c r="H429" s="900"/>
      <c r="I429" s="900"/>
      <c r="J429" s="900"/>
      <c r="K429" s="900"/>
      <c r="L429" s="900"/>
      <c r="M429" s="900"/>
      <c r="N429" s="900"/>
      <c r="O429" s="900"/>
      <c r="P429" s="900"/>
    </row>
    <row r="430" spans="3:16" ht="14.25">
      <c r="C430" s="900"/>
      <c r="D430" s="900"/>
      <c r="E430" s="900"/>
      <c r="F430" s="900"/>
      <c r="G430" s="900"/>
      <c r="H430" s="900"/>
      <c r="I430" s="900"/>
      <c r="J430" s="900"/>
      <c r="K430" s="900"/>
      <c r="L430" s="900"/>
      <c r="M430" s="900"/>
      <c r="N430" s="900"/>
      <c r="O430" s="900"/>
      <c r="P430" s="900"/>
    </row>
    <row r="431" spans="3:16" ht="14.25">
      <c r="C431" s="900"/>
      <c r="D431" s="900"/>
      <c r="E431" s="900"/>
      <c r="F431" s="900"/>
      <c r="G431" s="900"/>
      <c r="H431" s="900"/>
      <c r="I431" s="900"/>
      <c r="J431" s="900"/>
      <c r="K431" s="900"/>
      <c r="L431" s="900"/>
      <c r="M431" s="900"/>
      <c r="N431" s="900"/>
      <c r="O431" s="900"/>
      <c r="P431" s="900"/>
    </row>
    <row r="432" spans="3:16" ht="14.25">
      <c r="C432" s="900"/>
      <c r="D432" s="900"/>
      <c r="E432" s="900"/>
      <c r="F432" s="900"/>
      <c r="G432" s="900"/>
      <c r="H432" s="900"/>
      <c r="I432" s="900"/>
      <c r="J432" s="900"/>
      <c r="K432" s="900"/>
      <c r="L432" s="900"/>
      <c r="M432" s="900"/>
      <c r="N432" s="900"/>
      <c r="O432" s="900"/>
      <c r="P432" s="900"/>
    </row>
    <row r="433" spans="3:16" ht="14.25">
      <c r="C433" s="900"/>
      <c r="D433" s="900"/>
      <c r="E433" s="900"/>
      <c r="F433" s="900"/>
      <c r="G433" s="900"/>
      <c r="H433" s="900"/>
      <c r="I433" s="900"/>
      <c r="J433" s="900"/>
      <c r="K433" s="900"/>
      <c r="L433" s="900"/>
      <c r="M433" s="900"/>
      <c r="N433" s="900"/>
      <c r="O433" s="900"/>
      <c r="P433" s="900"/>
    </row>
    <row r="434" spans="3:16" ht="14.25">
      <c r="C434" s="900"/>
      <c r="D434" s="900"/>
      <c r="E434" s="900"/>
      <c r="F434" s="900"/>
      <c r="G434" s="900"/>
      <c r="H434" s="900"/>
      <c r="I434" s="900"/>
      <c r="J434" s="900"/>
      <c r="K434" s="900"/>
      <c r="L434" s="900"/>
      <c r="M434" s="900"/>
      <c r="N434" s="900"/>
      <c r="O434" s="900"/>
      <c r="P434" s="900"/>
    </row>
    <row r="435" spans="3:16" ht="14.25">
      <c r="C435" s="900"/>
      <c r="D435" s="900"/>
      <c r="E435" s="900"/>
      <c r="F435" s="900"/>
      <c r="G435" s="900"/>
      <c r="H435" s="900"/>
      <c r="I435" s="900"/>
      <c r="J435" s="900"/>
      <c r="K435" s="900"/>
      <c r="L435" s="900"/>
      <c r="M435" s="900"/>
      <c r="N435" s="900"/>
      <c r="O435" s="900"/>
      <c r="P435" s="900"/>
    </row>
    <row r="436" spans="3:16" ht="14.25">
      <c r="C436" s="900"/>
      <c r="D436" s="900"/>
      <c r="E436" s="900"/>
      <c r="F436" s="900"/>
      <c r="G436" s="900"/>
      <c r="H436" s="900"/>
      <c r="I436" s="900"/>
      <c r="J436" s="900"/>
      <c r="K436" s="900"/>
      <c r="L436" s="900"/>
      <c r="M436" s="900"/>
      <c r="N436" s="900"/>
      <c r="O436" s="900"/>
      <c r="P436" s="900"/>
    </row>
    <row r="437" spans="3:16" ht="14.25">
      <c r="C437" s="900"/>
      <c r="D437" s="900"/>
      <c r="E437" s="900"/>
      <c r="F437" s="900"/>
      <c r="G437" s="900"/>
      <c r="H437" s="900"/>
      <c r="I437" s="900"/>
      <c r="J437" s="900"/>
      <c r="K437" s="900"/>
      <c r="L437" s="900"/>
      <c r="M437" s="900"/>
      <c r="N437" s="900"/>
      <c r="O437" s="900"/>
      <c r="P437" s="900"/>
    </row>
    <row r="438" spans="3:16" ht="14.25">
      <c r="C438" s="900"/>
      <c r="D438" s="900"/>
      <c r="E438" s="900"/>
      <c r="F438" s="900"/>
      <c r="G438" s="900"/>
      <c r="H438" s="900"/>
      <c r="I438" s="900"/>
      <c r="J438" s="900"/>
      <c r="K438" s="900"/>
      <c r="L438" s="900"/>
      <c r="M438" s="900"/>
      <c r="N438" s="900"/>
      <c r="O438" s="900"/>
      <c r="P438" s="900"/>
    </row>
    <row r="439" spans="3:16" ht="14.25">
      <c r="C439" s="900"/>
      <c r="D439" s="900"/>
      <c r="E439" s="900"/>
      <c r="F439" s="900"/>
      <c r="G439" s="900"/>
      <c r="H439" s="900"/>
      <c r="I439" s="900"/>
      <c r="J439" s="900"/>
      <c r="K439" s="900"/>
      <c r="L439" s="900"/>
      <c r="M439" s="900"/>
      <c r="N439" s="900"/>
      <c r="O439" s="900"/>
      <c r="P439" s="900"/>
    </row>
    <row r="440" spans="3:16" ht="14.25">
      <c r="C440" s="900"/>
      <c r="D440" s="900"/>
      <c r="E440" s="900"/>
      <c r="F440" s="900"/>
      <c r="G440" s="900"/>
      <c r="H440" s="900"/>
      <c r="I440" s="900"/>
      <c r="J440" s="900"/>
      <c r="K440" s="900"/>
      <c r="L440" s="900"/>
      <c r="M440" s="900"/>
      <c r="N440" s="900"/>
      <c r="O440" s="900"/>
      <c r="P440" s="900"/>
    </row>
    <row r="441" spans="3:16" ht="14.25">
      <c r="C441" s="900"/>
      <c r="D441" s="900"/>
      <c r="E441" s="900"/>
      <c r="F441" s="900"/>
      <c r="G441" s="900"/>
      <c r="H441" s="900"/>
      <c r="I441" s="900"/>
      <c r="J441" s="900"/>
      <c r="K441" s="900"/>
      <c r="L441" s="900"/>
      <c r="M441" s="900"/>
      <c r="N441" s="900"/>
      <c r="O441" s="900"/>
      <c r="P441" s="900"/>
    </row>
    <row r="442" spans="3:16" ht="14.25">
      <c r="C442" s="900"/>
      <c r="D442" s="900"/>
      <c r="E442" s="900"/>
      <c r="F442" s="900"/>
      <c r="G442" s="900"/>
      <c r="H442" s="900"/>
      <c r="I442" s="900"/>
      <c r="J442" s="900"/>
      <c r="K442" s="900"/>
      <c r="L442" s="900"/>
      <c r="M442" s="900"/>
      <c r="N442" s="900"/>
      <c r="O442" s="900"/>
      <c r="P442" s="900"/>
    </row>
    <row r="443" spans="3:16" ht="14.25">
      <c r="C443" s="900"/>
      <c r="D443" s="900"/>
      <c r="E443" s="900"/>
      <c r="F443" s="900"/>
      <c r="G443" s="900"/>
      <c r="H443" s="900"/>
      <c r="I443" s="900"/>
      <c r="J443" s="900"/>
      <c r="K443" s="900"/>
      <c r="L443" s="900"/>
      <c r="M443" s="900"/>
      <c r="N443" s="900"/>
      <c r="O443" s="900"/>
      <c r="P443" s="900"/>
    </row>
    <row r="444" spans="3:16" ht="14.25">
      <c r="C444" s="900"/>
      <c r="D444" s="900"/>
      <c r="E444" s="900"/>
      <c r="F444" s="900"/>
      <c r="G444" s="900"/>
      <c r="H444" s="900"/>
      <c r="I444" s="900"/>
      <c r="J444" s="900"/>
      <c r="K444" s="900"/>
      <c r="L444" s="900"/>
      <c r="M444" s="900"/>
      <c r="N444" s="900"/>
      <c r="O444" s="900"/>
      <c r="P444" s="900"/>
    </row>
    <row r="445" spans="3:16" ht="14.25">
      <c r="C445" s="900"/>
      <c r="D445" s="900"/>
      <c r="E445" s="900"/>
      <c r="F445" s="900"/>
      <c r="G445" s="900"/>
      <c r="H445" s="900"/>
      <c r="I445" s="900"/>
      <c r="J445" s="900"/>
      <c r="K445" s="900"/>
      <c r="L445" s="900"/>
      <c r="M445" s="900"/>
      <c r="N445" s="900"/>
      <c r="O445" s="900"/>
      <c r="P445" s="900"/>
    </row>
    <row r="446" spans="3:16" ht="14.25">
      <c r="C446" s="900"/>
      <c r="D446" s="900"/>
      <c r="E446" s="900"/>
      <c r="F446" s="900"/>
      <c r="G446" s="900"/>
      <c r="H446" s="900"/>
      <c r="I446" s="900"/>
      <c r="J446" s="900"/>
      <c r="K446" s="900"/>
      <c r="L446" s="900"/>
      <c r="M446" s="900"/>
      <c r="N446" s="900"/>
      <c r="O446" s="900"/>
      <c r="P446" s="900"/>
    </row>
    <row r="447" spans="3:16" ht="14.25">
      <c r="C447" s="900"/>
      <c r="D447" s="900"/>
      <c r="E447" s="900"/>
      <c r="F447" s="900"/>
      <c r="G447" s="900"/>
      <c r="H447" s="900"/>
      <c r="I447" s="900"/>
      <c r="J447" s="900"/>
      <c r="K447" s="900"/>
      <c r="L447" s="900"/>
      <c r="M447" s="900"/>
      <c r="N447" s="900"/>
      <c r="O447" s="900"/>
      <c r="P447" s="900"/>
    </row>
    <row r="448" spans="3:16" ht="14.25">
      <c r="C448" s="900"/>
      <c r="D448" s="900"/>
      <c r="E448" s="900"/>
      <c r="F448" s="900"/>
      <c r="G448" s="900"/>
      <c r="H448" s="900"/>
      <c r="I448" s="900"/>
      <c r="J448" s="900"/>
      <c r="K448" s="900"/>
      <c r="L448" s="900"/>
      <c r="M448" s="900"/>
      <c r="N448" s="900"/>
      <c r="O448" s="900"/>
      <c r="P448" s="900"/>
    </row>
    <row r="449" spans="3:16" ht="14.25">
      <c r="C449" s="900"/>
      <c r="D449" s="900"/>
      <c r="E449" s="900"/>
      <c r="F449" s="900"/>
      <c r="G449" s="900"/>
      <c r="H449" s="900"/>
      <c r="I449" s="900"/>
      <c r="J449" s="900"/>
      <c r="K449" s="900"/>
      <c r="L449" s="900"/>
      <c r="M449" s="900"/>
      <c r="N449" s="900"/>
      <c r="O449" s="900"/>
      <c r="P449" s="900"/>
    </row>
    <row r="450" spans="3:16" ht="14.25">
      <c r="C450" s="900"/>
      <c r="D450" s="900"/>
      <c r="E450" s="900"/>
      <c r="F450" s="900"/>
      <c r="G450" s="900"/>
      <c r="H450" s="900"/>
      <c r="I450" s="900"/>
      <c r="J450" s="900"/>
      <c r="K450" s="900"/>
      <c r="L450" s="900"/>
      <c r="M450" s="900"/>
      <c r="N450" s="900"/>
      <c r="O450" s="900"/>
      <c r="P450" s="900"/>
    </row>
    <row r="451" spans="3:16" ht="14.25">
      <c r="C451" s="900"/>
      <c r="D451" s="900"/>
      <c r="E451" s="900"/>
      <c r="F451" s="900"/>
      <c r="G451" s="900"/>
      <c r="H451" s="900"/>
      <c r="I451" s="900"/>
      <c r="J451" s="900"/>
      <c r="K451" s="900"/>
      <c r="L451" s="900"/>
      <c r="M451" s="900"/>
      <c r="N451" s="900"/>
      <c r="O451" s="900"/>
      <c r="P451" s="900"/>
    </row>
    <row r="452" spans="3:16" ht="14.25">
      <c r="C452" s="900"/>
      <c r="D452" s="900"/>
      <c r="E452" s="900"/>
      <c r="F452" s="900"/>
      <c r="G452" s="900"/>
      <c r="H452" s="900"/>
      <c r="I452" s="900"/>
      <c r="J452" s="900"/>
      <c r="K452" s="900"/>
      <c r="L452" s="900"/>
      <c r="M452" s="900"/>
      <c r="N452" s="900"/>
      <c r="O452" s="900"/>
      <c r="P452" s="900"/>
    </row>
    <row r="453" spans="3:16" ht="14.25">
      <c r="C453" s="900"/>
      <c r="D453" s="900"/>
      <c r="E453" s="900"/>
      <c r="F453" s="900"/>
      <c r="G453" s="900"/>
      <c r="H453" s="900"/>
      <c r="I453" s="900"/>
      <c r="J453" s="900"/>
      <c r="K453" s="900"/>
      <c r="L453" s="900"/>
      <c r="M453" s="900"/>
      <c r="N453" s="900"/>
      <c r="O453" s="900"/>
      <c r="P453" s="900"/>
    </row>
    <row r="454" spans="3:16" ht="14.25">
      <c r="C454" s="900"/>
      <c r="D454" s="900"/>
      <c r="E454" s="900"/>
      <c r="F454" s="900"/>
      <c r="G454" s="900"/>
      <c r="H454" s="900"/>
      <c r="I454" s="900"/>
      <c r="J454" s="900"/>
      <c r="K454" s="900"/>
      <c r="L454" s="900"/>
      <c r="M454" s="900"/>
      <c r="N454" s="900"/>
      <c r="O454" s="900"/>
      <c r="P454" s="900"/>
    </row>
    <row r="455" spans="3:16" ht="14.25">
      <c r="C455" s="900"/>
      <c r="D455" s="900"/>
      <c r="E455" s="900"/>
      <c r="F455" s="900"/>
      <c r="G455" s="900"/>
      <c r="H455" s="900"/>
      <c r="I455" s="900"/>
      <c r="J455" s="900"/>
      <c r="K455" s="900"/>
      <c r="L455" s="900"/>
      <c r="M455" s="900"/>
      <c r="N455" s="900"/>
      <c r="O455" s="900"/>
      <c r="P455" s="900"/>
    </row>
    <row r="456" spans="3:16" ht="14.25">
      <c r="C456" s="900"/>
      <c r="D456" s="900"/>
      <c r="E456" s="900"/>
      <c r="F456" s="900"/>
      <c r="G456" s="900"/>
      <c r="H456" s="900"/>
      <c r="I456" s="900"/>
      <c r="J456" s="900"/>
      <c r="K456" s="900"/>
      <c r="L456" s="900"/>
      <c r="M456" s="900"/>
      <c r="N456" s="900"/>
      <c r="O456" s="900"/>
      <c r="P456" s="900"/>
    </row>
    <row r="457" spans="3:16" ht="14.25">
      <c r="C457" s="900"/>
      <c r="D457" s="900"/>
      <c r="E457" s="900"/>
      <c r="F457" s="900"/>
      <c r="G457" s="900"/>
      <c r="H457" s="900"/>
      <c r="I457" s="900"/>
      <c r="J457" s="900"/>
      <c r="K457" s="900"/>
      <c r="L457" s="900"/>
      <c r="M457" s="900"/>
      <c r="N457" s="900"/>
      <c r="O457" s="900"/>
      <c r="P457" s="900"/>
    </row>
    <row r="458" spans="3:16" ht="14.25">
      <c r="C458" s="900"/>
      <c r="D458" s="900"/>
      <c r="E458" s="900"/>
      <c r="F458" s="900"/>
      <c r="G458" s="900"/>
      <c r="H458" s="900"/>
      <c r="I458" s="900"/>
      <c r="J458" s="900"/>
      <c r="K458" s="900"/>
      <c r="L458" s="900"/>
      <c r="M458" s="900"/>
      <c r="N458" s="900"/>
      <c r="O458" s="900"/>
      <c r="P458" s="900"/>
    </row>
    <row r="459" spans="3:16" ht="14.25">
      <c r="C459" s="900"/>
      <c r="D459" s="900"/>
      <c r="E459" s="900"/>
      <c r="F459" s="900"/>
      <c r="G459" s="900"/>
      <c r="H459" s="900"/>
      <c r="I459" s="900"/>
      <c r="J459" s="900"/>
      <c r="K459" s="900"/>
      <c r="L459" s="900"/>
      <c r="M459" s="900"/>
      <c r="N459" s="900"/>
      <c r="O459" s="900"/>
      <c r="P459" s="900"/>
    </row>
    <row r="460" spans="3:16" ht="14.25">
      <c r="C460" s="900"/>
      <c r="D460" s="900"/>
      <c r="E460" s="900"/>
      <c r="F460" s="900"/>
      <c r="G460" s="900"/>
      <c r="H460" s="900"/>
      <c r="I460" s="900"/>
      <c r="J460" s="900"/>
      <c r="K460" s="900"/>
      <c r="L460" s="900"/>
      <c r="M460" s="900"/>
      <c r="N460" s="900"/>
      <c r="O460" s="900"/>
      <c r="P460" s="900"/>
    </row>
    <row r="461" spans="3:16" ht="14.25">
      <c r="C461" s="900"/>
      <c r="D461" s="900"/>
      <c r="E461" s="900"/>
      <c r="F461" s="900"/>
      <c r="G461" s="900"/>
      <c r="H461" s="900"/>
      <c r="I461" s="900"/>
      <c r="J461" s="900"/>
      <c r="K461" s="900"/>
      <c r="L461" s="900"/>
      <c r="M461" s="900"/>
      <c r="N461" s="900"/>
      <c r="O461" s="900"/>
      <c r="P461" s="900"/>
    </row>
    <row r="462" spans="3:16" ht="14.25">
      <c r="C462" s="900"/>
      <c r="D462" s="900"/>
      <c r="E462" s="900"/>
      <c r="F462" s="900"/>
      <c r="G462" s="900"/>
      <c r="H462" s="900"/>
      <c r="I462" s="900"/>
      <c r="J462" s="900"/>
      <c r="K462" s="900"/>
      <c r="L462" s="900"/>
      <c r="M462" s="900"/>
      <c r="N462" s="900"/>
      <c r="O462" s="900"/>
      <c r="P462" s="900"/>
    </row>
    <row r="463" spans="3:16" ht="14.25">
      <c r="C463" s="900"/>
      <c r="D463" s="900"/>
      <c r="E463" s="900"/>
      <c r="F463" s="900"/>
      <c r="G463" s="900"/>
      <c r="H463" s="900"/>
      <c r="I463" s="900"/>
      <c r="J463" s="900"/>
      <c r="K463" s="900"/>
      <c r="L463" s="900"/>
      <c r="M463" s="900"/>
      <c r="N463" s="900"/>
      <c r="O463" s="900"/>
      <c r="P463" s="900"/>
    </row>
    <row r="464" spans="3:16" ht="14.25">
      <c r="C464" s="900"/>
      <c r="D464" s="900"/>
      <c r="E464" s="900"/>
      <c r="F464" s="900"/>
      <c r="G464" s="900"/>
      <c r="H464" s="900"/>
      <c r="I464" s="900"/>
      <c r="J464" s="900"/>
      <c r="K464" s="900"/>
      <c r="L464" s="900"/>
      <c r="M464" s="900"/>
      <c r="N464" s="900"/>
      <c r="O464" s="900"/>
      <c r="P464" s="900"/>
    </row>
    <row r="465" spans="3:16" ht="14.25">
      <c r="C465" s="900"/>
      <c r="D465" s="900"/>
      <c r="E465" s="900"/>
      <c r="F465" s="900"/>
      <c r="G465" s="900"/>
      <c r="H465" s="900"/>
      <c r="I465" s="900"/>
      <c r="J465" s="900"/>
      <c r="K465" s="900"/>
      <c r="L465" s="900"/>
      <c r="M465" s="900"/>
      <c r="N465" s="900"/>
      <c r="O465" s="900"/>
      <c r="P465" s="900"/>
    </row>
    <row r="466" spans="3:16" ht="14.25">
      <c r="C466" s="900"/>
      <c r="D466" s="900"/>
      <c r="E466" s="900"/>
      <c r="F466" s="900"/>
      <c r="G466" s="900"/>
      <c r="H466" s="900"/>
      <c r="I466" s="900"/>
      <c r="J466" s="900"/>
      <c r="K466" s="900"/>
      <c r="L466" s="900"/>
      <c r="M466" s="900"/>
      <c r="N466" s="900"/>
      <c r="O466" s="900"/>
      <c r="P466" s="900"/>
    </row>
    <row r="467" spans="3:16" ht="14.25">
      <c r="C467" s="900"/>
      <c r="D467" s="900"/>
      <c r="E467" s="900"/>
      <c r="F467" s="900"/>
      <c r="G467" s="900"/>
      <c r="H467" s="900"/>
      <c r="I467" s="900"/>
      <c r="J467" s="900"/>
      <c r="K467" s="900"/>
      <c r="L467" s="900"/>
      <c r="M467" s="900"/>
      <c r="N467" s="900"/>
      <c r="O467" s="900"/>
      <c r="P467" s="900"/>
    </row>
    <row r="468" spans="3:16" ht="14.25">
      <c r="C468" s="900"/>
      <c r="D468" s="900"/>
      <c r="E468" s="900"/>
      <c r="F468" s="900"/>
      <c r="G468" s="900"/>
      <c r="H468" s="900"/>
      <c r="I468" s="900"/>
      <c r="J468" s="900"/>
      <c r="K468" s="900"/>
      <c r="L468" s="900"/>
      <c r="M468" s="900"/>
      <c r="N468" s="900"/>
      <c r="O468" s="900"/>
      <c r="P468" s="900"/>
    </row>
    <row r="469" spans="3:16" ht="14.25">
      <c r="C469" s="900"/>
      <c r="D469" s="900"/>
      <c r="E469" s="900"/>
      <c r="F469" s="900"/>
      <c r="G469" s="900"/>
      <c r="H469" s="900"/>
      <c r="I469" s="900"/>
      <c r="J469" s="900"/>
      <c r="K469" s="900"/>
      <c r="L469" s="900"/>
      <c r="M469" s="900"/>
      <c r="N469" s="900"/>
      <c r="O469" s="900"/>
      <c r="P469" s="900"/>
    </row>
    <row r="470" spans="3:16" ht="14.25">
      <c r="C470" s="900"/>
      <c r="D470" s="900"/>
      <c r="E470" s="900"/>
      <c r="F470" s="900"/>
      <c r="G470" s="900"/>
      <c r="H470" s="900"/>
      <c r="I470" s="900"/>
      <c r="J470" s="900"/>
      <c r="K470" s="900"/>
      <c r="L470" s="900"/>
      <c r="M470" s="900"/>
      <c r="N470" s="900"/>
      <c r="O470" s="900"/>
      <c r="P470" s="900"/>
    </row>
    <row r="471" spans="3:16" ht="14.25">
      <c r="C471" s="900"/>
      <c r="D471" s="900"/>
      <c r="E471" s="900"/>
      <c r="F471" s="900"/>
      <c r="G471" s="900"/>
      <c r="H471" s="900"/>
      <c r="I471" s="900"/>
      <c r="J471" s="900"/>
      <c r="K471" s="900"/>
      <c r="L471" s="900"/>
      <c r="M471" s="900"/>
      <c r="N471" s="900"/>
      <c r="O471" s="900"/>
      <c r="P471" s="900"/>
    </row>
    <row r="472" spans="3:16" ht="14.25">
      <c r="C472" s="900"/>
      <c r="D472" s="900"/>
      <c r="E472" s="900"/>
      <c r="F472" s="900"/>
      <c r="G472" s="900"/>
      <c r="H472" s="900"/>
      <c r="I472" s="900"/>
      <c r="J472" s="900"/>
      <c r="K472" s="900"/>
      <c r="L472" s="900"/>
      <c r="M472" s="900"/>
      <c r="N472" s="900"/>
      <c r="O472" s="900"/>
      <c r="P472" s="900"/>
    </row>
    <row r="473" spans="3:16" ht="14.25">
      <c r="C473" s="900"/>
      <c r="D473" s="900"/>
      <c r="E473" s="900"/>
      <c r="F473" s="900"/>
      <c r="G473" s="900"/>
      <c r="H473" s="900"/>
      <c r="I473" s="900"/>
      <c r="J473" s="900"/>
      <c r="K473" s="900"/>
      <c r="L473" s="900"/>
      <c r="M473" s="900"/>
      <c r="N473" s="900"/>
      <c r="O473" s="900"/>
      <c r="P473" s="900"/>
    </row>
    <row r="474" spans="3:16" ht="14.25">
      <c r="C474" s="900"/>
      <c r="D474" s="900"/>
      <c r="E474" s="900"/>
      <c r="F474" s="900"/>
      <c r="G474" s="900"/>
      <c r="H474" s="900"/>
      <c r="I474" s="900"/>
      <c r="J474" s="900"/>
      <c r="K474" s="900"/>
      <c r="L474" s="900"/>
      <c r="M474" s="900"/>
      <c r="N474" s="900"/>
      <c r="O474" s="900"/>
      <c r="P474" s="900"/>
    </row>
    <row r="475" spans="3:16" ht="14.25">
      <c r="C475" s="900"/>
      <c r="D475" s="900"/>
      <c r="E475" s="900"/>
      <c r="F475" s="900"/>
      <c r="G475" s="900"/>
      <c r="H475" s="900"/>
      <c r="I475" s="900"/>
      <c r="J475" s="900"/>
      <c r="K475" s="900"/>
      <c r="L475" s="900"/>
      <c r="M475" s="900"/>
      <c r="N475" s="900"/>
      <c r="O475" s="900"/>
      <c r="P475" s="900"/>
    </row>
    <row r="476" spans="3:16" ht="14.25">
      <c r="C476" s="900"/>
      <c r="D476" s="900"/>
      <c r="E476" s="900"/>
      <c r="F476" s="900"/>
      <c r="G476" s="900"/>
      <c r="H476" s="900"/>
      <c r="I476" s="900"/>
      <c r="J476" s="900"/>
      <c r="K476" s="900"/>
      <c r="L476" s="900"/>
      <c r="M476" s="900"/>
      <c r="N476" s="900"/>
      <c r="O476" s="900"/>
      <c r="P476" s="900"/>
    </row>
    <row r="477" spans="3:16" ht="14.25">
      <c r="C477" s="900"/>
      <c r="D477" s="900"/>
      <c r="E477" s="900"/>
      <c r="F477" s="900"/>
      <c r="G477" s="900"/>
      <c r="H477" s="900"/>
      <c r="I477" s="900"/>
      <c r="J477" s="900"/>
      <c r="K477" s="900"/>
      <c r="L477" s="900"/>
      <c r="M477" s="900"/>
      <c r="N477" s="900"/>
      <c r="O477" s="900"/>
      <c r="P477" s="900"/>
    </row>
    <row r="478" spans="3:16" ht="14.25">
      <c r="C478" s="900"/>
      <c r="D478" s="900"/>
      <c r="E478" s="900"/>
      <c r="F478" s="900"/>
      <c r="G478" s="900"/>
      <c r="H478" s="900"/>
      <c r="I478" s="900"/>
      <c r="J478" s="900"/>
      <c r="K478" s="900"/>
      <c r="L478" s="900"/>
      <c r="M478" s="900"/>
      <c r="N478" s="900"/>
      <c r="O478" s="900"/>
      <c r="P478" s="900"/>
    </row>
    <row r="479" spans="3:16" ht="14.25">
      <c r="C479" s="900"/>
      <c r="D479" s="900"/>
      <c r="E479" s="900"/>
      <c r="F479" s="900"/>
      <c r="G479" s="900"/>
      <c r="H479" s="900"/>
      <c r="I479" s="900"/>
      <c r="J479" s="900"/>
      <c r="K479" s="900"/>
      <c r="L479" s="900"/>
      <c r="M479" s="900"/>
      <c r="N479" s="900"/>
      <c r="O479" s="900"/>
      <c r="P479" s="900"/>
    </row>
    <row r="480" spans="3:16" ht="14.25">
      <c r="C480" s="900"/>
      <c r="D480" s="900"/>
      <c r="E480" s="900"/>
      <c r="F480" s="900"/>
      <c r="G480" s="900"/>
      <c r="H480" s="900"/>
      <c r="I480" s="900"/>
      <c r="J480" s="900"/>
      <c r="K480" s="900"/>
      <c r="L480" s="900"/>
      <c r="M480" s="900"/>
      <c r="N480" s="900"/>
      <c r="O480" s="900"/>
      <c r="P480" s="900"/>
    </row>
    <row r="481" spans="3:16" ht="14.25">
      <c r="C481" s="900"/>
      <c r="D481" s="900"/>
      <c r="E481" s="900"/>
      <c r="F481" s="900"/>
      <c r="G481" s="900"/>
      <c r="H481" s="900"/>
      <c r="I481" s="900"/>
      <c r="J481" s="900"/>
      <c r="K481" s="900"/>
      <c r="L481" s="900"/>
      <c r="M481" s="900"/>
      <c r="N481" s="900"/>
      <c r="O481" s="900"/>
      <c r="P481" s="900"/>
    </row>
    <row r="482" spans="3:16" ht="14.25">
      <c r="C482" s="900"/>
      <c r="D482" s="900"/>
      <c r="E482" s="900"/>
      <c r="F482" s="900"/>
      <c r="G482" s="900"/>
      <c r="H482" s="900"/>
      <c r="I482" s="900"/>
      <c r="J482" s="900"/>
      <c r="K482" s="900"/>
      <c r="L482" s="900"/>
      <c r="M482" s="900"/>
      <c r="N482" s="900"/>
      <c r="O482" s="900"/>
      <c r="P482" s="900"/>
    </row>
    <row r="483" spans="3:16" ht="14.25">
      <c r="C483" s="900"/>
      <c r="D483" s="900"/>
      <c r="E483" s="900"/>
      <c r="F483" s="900"/>
      <c r="G483" s="900"/>
      <c r="H483" s="900"/>
      <c r="I483" s="900"/>
      <c r="J483" s="900"/>
      <c r="K483" s="900"/>
      <c r="L483" s="900"/>
      <c r="M483" s="900"/>
      <c r="N483" s="900"/>
      <c r="O483" s="900"/>
      <c r="P483" s="900"/>
    </row>
    <row r="484" spans="3:16" ht="14.25">
      <c r="C484" s="900"/>
      <c r="D484" s="900"/>
      <c r="E484" s="900"/>
      <c r="F484" s="900"/>
      <c r="G484" s="900"/>
      <c r="H484" s="900"/>
      <c r="I484" s="900"/>
      <c r="J484" s="900"/>
      <c r="K484" s="900"/>
      <c r="L484" s="900"/>
      <c r="M484" s="900"/>
      <c r="N484" s="900"/>
      <c r="O484" s="900"/>
      <c r="P484" s="900"/>
    </row>
    <row r="485" spans="3:16" ht="14.25">
      <c r="C485" s="900"/>
      <c r="D485" s="900"/>
      <c r="E485" s="900"/>
      <c r="F485" s="900"/>
      <c r="G485" s="900"/>
      <c r="H485" s="900"/>
      <c r="I485" s="900"/>
      <c r="J485" s="900"/>
      <c r="K485" s="900"/>
      <c r="L485" s="900"/>
      <c r="M485" s="900"/>
      <c r="N485" s="900"/>
      <c r="O485" s="900"/>
      <c r="P485" s="900"/>
    </row>
    <row r="486" spans="3:16" ht="14.25">
      <c r="C486" s="900"/>
      <c r="D486" s="900"/>
      <c r="E486" s="900"/>
      <c r="F486" s="900"/>
      <c r="G486" s="900"/>
      <c r="H486" s="900"/>
      <c r="I486" s="900"/>
      <c r="J486" s="900"/>
      <c r="K486" s="900"/>
      <c r="L486" s="900"/>
      <c r="M486" s="900"/>
      <c r="N486" s="900"/>
      <c r="O486" s="900"/>
      <c r="P486" s="900"/>
    </row>
    <row r="487" spans="3:16" ht="14.25">
      <c r="C487" s="900"/>
      <c r="D487" s="900"/>
      <c r="E487" s="900"/>
      <c r="F487" s="900"/>
      <c r="G487" s="900"/>
      <c r="H487" s="900"/>
      <c r="I487" s="900"/>
      <c r="J487" s="900"/>
      <c r="K487" s="900"/>
      <c r="L487" s="900"/>
      <c r="M487" s="900"/>
      <c r="N487" s="900"/>
      <c r="O487" s="900"/>
      <c r="P487" s="900"/>
    </row>
    <row r="488" spans="3:16" ht="14.25">
      <c r="C488" s="900"/>
      <c r="D488" s="900"/>
      <c r="E488" s="900"/>
      <c r="F488" s="900"/>
      <c r="G488" s="900"/>
      <c r="H488" s="900"/>
      <c r="I488" s="900"/>
      <c r="J488" s="900"/>
      <c r="K488" s="900"/>
      <c r="L488" s="900"/>
      <c r="M488" s="900"/>
      <c r="N488" s="900"/>
      <c r="O488" s="900"/>
      <c r="P488" s="900"/>
    </row>
    <row r="489" spans="3:16" ht="14.25">
      <c r="C489" s="900"/>
      <c r="D489" s="900"/>
      <c r="E489" s="900"/>
      <c r="F489" s="900"/>
      <c r="G489" s="900"/>
      <c r="H489" s="900"/>
      <c r="I489" s="900"/>
      <c r="J489" s="900"/>
      <c r="K489" s="900"/>
      <c r="L489" s="900"/>
      <c r="M489" s="900"/>
      <c r="N489" s="900"/>
      <c r="O489" s="900"/>
      <c r="P489" s="900"/>
    </row>
    <row r="490" spans="3:16" ht="14.25">
      <c r="C490" s="900"/>
      <c r="D490" s="900"/>
      <c r="E490" s="900"/>
      <c r="F490" s="900"/>
      <c r="G490" s="900"/>
      <c r="H490" s="900"/>
      <c r="I490" s="900"/>
      <c r="J490" s="900"/>
      <c r="K490" s="900"/>
      <c r="L490" s="900"/>
      <c r="M490" s="900"/>
      <c r="N490" s="900"/>
      <c r="O490" s="900"/>
      <c r="P490" s="900"/>
    </row>
    <row r="491" spans="3:16" ht="14.25">
      <c r="C491" s="900"/>
      <c r="D491" s="900"/>
      <c r="E491" s="900"/>
      <c r="F491" s="900"/>
      <c r="G491" s="900"/>
      <c r="H491" s="900"/>
      <c r="I491" s="900"/>
      <c r="J491" s="900"/>
      <c r="K491" s="900"/>
      <c r="L491" s="900"/>
      <c r="M491" s="900"/>
      <c r="N491" s="900"/>
      <c r="O491" s="900"/>
      <c r="P491" s="900"/>
    </row>
    <row r="492" spans="3:16" ht="14.25">
      <c r="C492" s="900"/>
      <c r="D492" s="900"/>
      <c r="E492" s="900"/>
      <c r="F492" s="900"/>
      <c r="G492" s="900"/>
      <c r="H492" s="900"/>
      <c r="I492" s="900"/>
      <c r="J492" s="900"/>
      <c r="K492" s="900"/>
      <c r="L492" s="900"/>
      <c r="M492" s="900"/>
      <c r="N492" s="900"/>
      <c r="O492" s="900"/>
      <c r="P492" s="900"/>
    </row>
    <row r="493" spans="3:16" ht="14.25">
      <c r="C493" s="900"/>
      <c r="D493" s="900"/>
      <c r="E493" s="900"/>
      <c r="F493" s="900"/>
      <c r="G493" s="900"/>
      <c r="H493" s="900"/>
      <c r="I493" s="900"/>
      <c r="J493" s="900"/>
      <c r="K493" s="900"/>
      <c r="L493" s="900"/>
      <c r="M493" s="900"/>
      <c r="N493" s="900"/>
      <c r="O493" s="900"/>
      <c r="P493" s="900"/>
    </row>
    <row r="494" spans="3:16" ht="14.25">
      <c r="C494" s="900"/>
      <c r="D494" s="900"/>
      <c r="E494" s="900"/>
      <c r="F494" s="900"/>
      <c r="G494" s="900"/>
      <c r="H494" s="900"/>
      <c r="I494" s="900"/>
      <c r="J494" s="900"/>
      <c r="K494" s="900"/>
      <c r="L494" s="900"/>
      <c r="M494" s="900"/>
      <c r="N494" s="900"/>
      <c r="O494" s="900"/>
      <c r="P494" s="900"/>
    </row>
    <row r="495" spans="3:16" ht="14.25">
      <c r="C495" s="900"/>
      <c r="D495" s="900"/>
      <c r="E495" s="900"/>
      <c r="F495" s="900"/>
      <c r="G495" s="900"/>
      <c r="H495" s="900"/>
      <c r="I495" s="900"/>
      <c r="J495" s="900"/>
      <c r="K495" s="900"/>
      <c r="L495" s="900"/>
      <c r="M495" s="900"/>
      <c r="N495" s="900"/>
      <c r="O495" s="900"/>
      <c r="P495" s="900"/>
    </row>
    <row r="496" spans="3:16" ht="14.25">
      <c r="C496" s="900"/>
      <c r="D496" s="900"/>
      <c r="E496" s="900"/>
      <c r="F496" s="900"/>
      <c r="G496" s="900"/>
      <c r="H496" s="900"/>
      <c r="I496" s="900"/>
      <c r="J496" s="900"/>
      <c r="K496" s="900"/>
      <c r="L496" s="900"/>
      <c r="M496" s="900"/>
      <c r="N496" s="900"/>
      <c r="O496" s="900"/>
      <c r="P496" s="900"/>
    </row>
    <row r="497" spans="3:16" ht="14.25">
      <c r="C497" s="900"/>
      <c r="D497" s="900"/>
      <c r="E497" s="900"/>
      <c r="F497" s="900"/>
      <c r="G497" s="900"/>
      <c r="H497" s="900"/>
      <c r="I497" s="900"/>
      <c r="J497" s="900"/>
      <c r="K497" s="900"/>
      <c r="L497" s="900"/>
      <c r="M497" s="900"/>
      <c r="N497" s="900"/>
      <c r="O497" s="900"/>
      <c r="P497" s="900"/>
    </row>
    <row r="498" spans="3:16" ht="14.25">
      <c r="C498" s="900"/>
      <c r="D498" s="900"/>
      <c r="E498" s="900"/>
      <c r="F498" s="900"/>
      <c r="G498" s="900"/>
      <c r="H498" s="900"/>
      <c r="I498" s="900"/>
      <c r="J498" s="900"/>
      <c r="K498" s="900"/>
      <c r="L498" s="900"/>
      <c r="M498" s="900"/>
      <c r="N498" s="900"/>
      <c r="O498" s="900"/>
      <c r="P498" s="900"/>
    </row>
    <row r="499" spans="3:16" ht="14.25">
      <c r="C499" s="900"/>
      <c r="D499" s="900"/>
      <c r="E499" s="900"/>
      <c r="F499" s="900"/>
      <c r="G499" s="900"/>
      <c r="H499" s="900"/>
      <c r="I499" s="900"/>
      <c r="J499" s="900"/>
      <c r="K499" s="900"/>
      <c r="L499" s="900"/>
      <c r="M499" s="900"/>
      <c r="N499" s="900"/>
      <c r="O499" s="900"/>
      <c r="P499" s="900"/>
    </row>
    <row r="500" spans="3:16" ht="14.25">
      <c r="C500" s="900"/>
      <c r="D500" s="900"/>
      <c r="E500" s="900"/>
      <c r="F500" s="900"/>
      <c r="G500" s="900"/>
      <c r="H500" s="900"/>
      <c r="I500" s="900"/>
      <c r="J500" s="900"/>
      <c r="K500" s="900"/>
      <c r="L500" s="900"/>
      <c r="M500" s="900"/>
      <c r="N500" s="900"/>
      <c r="O500" s="900"/>
      <c r="P500" s="900"/>
    </row>
    <row r="501" spans="3:16" ht="14.25">
      <c r="C501" s="900"/>
      <c r="D501" s="900"/>
      <c r="E501" s="900"/>
      <c r="F501" s="900"/>
      <c r="G501" s="900"/>
      <c r="H501" s="900"/>
      <c r="I501" s="900"/>
      <c r="J501" s="900"/>
      <c r="K501" s="900"/>
      <c r="L501" s="900"/>
      <c r="M501" s="900"/>
      <c r="N501" s="900"/>
      <c r="O501" s="900"/>
      <c r="P501" s="900"/>
    </row>
    <row r="502" spans="3:16" ht="14.25">
      <c r="C502" s="900"/>
      <c r="D502" s="900"/>
      <c r="E502" s="900"/>
      <c r="F502" s="900"/>
      <c r="G502" s="900"/>
      <c r="H502" s="900"/>
      <c r="I502" s="900"/>
      <c r="J502" s="900"/>
      <c r="K502" s="900"/>
      <c r="L502" s="900"/>
      <c r="M502" s="900"/>
      <c r="N502" s="900"/>
      <c r="O502" s="900"/>
      <c r="P502" s="900"/>
    </row>
    <row r="503" spans="3:16" ht="14.25">
      <c r="C503" s="900"/>
      <c r="D503" s="900"/>
      <c r="E503" s="900"/>
      <c r="F503" s="900"/>
      <c r="G503" s="900"/>
      <c r="H503" s="900"/>
      <c r="I503" s="900"/>
      <c r="J503" s="900"/>
      <c r="K503" s="900"/>
      <c r="L503" s="900"/>
      <c r="M503" s="900"/>
      <c r="N503" s="900"/>
      <c r="O503" s="900"/>
      <c r="P503" s="900"/>
    </row>
    <row r="504" spans="3:16" ht="14.25">
      <c r="C504" s="900"/>
      <c r="D504" s="900"/>
      <c r="E504" s="900"/>
      <c r="F504" s="900"/>
      <c r="G504" s="900"/>
      <c r="H504" s="900"/>
      <c r="I504" s="900"/>
      <c r="J504" s="900"/>
      <c r="K504" s="900"/>
      <c r="L504" s="900"/>
      <c r="M504" s="900"/>
      <c r="N504" s="900"/>
      <c r="O504" s="900"/>
      <c r="P504" s="900"/>
    </row>
    <row r="505" spans="3:16" ht="14.25">
      <c r="C505" s="900"/>
      <c r="D505" s="900"/>
      <c r="E505" s="900"/>
      <c r="F505" s="900"/>
      <c r="G505" s="900"/>
      <c r="H505" s="900"/>
      <c r="I505" s="900"/>
      <c r="J505" s="900"/>
      <c r="K505" s="900"/>
      <c r="L505" s="900"/>
      <c r="M505" s="900"/>
      <c r="N505" s="900"/>
      <c r="O505" s="900"/>
      <c r="P505" s="900"/>
    </row>
    <row r="506" spans="3:16" ht="14.25">
      <c r="C506" s="900"/>
      <c r="D506" s="900"/>
      <c r="E506" s="900"/>
      <c r="F506" s="900"/>
      <c r="G506" s="900"/>
      <c r="H506" s="900"/>
      <c r="I506" s="900"/>
      <c r="J506" s="900"/>
      <c r="K506" s="900"/>
      <c r="L506" s="900"/>
      <c r="M506" s="900"/>
      <c r="N506" s="900"/>
      <c r="O506" s="900"/>
      <c r="P506" s="900"/>
    </row>
    <row r="507" spans="3:16" ht="14.25">
      <c r="C507" s="900"/>
      <c r="D507" s="900"/>
      <c r="E507" s="900"/>
      <c r="F507" s="900"/>
      <c r="G507" s="900"/>
      <c r="H507" s="900"/>
      <c r="I507" s="900"/>
      <c r="J507" s="900"/>
      <c r="K507" s="900"/>
      <c r="L507" s="900"/>
      <c r="M507" s="900"/>
      <c r="N507" s="900"/>
      <c r="O507" s="900"/>
      <c r="P507" s="900"/>
    </row>
    <row r="508" spans="3:16" ht="14.25">
      <c r="C508" s="900"/>
      <c r="D508" s="900"/>
      <c r="E508" s="900"/>
      <c r="F508" s="900"/>
      <c r="G508" s="900"/>
      <c r="H508" s="900"/>
      <c r="I508" s="900"/>
      <c r="J508" s="900"/>
      <c r="K508" s="900"/>
      <c r="L508" s="900"/>
      <c r="M508" s="900"/>
      <c r="N508" s="900"/>
      <c r="O508" s="900"/>
      <c r="P508" s="900"/>
    </row>
    <row r="509" spans="3:16" ht="14.25">
      <c r="C509" s="900"/>
      <c r="D509" s="900"/>
      <c r="E509" s="900"/>
      <c r="F509" s="900"/>
      <c r="G509" s="900"/>
      <c r="H509" s="900"/>
      <c r="I509" s="900"/>
      <c r="J509" s="900"/>
      <c r="K509" s="900"/>
      <c r="L509" s="900"/>
      <c r="M509" s="900"/>
      <c r="N509" s="900"/>
      <c r="O509" s="900"/>
      <c r="P509" s="900"/>
    </row>
    <row r="510" spans="3:16" ht="14.25">
      <c r="C510" s="900"/>
      <c r="D510" s="900"/>
      <c r="E510" s="900"/>
      <c r="F510" s="900"/>
      <c r="G510" s="900"/>
      <c r="H510" s="900"/>
      <c r="I510" s="900"/>
      <c r="J510" s="900"/>
      <c r="K510" s="900"/>
      <c r="L510" s="900"/>
      <c r="M510" s="900"/>
      <c r="N510" s="900"/>
      <c r="O510" s="900"/>
      <c r="P510" s="900"/>
    </row>
    <row r="511" spans="3:16" ht="14.25">
      <c r="C511" s="900"/>
      <c r="D511" s="900"/>
      <c r="E511" s="900"/>
      <c r="F511" s="900"/>
      <c r="G511" s="900"/>
      <c r="H511" s="900"/>
      <c r="I511" s="900"/>
      <c r="J511" s="900"/>
      <c r="K511" s="900"/>
      <c r="L511" s="900"/>
      <c r="M511" s="900"/>
      <c r="N511" s="900"/>
      <c r="O511" s="900"/>
      <c r="P511" s="900"/>
    </row>
    <row r="512" spans="3:16" ht="14.25">
      <c r="C512" s="900"/>
      <c r="D512" s="900"/>
      <c r="E512" s="900"/>
      <c r="F512" s="900"/>
      <c r="G512" s="900"/>
      <c r="H512" s="900"/>
      <c r="I512" s="900"/>
      <c r="J512" s="900"/>
      <c r="K512" s="900"/>
      <c r="L512" s="900"/>
      <c r="M512" s="900"/>
      <c r="N512" s="900"/>
      <c r="O512" s="900"/>
      <c r="P512" s="900"/>
    </row>
    <row r="513" spans="3:16" ht="14.25">
      <c r="C513" s="900"/>
      <c r="D513" s="900"/>
      <c r="E513" s="900"/>
      <c r="F513" s="900"/>
      <c r="G513" s="900"/>
      <c r="H513" s="900"/>
      <c r="I513" s="900"/>
      <c r="J513" s="900"/>
      <c r="K513" s="900"/>
      <c r="L513" s="900"/>
      <c r="M513" s="900"/>
      <c r="N513" s="900"/>
      <c r="O513" s="900"/>
      <c r="P513" s="900"/>
    </row>
    <row r="514" spans="3:16" ht="14.25">
      <c r="C514" s="900"/>
      <c r="D514" s="900"/>
      <c r="E514" s="900"/>
      <c r="F514" s="900"/>
      <c r="G514" s="900"/>
      <c r="H514" s="900"/>
      <c r="I514" s="900"/>
      <c r="J514" s="900"/>
      <c r="K514" s="900"/>
      <c r="L514" s="900"/>
      <c r="M514" s="900"/>
      <c r="N514" s="900"/>
      <c r="O514" s="900"/>
      <c r="P514" s="900"/>
    </row>
    <row r="515" spans="3:16" ht="14.25">
      <c r="C515" s="900"/>
      <c r="D515" s="900"/>
      <c r="E515" s="900"/>
      <c r="F515" s="900"/>
      <c r="G515" s="900"/>
      <c r="H515" s="900"/>
      <c r="I515" s="900"/>
      <c r="J515" s="900"/>
      <c r="K515" s="900"/>
      <c r="L515" s="900"/>
      <c r="M515" s="900"/>
      <c r="N515" s="900"/>
      <c r="O515" s="900"/>
      <c r="P515" s="900"/>
    </row>
    <row r="516" spans="3:16" ht="14.25">
      <c r="C516" s="900"/>
      <c r="D516" s="900"/>
      <c r="E516" s="900"/>
      <c r="F516" s="900"/>
      <c r="G516" s="900"/>
      <c r="H516" s="900"/>
      <c r="I516" s="900"/>
      <c r="J516" s="900"/>
      <c r="K516" s="900"/>
      <c r="L516" s="900"/>
      <c r="M516" s="900"/>
      <c r="N516" s="900"/>
      <c r="O516" s="900"/>
      <c r="P516" s="900"/>
    </row>
    <row r="517" spans="3:16" ht="14.25">
      <c r="C517" s="900"/>
      <c r="D517" s="900"/>
      <c r="E517" s="900"/>
      <c r="F517" s="900"/>
      <c r="G517" s="900"/>
      <c r="H517" s="900"/>
      <c r="I517" s="900"/>
      <c r="J517" s="900"/>
      <c r="K517" s="900"/>
      <c r="L517" s="900"/>
      <c r="M517" s="900"/>
      <c r="N517" s="900"/>
      <c r="O517" s="900"/>
      <c r="P517" s="900"/>
    </row>
    <row r="518" spans="3:16" ht="14.25">
      <c r="C518" s="900"/>
      <c r="D518" s="900"/>
      <c r="E518" s="900"/>
      <c r="F518" s="900"/>
      <c r="G518" s="900"/>
      <c r="H518" s="900"/>
      <c r="I518" s="900"/>
      <c r="J518" s="900"/>
      <c r="K518" s="900"/>
      <c r="L518" s="900"/>
      <c r="M518" s="900"/>
      <c r="N518" s="900"/>
      <c r="O518" s="900"/>
      <c r="P518" s="900"/>
    </row>
    <row r="519" spans="3:16" ht="14.25">
      <c r="C519" s="900"/>
      <c r="D519" s="900"/>
      <c r="E519" s="900"/>
      <c r="F519" s="900"/>
      <c r="G519" s="900"/>
      <c r="H519" s="900"/>
      <c r="I519" s="900"/>
      <c r="J519" s="900"/>
      <c r="K519" s="900"/>
      <c r="L519" s="900"/>
      <c r="M519" s="900"/>
      <c r="N519" s="900"/>
      <c r="O519" s="900"/>
      <c r="P519" s="900"/>
    </row>
    <row r="520" spans="3:16" ht="14.25">
      <c r="C520" s="900"/>
      <c r="D520" s="900"/>
      <c r="E520" s="900"/>
      <c r="F520" s="900"/>
      <c r="G520" s="900"/>
      <c r="H520" s="900"/>
      <c r="I520" s="900"/>
      <c r="J520" s="900"/>
      <c r="K520" s="900"/>
      <c r="L520" s="900"/>
      <c r="M520" s="900"/>
      <c r="N520" s="900"/>
      <c r="O520" s="900"/>
      <c r="P520" s="900"/>
    </row>
    <row r="521" spans="3:16" ht="14.25">
      <c r="C521" s="900"/>
      <c r="D521" s="900"/>
      <c r="E521" s="900"/>
      <c r="F521" s="900"/>
      <c r="G521" s="900"/>
      <c r="H521" s="900"/>
      <c r="I521" s="900"/>
      <c r="J521" s="900"/>
      <c r="K521" s="900"/>
      <c r="L521" s="900"/>
      <c r="M521" s="900"/>
      <c r="N521" s="900"/>
      <c r="O521" s="900"/>
      <c r="P521" s="900"/>
    </row>
    <row r="522" spans="3:16" ht="14.25">
      <c r="C522" s="900"/>
      <c r="D522" s="900"/>
      <c r="E522" s="900"/>
      <c r="F522" s="900"/>
      <c r="G522" s="900"/>
      <c r="H522" s="900"/>
      <c r="I522" s="900"/>
      <c r="J522" s="900"/>
      <c r="K522" s="900"/>
      <c r="L522" s="900"/>
      <c r="M522" s="900"/>
      <c r="N522" s="900"/>
      <c r="O522" s="900"/>
      <c r="P522" s="900"/>
    </row>
    <row r="523" spans="3:16" ht="14.25">
      <c r="C523" s="900"/>
      <c r="D523" s="900"/>
      <c r="E523" s="900"/>
      <c r="F523" s="900"/>
      <c r="G523" s="900"/>
      <c r="H523" s="900"/>
      <c r="I523" s="900"/>
      <c r="J523" s="900"/>
      <c r="K523" s="900"/>
      <c r="L523" s="900"/>
      <c r="M523" s="900"/>
      <c r="N523" s="900"/>
      <c r="O523" s="900"/>
      <c r="P523" s="900"/>
    </row>
    <row r="524" spans="3:16" ht="14.25">
      <c r="C524" s="900"/>
      <c r="D524" s="900"/>
      <c r="E524" s="900"/>
      <c r="F524" s="900"/>
      <c r="G524" s="900"/>
      <c r="H524" s="900"/>
      <c r="I524" s="900"/>
      <c r="J524" s="900"/>
      <c r="K524" s="900"/>
      <c r="L524" s="900"/>
      <c r="M524" s="900"/>
      <c r="N524" s="900"/>
      <c r="O524" s="900"/>
      <c r="P524" s="900"/>
    </row>
    <row r="525" spans="3:16" ht="14.25">
      <c r="C525" s="900"/>
      <c r="D525" s="900"/>
      <c r="E525" s="900"/>
      <c r="F525" s="900"/>
      <c r="G525" s="900"/>
      <c r="H525" s="900"/>
      <c r="I525" s="900"/>
      <c r="J525" s="900"/>
      <c r="K525" s="900"/>
      <c r="L525" s="900"/>
      <c r="M525" s="900"/>
      <c r="N525" s="900"/>
      <c r="O525" s="900"/>
      <c r="P525" s="900"/>
    </row>
    <row r="526" spans="3:16" ht="14.25">
      <c r="C526" s="900"/>
      <c r="D526" s="900"/>
      <c r="E526" s="900"/>
      <c r="F526" s="900"/>
      <c r="G526" s="900"/>
      <c r="H526" s="900"/>
      <c r="I526" s="900"/>
      <c r="J526" s="900"/>
      <c r="K526" s="900"/>
      <c r="L526" s="900"/>
      <c r="M526" s="900"/>
      <c r="N526" s="900"/>
      <c r="O526" s="900"/>
      <c r="P526" s="900"/>
    </row>
    <row r="527" spans="3:16" ht="14.25">
      <c r="C527" s="900"/>
      <c r="D527" s="900"/>
      <c r="E527" s="900"/>
      <c r="F527" s="900"/>
      <c r="G527" s="900"/>
      <c r="H527" s="900"/>
      <c r="I527" s="900"/>
      <c r="J527" s="900"/>
      <c r="K527" s="900"/>
      <c r="L527" s="900"/>
      <c r="M527" s="900"/>
      <c r="N527" s="900"/>
      <c r="O527" s="900"/>
      <c r="P527" s="900"/>
    </row>
    <row r="528" spans="3:16" ht="14.25">
      <c r="C528" s="900"/>
      <c r="D528" s="900"/>
      <c r="E528" s="900"/>
      <c r="F528" s="900"/>
      <c r="G528" s="900"/>
      <c r="H528" s="900"/>
      <c r="I528" s="900"/>
      <c r="J528" s="900"/>
      <c r="K528" s="900"/>
      <c r="L528" s="900"/>
      <c r="M528" s="900"/>
      <c r="N528" s="900"/>
      <c r="O528" s="900"/>
      <c r="P528" s="900"/>
    </row>
    <row r="529" spans="3:16" ht="14.25">
      <c r="C529" s="900"/>
      <c r="D529" s="900"/>
      <c r="E529" s="900"/>
      <c r="F529" s="900"/>
      <c r="G529" s="900"/>
      <c r="H529" s="900"/>
      <c r="I529" s="900"/>
      <c r="J529" s="900"/>
      <c r="K529" s="900"/>
      <c r="L529" s="900"/>
      <c r="M529" s="900"/>
      <c r="N529" s="900"/>
      <c r="O529" s="900"/>
      <c r="P529" s="900"/>
    </row>
    <row r="530" spans="3:16" ht="14.25">
      <c r="C530" s="900"/>
      <c r="D530" s="900"/>
      <c r="E530" s="900"/>
      <c r="F530" s="900"/>
      <c r="G530" s="900"/>
      <c r="H530" s="900"/>
      <c r="I530" s="900"/>
      <c r="J530" s="900"/>
      <c r="K530" s="900"/>
      <c r="L530" s="900"/>
      <c r="M530" s="900"/>
      <c r="N530" s="900"/>
      <c r="O530" s="900"/>
      <c r="P530" s="900"/>
    </row>
    <row r="531" spans="3:16" ht="14.25">
      <c r="C531" s="900"/>
      <c r="D531" s="900"/>
      <c r="E531" s="900"/>
      <c r="F531" s="900"/>
      <c r="G531" s="900"/>
      <c r="H531" s="900"/>
      <c r="I531" s="900"/>
      <c r="J531" s="900"/>
      <c r="K531" s="900"/>
      <c r="L531" s="900"/>
      <c r="M531" s="900"/>
      <c r="N531" s="900"/>
      <c r="O531" s="900"/>
      <c r="P531" s="900"/>
    </row>
    <row r="532" spans="3:16" ht="14.25">
      <c r="C532" s="900"/>
      <c r="D532" s="900"/>
      <c r="E532" s="900"/>
      <c r="F532" s="900"/>
      <c r="G532" s="900"/>
      <c r="H532" s="900"/>
      <c r="I532" s="900"/>
      <c r="J532" s="900"/>
      <c r="K532" s="900"/>
      <c r="L532" s="900"/>
      <c r="M532" s="900"/>
      <c r="N532" s="900"/>
      <c r="O532" s="900"/>
      <c r="P532" s="900"/>
    </row>
    <row r="533" spans="3:16" ht="14.25">
      <c r="C533" s="900"/>
      <c r="D533" s="900"/>
      <c r="E533" s="900"/>
      <c r="F533" s="900"/>
      <c r="G533" s="900"/>
      <c r="H533" s="900"/>
      <c r="I533" s="900"/>
      <c r="J533" s="900"/>
      <c r="K533" s="900"/>
      <c r="L533" s="900"/>
      <c r="M533" s="900"/>
      <c r="N533" s="900"/>
      <c r="O533" s="900"/>
      <c r="P533" s="900"/>
    </row>
    <row r="534" spans="3:16" ht="14.25">
      <c r="C534" s="900"/>
      <c r="D534" s="900"/>
      <c r="E534" s="900"/>
      <c r="F534" s="900"/>
      <c r="G534" s="900"/>
      <c r="H534" s="900"/>
      <c r="I534" s="900"/>
      <c r="J534" s="900"/>
      <c r="K534" s="900"/>
      <c r="L534" s="900"/>
      <c r="M534" s="900"/>
      <c r="N534" s="900"/>
      <c r="O534" s="900"/>
      <c r="P534" s="900"/>
    </row>
    <row r="535" spans="3:16" ht="14.25">
      <c r="C535" s="900"/>
      <c r="D535" s="900"/>
      <c r="E535" s="900"/>
      <c r="F535" s="900"/>
      <c r="G535" s="900"/>
      <c r="H535" s="900"/>
      <c r="I535" s="900"/>
      <c r="J535" s="900"/>
      <c r="K535" s="900"/>
      <c r="L535" s="900"/>
      <c r="M535" s="900"/>
      <c r="N535" s="900"/>
      <c r="O535" s="900"/>
      <c r="P535" s="900"/>
    </row>
    <row r="536" spans="3:16" ht="14.25">
      <c r="C536" s="900"/>
      <c r="D536" s="900"/>
      <c r="E536" s="900"/>
      <c r="F536" s="900"/>
      <c r="G536" s="900"/>
      <c r="H536" s="900"/>
      <c r="I536" s="900"/>
      <c r="J536" s="900"/>
      <c r="K536" s="900"/>
      <c r="L536" s="900"/>
      <c r="M536" s="900"/>
      <c r="N536" s="900"/>
      <c r="O536" s="900"/>
      <c r="P536" s="900"/>
    </row>
    <row r="537" spans="3:16" ht="14.25">
      <c r="C537" s="900"/>
      <c r="D537" s="900"/>
      <c r="E537" s="900"/>
      <c r="F537" s="900"/>
      <c r="G537" s="900"/>
      <c r="H537" s="900"/>
      <c r="I537" s="900"/>
      <c r="J537" s="900"/>
      <c r="K537" s="900"/>
      <c r="L537" s="900"/>
      <c r="M537" s="900"/>
      <c r="N537" s="900"/>
      <c r="O537" s="900"/>
      <c r="P537" s="900"/>
    </row>
    <row r="538" spans="3:16" ht="14.25">
      <c r="C538" s="900"/>
      <c r="D538" s="900"/>
      <c r="E538" s="900"/>
      <c r="F538" s="900"/>
      <c r="G538" s="900"/>
      <c r="H538" s="900"/>
      <c r="I538" s="900"/>
      <c r="J538" s="900"/>
      <c r="K538" s="900"/>
      <c r="L538" s="900"/>
      <c r="M538" s="900"/>
      <c r="N538" s="900"/>
      <c r="O538" s="900"/>
      <c r="P538" s="900"/>
    </row>
    <row r="539" spans="3:16" ht="14.25">
      <c r="C539" s="900"/>
      <c r="D539" s="900"/>
      <c r="E539" s="900"/>
      <c r="F539" s="900"/>
      <c r="G539" s="900"/>
      <c r="H539" s="900"/>
      <c r="I539" s="900"/>
      <c r="J539" s="900"/>
      <c r="K539" s="900"/>
      <c r="L539" s="900"/>
      <c r="M539" s="900"/>
      <c r="N539" s="900"/>
      <c r="O539" s="900"/>
      <c r="P539" s="900"/>
    </row>
    <row r="540" spans="3:16" ht="14.25">
      <c r="C540" s="900"/>
      <c r="D540" s="900"/>
      <c r="E540" s="900"/>
      <c r="F540" s="900"/>
      <c r="G540" s="900"/>
      <c r="H540" s="900"/>
      <c r="I540" s="900"/>
      <c r="J540" s="900"/>
      <c r="K540" s="900"/>
      <c r="L540" s="900"/>
      <c r="M540" s="900"/>
      <c r="N540" s="900"/>
      <c r="O540" s="900"/>
      <c r="P540" s="900"/>
    </row>
    <row r="541" spans="3:16" ht="14.25">
      <c r="C541" s="900"/>
      <c r="D541" s="900"/>
      <c r="E541" s="900"/>
      <c r="F541" s="900"/>
      <c r="G541" s="900"/>
      <c r="H541" s="900"/>
      <c r="I541" s="900"/>
      <c r="J541" s="900"/>
      <c r="K541" s="900"/>
      <c r="L541" s="900"/>
      <c r="M541" s="900"/>
      <c r="N541" s="900"/>
      <c r="O541" s="900"/>
      <c r="P541" s="900"/>
    </row>
    <row r="542" spans="3:16" ht="14.25">
      <c r="C542" s="900"/>
      <c r="D542" s="900"/>
      <c r="E542" s="900"/>
      <c r="F542" s="900"/>
      <c r="G542" s="900"/>
      <c r="H542" s="900"/>
      <c r="I542" s="900"/>
      <c r="J542" s="900"/>
      <c r="K542" s="900"/>
      <c r="L542" s="900"/>
      <c r="M542" s="900"/>
      <c r="N542" s="900"/>
      <c r="O542" s="900"/>
      <c r="P542" s="900"/>
    </row>
    <row r="543" spans="3:16" ht="14.25">
      <c r="C543" s="900"/>
      <c r="D543" s="900"/>
      <c r="E543" s="900"/>
      <c r="F543" s="900"/>
      <c r="G543" s="900"/>
      <c r="H543" s="900"/>
      <c r="I543" s="900"/>
      <c r="J543" s="900"/>
      <c r="K543" s="900"/>
      <c r="L543" s="900"/>
      <c r="M543" s="900"/>
      <c r="N543" s="900"/>
      <c r="O543" s="900"/>
      <c r="P543" s="900"/>
    </row>
    <row r="544" spans="3:16" ht="14.25">
      <c r="C544" s="900"/>
      <c r="D544" s="900"/>
      <c r="E544" s="900"/>
      <c r="F544" s="900"/>
      <c r="G544" s="900"/>
      <c r="H544" s="900"/>
      <c r="I544" s="900"/>
      <c r="J544" s="900"/>
      <c r="K544" s="900"/>
      <c r="L544" s="900"/>
      <c r="M544" s="900"/>
      <c r="N544" s="900"/>
      <c r="O544" s="900"/>
      <c r="P544" s="900"/>
    </row>
    <row r="545" spans="3:16" ht="14.25">
      <c r="C545" s="900"/>
      <c r="D545" s="900"/>
      <c r="E545" s="900"/>
      <c r="F545" s="900"/>
      <c r="G545" s="900"/>
      <c r="H545" s="900"/>
      <c r="I545" s="900"/>
      <c r="J545" s="900"/>
      <c r="K545" s="900"/>
      <c r="L545" s="900"/>
      <c r="M545" s="900"/>
      <c r="N545" s="900"/>
      <c r="O545" s="900"/>
      <c r="P545" s="900"/>
    </row>
    <row r="546" spans="3:16" ht="14.25">
      <c r="C546" s="900"/>
      <c r="D546" s="900"/>
      <c r="E546" s="900"/>
      <c r="F546" s="900"/>
      <c r="G546" s="900"/>
      <c r="H546" s="900"/>
      <c r="I546" s="900"/>
      <c r="J546" s="900"/>
      <c r="K546" s="900"/>
      <c r="L546" s="900"/>
      <c r="M546" s="900"/>
      <c r="N546" s="900"/>
      <c r="O546" s="900"/>
      <c r="P546" s="900"/>
    </row>
    <row r="547" spans="3:16" ht="14.25">
      <c r="C547" s="900"/>
      <c r="D547" s="900"/>
      <c r="E547" s="900"/>
      <c r="F547" s="900"/>
      <c r="G547" s="900"/>
      <c r="H547" s="900"/>
      <c r="I547" s="900"/>
      <c r="J547" s="900"/>
      <c r="K547" s="900"/>
      <c r="L547" s="900"/>
      <c r="M547" s="900"/>
      <c r="N547" s="900"/>
      <c r="O547" s="900"/>
      <c r="P547" s="900"/>
    </row>
    <row r="548" spans="3:16" ht="14.25">
      <c r="C548" s="900"/>
      <c r="D548" s="900"/>
      <c r="E548" s="900"/>
      <c r="F548" s="900"/>
      <c r="G548" s="900"/>
      <c r="H548" s="900"/>
      <c r="I548" s="900"/>
      <c r="J548" s="900"/>
      <c r="K548" s="900"/>
      <c r="L548" s="900"/>
      <c r="M548" s="900"/>
      <c r="N548" s="900"/>
      <c r="O548" s="900"/>
      <c r="P548" s="900"/>
    </row>
    <row r="549" spans="3:16" ht="14.25">
      <c r="C549" s="900"/>
      <c r="D549" s="900"/>
      <c r="E549" s="900"/>
      <c r="F549" s="900"/>
      <c r="G549" s="900"/>
      <c r="H549" s="900"/>
      <c r="I549" s="900"/>
      <c r="J549" s="900"/>
      <c r="K549" s="900"/>
      <c r="L549" s="900"/>
      <c r="M549" s="900"/>
      <c r="N549" s="900"/>
      <c r="O549" s="900"/>
      <c r="P549" s="900"/>
    </row>
    <row r="550" spans="3:16" ht="14.25">
      <c r="C550" s="900"/>
      <c r="D550" s="900"/>
      <c r="E550" s="900"/>
      <c r="F550" s="900"/>
      <c r="G550" s="900"/>
      <c r="H550" s="900"/>
      <c r="I550" s="900"/>
      <c r="J550" s="900"/>
      <c r="K550" s="900"/>
      <c r="L550" s="900"/>
      <c r="M550" s="900"/>
      <c r="N550" s="900"/>
      <c r="O550" s="900"/>
      <c r="P550" s="900"/>
    </row>
    <row r="551" spans="3:16" ht="14.25">
      <c r="C551" s="900"/>
      <c r="D551" s="900"/>
      <c r="E551" s="900"/>
      <c r="F551" s="900"/>
      <c r="G551" s="900"/>
      <c r="H551" s="900"/>
      <c r="I551" s="900"/>
      <c r="J551" s="900"/>
      <c r="K551" s="900"/>
      <c r="L551" s="900"/>
      <c r="M551" s="900"/>
      <c r="N551" s="900"/>
      <c r="O551" s="900"/>
      <c r="P551" s="900"/>
    </row>
    <row r="552" spans="3:16" ht="14.25">
      <c r="C552" s="900"/>
      <c r="D552" s="900"/>
      <c r="E552" s="900"/>
      <c r="F552" s="900"/>
      <c r="G552" s="900"/>
      <c r="H552" s="900"/>
      <c r="I552" s="900"/>
      <c r="J552" s="900"/>
      <c r="K552" s="900"/>
      <c r="L552" s="900"/>
      <c r="M552" s="900"/>
      <c r="N552" s="900"/>
      <c r="O552" s="900"/>
      <c r="P552" s="900"/>
    </row>
    <row r="553" spans="3:16" ht="14.25">
      <c r="C553" s="900"/>
      <c r="D553" s="900"/>
      <c r="E553" s="900"/>
      <c r="F553" s="900"/>
      <c r="G553" s="900"/>
      <c r="H553" s="900"/>
      <c r="I553" s="900"/>
      <c r="J553" s="900"/>
      <c r="K553" s="900"/>
      <c r="L553" s="900"/>
      <c r="M553" s="900"/>
      <c r="N553" s="900"/>
      <c r="O553" s="900"/>
      <c r="P553" s="900"/>
    </row>
    <row r="554" spans="3:16" ht="14.25">
      <c r="C554" s="900"/>
      <c r="D554" s="900"/>
      <c r="E554" s="900"/>
      <c r="F554" s="900"/>
      <c r="G554" s="900"/>
      <c r="H554" s="900"/>
      <c r="I554" s="900"/>
      <c r="J554" s="900"/>
      <c r="K554" s="900"/>
      <c r="L554" s="900"/>
      <c r="M554" s="900"/>
      <c r="N554" s="900"/>
      <c r="O554" s="900"/>
      <c r="P554" s="900"/>
    </row>
    <row r="555" spans="3:16" ht="14.25">
      <c r="C555" s="900"/>
      <c r="D555" s="900"/>
      <c r="E555" s="900"/>
      <c r="F555" s="900"/>
      <c r="G555" s="900"/>
      <c r="H555" s="900"/>
      <c r="I555" s="900"/>
      <c r="J555" s="900"/>
      <c r="K555" s="900"/>
      <c r="L555" s="900"/>
      <c r="M555" s="900"/>
      <c r="N555" s="900"/>
      <c r="O555" s="900"/>
      <c r="P555" s="900"/>
    </row>
    <row r="556" spans="3:16" ht="14.25">
      <c r="C556" s="900"/>
      <c r="D556" s="900"/>
      <c r="E556" s="900"/>
      <c r="F556" s="900"/>
      <c r="G556" s="900"/>
      <c r="H556" s="900"/>
      <c r="I556" s="900"/>
      <c r="J556" s="900"/>
      <c r="K556" s="900"/>
      <c r="L556" s="900"/>
      <c r="M556" s="900"/>
      <c r="N556" s="900"/>
      <c r="O556" s="900"/>
      <c r="P556" s="900"/>
    </row>
    <row r="557" spans="3:16" ht="14.25">
      <c r="C557" s="900"/>
      <c r="D557" s="900"/>
      <c r="E557" s="900"/>
      <c r="F557" s="900"/>
      <c r="G557" s="900"/>
      <c r="H557" s="900"/>
      <c r="I557" s="900"/>
      <c r="J557" s="900"/>
      <c r="K557" s="900"/>
      <c r="L557" s="900"/>
      <c r="M557" s="900"/>
      <c r="N557" s="900"/>
      <c r="O557" s="900"/>
      <c r="P557" s="900"/>
    </row>
    <row r="558" spans="3:16" ht="14.25">
      <c r="C558" s="900"/>
      <c r="D558" s="900"/>
      <c r="E558" s="900"/>
      <c r="F558" s="900"/>
      <c r="G558" s="900"/>
      <c r="H558" s="900"/>
      <c r="I558" s="900"/>
      <c r="J558" s="900"/>
      <c r="K558" s="900"/>
      <c r="L558" s="900"/>
      <c r="M558" s="900"/>
      <c r="N558" s="900"/>
      <c r="O558" s="900"/>
      <c r="P558" s="900"/>
    </row>
    <row r="559" spans="3:16" ht="14.25">
      <c r="C559" s="900"/>
      <c r="D559" s="900"/>
      <c r="E559" s="900"/>
      <c r="F559" s="900"/>
      <c r="G559" s="900"/>
      <c r="H559" s="900"/>
      <c r="I559" s="900"/>
      <c r="J559" s="900"/>
      <c r="K559" s="900"/>
      <c r="L559" s="900"/>
      <c r="M559" s="900"/>
      <c r="N559" s="900"/>
      <c r="O559" s="900"/>
      <c r="P559" s="900"/>
    </row>
    <row r="560" spans="3:16" ht="14.25">
      <c r="C560" s="900"/>
      <c r="D560" s="900"/>
      <c r="E560" s="900"/>
      <c r="F560" s="900"/>
      <c r="G560" s="900"/>
      <c r="H560" s="900"/>
      <c r="I560" s="900"/>
      <c r="J560" s="900"/>
      <c r="K560" s="900"/>
      <c r="L560" s="900"/>
      <c r="M560" s="900"/>
      <c r="N560" s="900"/>
      <c r="O560" s="900"/>
      <c r="P560" s="900"/>
    </row>
    <row r="561" spans="3:16" ht="14.25">
      <c r="C561" s="900"/>
      <c r="D561" s="900"/>
      <c r="E561" s="900"/>
      <c r="F561" s="900"/>
      <c r="G561" s="900"/>
      <c r="H561" s="900"/>
      <c r="I561" s="900"/>
      <c r="J561" s="900"/>
      <c r="K561" s="900"/>
      <c r="L561" s="900"/>
      <c r="M561" s="900"/>
      <c r="N561" s="900"/>
      <c r="O561" s="900"/>
      <c r="P561" s="900"/>
    </row>
    <row r="562" spans="3:16" ht="14.25">
      <c r="C562" s="900"/>
      <c r="D562" s="900"/>
      <c r="E562" s="900"/>
      <c r="F562" s="900"/>
      <c r="G562" s="900"/>
      <c r="H562" s="900"/>
      <c r="I562" s="900"/>
      <c r="J562" s="900"/>
      <c r="K562" s="900"/>
      <c r="L562" s="900"/>
      <c r="M562" s="900"/>
      <c r="N562" s="900"/>
      <c r="O562" s="900"/>
      <c r="P562" s="900"/>
    </row>
    <row r="563" spans="3:16" ht="14.25">
      <c r="C563" s="900"/>
      <c r="D563" s="900"/>
      <c r="E563" s="900"/>
      <c r="F563" s="900"/>
      <c r="G563" s="900"/>
      <c r="H563" s="900"/>
      <c r="I563" s="900"/>
      <c r="J563" s="900"/>
      <c r="K563" s="900"/>
      <c r="L563" s="900"/>
      <c r="M563" s="900"/>
      <c r="N563" s="900"/>
      <c r="O563" s="900"/>
      <c r="P563" s="900"/>
    </row>
    <row r="564" spans="3:16" ht="14.25">
      <c r="C564" s="900"/>
      <c r="D564" s="900"/>
      <c r="E564" s="900"/>
      <c r="F564" s="900"/>
      <c r="G564" s="900"/>
      <c r="H564" s="900"/>
      <c r="I564" s="900"/>
      <c r="J564" s="900"/>
      <c r="K564" s="900"/>
      <c r="L564" s="900"/>
      <c r="M564" s="900"/>
      <c r="N564" s="900"/>
      <c r="O564" s="900"/>
      <c r="P564" s="900"/>
    </row>
    <row r="565" spans="3:16" ht="14.25">
      <c r="C565" s="900"/>
      <c r="D565" s="900"/>
      <c r="E565" s="900"/>
      <c r="F565" s="900"/>
      <c r="G565" s="900"/>
      <c r="H565" s="900"/>
      <c r="I565" s="900"/>
      <c r="J565" s="900"/>
      <c r="K565" s="900"/>
      <c r="L565" s="900"/>
      <c r="M565" s="900"/>
      <c r="N565" s="900"/>
      <c r="O565" s="900"/>
      <c r="P565" s="900"/>
    </row>
    <row r="566" spans="3:16" ht="14.25">
      <c r="C566" s="900"/>
      <c r="D566" s="900"/>
      <c r="E566" s="900"/>
      <c r="F566" s="900"/>
      <c r="G566" s="900"/>
      <c r="H566" s="900"/>
      <c r="I566" s="900"/>
      <c r="J566" s="900"/>
      <c r="K566" s="900"/>
      <c r="L566" s="900"/>
      <c r="M566" s="900"/>
      <c r="N566" s="900"/>
      <c r="O566" s="900"/>
      <c r="P566" s="900"/>
    </row>
    <row r="567" spans="3:16" ht="14.25">
      <c r="C567" s="900"/>
      <c r="D567" s="900"/>
      <c r="E567" s="900"/>
      <c r="F567" s="900"/>
      <c r="G567" s="900"/>
      <c r="H567" s="900"/>
      <c r="I567" s="900"/>
      <c r="J567" s="900"/>
      <c r="K567" s="900"/>
      <c r="L567" s="900"/>
      <c r="M567" s="900"/>
      <c r="N567" s="900"/>
      <c r="O567" s="900"/>
      <c r="P567" s="900"/>
    </row>
    <row r="568" spans="3:16" ht="14.25">
      <c r="C568" s="900"/>
      <c r="D568" s="900"/>
      <c r="E568" s="900"/>
      <c r="F568" s="900"/>
      <c r="G568" s="900"/>
      <c r="H568" s="900"/>
      <c r="I568" s="900"/>
      <c r="J568" s="900"/>
      <c r="K568" s="900"/>
      <c r="L568" s="900"/>
      <c r="M568" s="900"/>
      <c r="N568" s="900"/>
      <c r="O568" s="900"/>
      <c r="P568" s="900"/>
    </row>
    <row r="569" spans="3:16" ht="14.25">
      <c r="C569" s="900"/>
      <c r="D569" s="900"/>
      <c r="E569" s="900"/>
      <c r="F569" s="900"/>
      <c r="G569" s="900"/>
      <c r="H569" s="900"/>
      <c r="I569" s="900"/>
      <c r="J569" s="900"/>
      <c r="K569" s="900"/>
      <c r="L569" s="900"/>
      <c r="M569" s="900"/>
      <c r="N569" s="900"/>
      <c r="O569" s="900"/>
      <c r="P569" s="900"/>
    </row>
    <row r="570" spans="3:16" ht="14.25">
      <c r="C570" s="900"/>
      <c r="D570" s="900"/>
      <c r="E570" s="900"/>
      <c r="F570" s="900"/>
      <c r="G570" s="900"/>
      <c r="H570" s="900"/>
      <c r="I570" s="900"/>
      <c r="J570" s="900"/>
      <c r="K570" s="900"/>
      <c r="L570" s="900"/>
      <c r="M570" s="900"/>
      <c r="N570" s="900"/>
      <c r="O570" s="900"/>
      <c r="P570" s="900"/>
    </row>
    <row r="571" spans="3:16" ht="14.25">
      <c r="C571" s="900"/>
      <c r="D571" s="900"/>
      <c r="E571" s="900"/>
      <c r="F571" s="900"/>
      <c r="G571" s="900"/>
      <c r="H571" s="900"/>
      <c r="I571" s="900"/>
      <c r="J571" s="900"/>
      <c r="K571" s="900"/>
      <c r="L571" s="900"/>
      <c r="M571" s="900"/>
      <c r="N571" s="900"/>
      <c r="O571" s="900"/>
      <c r="P571" s="900"/>
    </row>
    <row r="572" spans="3:16" ht="14.25">
      <c r="C572" s="900"/>
      <c r="D572" s="900"/>
      <c r="E572" s="900"/>
      <c r="F572" s="900"/>
      <c r="G572" s="900"/>
      <c r="H572" s="900"/>
      <c r="I572" s="900"/>
      <c r="J572" s="900"/>
      <c r="K572" s="900"/>
      <c r="L572" s="900"/>
      <c r="M572" s="900"/>
      <c r="N572" s="900"/>
      <c r="O572" s="900"/>
      <c r="P572" s="900"/>
    </row>
    <row r="573" spans="3:16" ht="14.25">
      <c r="C573" s="900"/>
      <c r="D573" s="900"/>
      <c r="E573" s="900"/>
      <c r="F573" s="900"/>
      <c r="G573" s="900"/>
      <c r="H573" s="900"/>
      <c r="I573" s="900"/>
      <c r="J573" s="900"/>
      <c r="K573" s="900"/>
      <c r="L573" s="900"/>
      <c r="M573" s="900"/>
      <c r="N573" s="900"/>
      <c r="O573" s="900"/>
      <c r="P573" s="900"/>
    </row>
    <row r="574" spans="3:16" ht="14.25">
      <c r="C574" s="900"/>
      <c r="D574" s="900"/>
      <c r="E574" s="900"/>
      <c r="F574" s="900"/>
      <c r="G574" s="900"/>
      <c r="H574" s="900"/>
      <c r="I574" s="900"/>
      <c r="J574" s="900"/>
      <c r="K574" s="900"/>
      <c r="L574" s="900"/>
      <c r="M574" s="900"/>
      <c r="N574" s="900"/>
      <c r="O574" s="900"/>
      <c r="P574" s="900"/>
    </row>
    <row r="575" spans="3:16" ht="14.25">
      <c r="C575" s="900"/>
      <c r="D575" s="900"/>
      <c r="E575" s="900"/>
      <c r="F575" s="900"/>
      <c r="G575" s="900"/>
      <c r="H575" s="900"/>
      <c r="I575" s="900"/>
      <c r="J575" s="900"/>
      <c r="K575" s="900"/>
      <c r="L575" s="900"/>
      <c r="M575" s="900"/>
      <c r="N575" s="900"/>
      <c r="O575" s="900"/>
      <c r="P575" s="900"/>
    </row>
    <row r="576" spans="3:16" ht="14.25">
      <c r="C576" s="900"/>
      <c r="D576" s="900"/>
      <c r="E576" s="900"/>
      <c r="F576" s="900"/>
      <c r="G576" s="900"/>
      <c r="H576" s="900"/>
      <c r="I576" s="900"/>
      <c r="J576" s="900"/>
      <c r="K576" s="900"/>
      <c r="L576" s="900"/>
      <c r="M576" s="900"/>
      <c r="N576" s="900"/>
      <c r="O576" s="900"/>
      <c r="P576" s="900"/>
    </row>
    <row r="577" spans="3:16" ht="14.25">
      <c r="C577" s="900"/>
      <c r="D577" s="900"/>
      <c r="E577" s="900"/>
      <c r="F577" s="900"/>
      <c r="G577" s="900"/>
      <c r="H577" s="900"/>
      <c r="I577" s="900"/>
      <c r="J577" s="900"/>
      <c r="K577" s="900"/>
      <c r="L577" s="900"/>
      <c r="M577" s="900"/>
      <c r="N577" s="900"/>
      <c r="O577" s="900"/>
      <c r="P577" s="900"/>
    </row>
    <row r="578" spans="3:16" ht="14.25">
      <c r="C578" s="900"/>
      <c r="D578" s="900"/>
      <c r="E578" s="900"/>
      <c r="F578" s="900"/>
      <c r="G578" s="900"/>
      <c r="H578" s="900"/>
      <c r="I578" s="900"/>
      <c r="J578" s="900"/>
      <c r="K578" s="900"/>
      <c r="L578" s="900"/>
      <c r="M578" s="900"/>
      <c r="N578" s="900"/>
      <c r="O578" s="900"/>
      <c r="P578" s="900"/>
    </row>
    <row r="579" spans="3:16" ht="14.25">
      <c r="C579" s="900"/>
      <c r="D579" s="900"/>
      <c r="E579" s="900"/>
      <c r="F579" s="900"/>
      <c r="G579" s="900"/>
      <c r="H579" s="900"/>
      <c r="I579" s="900"/>
      <c r="J579" s="900"/>
      <c r="K579" s="900"/>
      <c r="L579" s="900"/>
      <c r="M579" s="900"/>
      <c r="N579" s="900"/>
      <c r="O579" s="900"/>
      <c r="P579" s="900"/>
    </row>
    <row r="580" spans="3:16" ht="14.25">
      <c r="C580" s="900"/>
      <c r="D580" s="900"/>
      <c r="E580" s="900"/>
      <c r="F580" s="900"/>
      <c r="G580" s="900"/>
      <c r="H580" s="900"/>
      <c r="I580" s="900"/>
      <c r="J580" s="900"/>
      <c r="K580" s="900"/>
      <c r="L580" s="900"/>
      <c r="M580" s="900"/>
      <c r="N580" s="900"/>
      <c r="O580" s="900"/>
      <c r="P580" s="900"/>
    </row>
    <row r="581" spans="3:16" ht="14.25">
      <c r="C581" s="900"/>
      <c r="D581" s="900"/>
      <c r="E581" s="900"/>
      <c r="F581" s="900"/>
      <c r="G581" s="900"/>
      <c r="H581" s="900"/>
      <c r="I581" s="900"/>
      <c r="J581" s="900"/>
      <c r="K581" s="900"/>
      <c r="L581" s="900"/>
      <c r="M581" s="900"/>
      <c r="N581" s="900"/>
      <c r="O581" s="900"/>
      <c r="P581" s="900"/>
    </row>
    <row r="582" spans="3:16" ht="14.25">
      <c r="C582" s="900"/>
      <c r="D582" s="900"/>
      <c r="E582" s="900"/>
      <c r="F582" s="900"/>
      <c r="G582" s="900"/>
      <c r="H582" s="900"/>
      <c r="I582" s="900"/>
      <c r="J582" s="900"/>
      <c r="K582" s="900"/>
      <c r="L582" s="900"/>
      <c r="M582" s="900"/>
      <c r="N582" s="900"/>
      <c r="O582" s="900"/>
      <c r="P582" s="900"/>
    </row>
    <row r="583" spans="3:16" ht="14.25">
      <c r="C583" s="900"/>
      <c r="D583" s="900"/>
      <c r="E583" s="900"/>
      <c r="F583" s="900"/>
      <c r="G583" s="900"/>
      <c r="H583" s="900"/>
      <c r="I583" s="900"/>
      <c r="J583" s="900"/>
      <c r="K583" s="900"/>
      <c r="L583" s="900"/>
      <c r="M583" s="900"/>
      <c r="N583" s="900"/>
      <c r="O583" s="900"/>
      <c r="P583" s="900"/>
    </row>
    <row r="584" spans="3:16" ht="14.25">
      <c r="C584" s="900"/>
      <c r="D584" s="900"/>
      <c r="E584" s="900"/>
      <c r="F584" s="900"/>
      <c r="G584" s="900"/>
      <c r="H584" s="900"/>
      <c r="I584" s="900"/>
      <c r="J584" s="900"/>
      <c r="K584" s="900"/>
      <c r="L584" s="900"/>
      <c r="M584" s="900"/>
      <c r="N584" s="900"/>
      <c r="O584" s="900"/>
      <c r="P584" s="900"/>
    </row>
    <row r="585" spans="3:16" ht="14.25">
      <c r="C585" s="900"/>
      <c r="D585" s="900"/>
      <c r="E585" s="900"/>
      <c r="F585" s="900"/>
      <c r="G585" s="900"/>
      <c r="H585" s="900"/>
      <c r="I585" s="900"/>
      <c r="J585" s="900"/>
      <c r="K585" s="900"/>
      <c r="L585" s="900"/>
      <c r="M585" s="900"/>
      <c r="N585" s="900"/>
      <c r="O585" s="900"/>
      <c r="P585" s="900"/>
    </row>
    <row r="586" spans="3:16" ht="14.25">
      <c r="C586" s="900"/>
      <c r="D586" s="900"/>
      <c r="E586" s="900"/>
      <c r="F586" s="900"/>
      <c r="G586" s="900"/>
      <c r="H586" s="900"/>
      <c r="I586" s="900"/>
      <c r="J586" s="900"/>
      <c r="K586" s="900"/>
      <c r="L586" s="900"/>
      <c r="M586" s="900"/>
      <c r="N586" s="900"/>
      <c r="O586" s="900"/>
      <c r="P586" s="900"/>
    </row>
    <row r="587" spans="3:16" ht="14.25">
      <c r="C587" s="900"/>
      <c r="D587" s="900"/>
      <c r="E587" s="900"/>
      <c r="F587" s="900"/>
      <c r="G587" s="900"/>
      <c r="H587" s="900"/>
      <c r="I587" s="900"/>
      <c r="J587" s="900"/>
      <c r="K587" s="900"/>
      <c r="L587" s="900"/>
      <c r="M587" s="900"/>
      <c r="N587" s="900"/>
      <c r="O587" s="900"/>
      <c r="P587" s="900"/>
    </row>
    <row r="588" spans="3:16" ht="14.25">
      <c r="C588" s="900"/>
      <c r="D588" s="900"/>
      <c r="E588" s="900"/>
      <c r="F588" s="900"/>
      <c r="G588" s="900"/>
      <c r="H588" s="900"/>
      <c r="I588" s="900"/>
      <c r="J588" s="900"/>
      <c r="K588" s="900"/>
      <c r="L588" s="900"/>
      <c r="M588" s="900"/>
      <c r="N588" s="900"/>
      <c r="O588" s="900"/>
      <c r="P588" s="900"/>
    </row>
    <row r="589" spans="3:16" ht="14.25">
      <c r="C589" s="900"/>
      <c r="D589" s="900"/>
      <c r="E589" s="900"/>
      <c r="F589" s="900"/>
      <c r="G589" s="900"/>
      <c r="H589" s="900"/>
      <c r="I589" s="900"/>
      <c r="J589" s="900"/>
      <c r="K589" s="900"/>
      <c r="L589" s="900"/>
      <c r="M589" s="900"/>
      <c r="N589" s="900"/>
      <c r="O589" s="900"/>
      <c r="P589" s="900"/>
    </row>
    <row r="590" spans="3:16" ht="14.25">
      <c r="C590" s="900"/>
      <c r="D590" s="900"/>
      <c r="E590" s="900"/>
      <c r="F590" s="900"/>
      <c r="G590" s="900"/>
      <c r="H590" s="900"/>
      <c r="I590" s="900"/>
      <c r="J590" s="900"/>
      <c r="K590" s="900"/>
      <c r="L590" s="900"/>
      <c r="M590" s="900"/>
      <c r="N590" s="900"/>
      <c r="O590" s="900"/>
      <c r="P590" s="900"/>
    </row>
    <row r="591" spans="3:16" ht="14.25">
      <c r="C591" s="900"/>
      <c r="D591" s="900"/>
      <c r="E591" s="900"/>
      <c r="F591" s="900"/>
      <c r="G591" s="900"/>
      <c r="H591" s="900"/>
      <c r="I591" s="900"/>
      <c r="J591" s="900"/>
      <c r="K591" s="900"/>
      <c r="L591" s="900"/>
      <c r="M591" s="900"/>
      <c r="N591" s="900"/>
      <c r="O591" s="900"/>
      <c r="P591" s="900"/>
    </row>
    <row r="592" spans="3:16" ht="14.25">
      <c r="C592" s="900"/>
      <c r="D592" s="900"/>
      <c r="E592" s="900"/>
      <c r="F592" s="900"/>
      <c r="G592" s="900"/>
      <c r="H592" s="900"/>
      <c r="I592" s="900"/>
      <c r="J592" s="900"/>
      <c r="K592" s="900"/>
      <c r="L592" s="900"/>
      <c r="M592" s="900"/>
      <c r="N592" s="900"/>
      <c r="O592" s="900"/>
      <c r="P592" s="900"/>
    </row>
    <row r="593" spans="3:16" ht="14.25">
      <c r="C593" s="900"/>
      <c r="D593" s="900"/>
      <c r="E593" s="900"/>
      <c r="F593" s="900"/>
      <c r="G593" s="900"/>
      <c r="H593" s="900"/>
      <c r="I593" s="900"/>
      <c r="J593" s="900"/>
      <c r="K593" s="900"/>
      <c r="L593" s="900"/>
      <c r="M593" s="900"/>
      <c r="N593" s="900"/>
      <c r="O593" s="900"/>
      <c r="P593" s="900"/>
    </row>
    <row r="594" spans="3:16" ht="14.25">
      <c r="C594" s="900"/>
      <c r="D594" s="900"/>
      <c r="E594" s="900"/>
      <c r="F594" s="900"/>
      <c r="G594" s="900"/>
      <c r="H594" s="900"/>
      <c r="I594" s="900"/>
      <c r="J594" s="900"/>
      <c r="K594" s="900"/>
      <c r="L594" s="900"/>
      <c r="M594" s="900"/>
      <c r="N594" s="900"/>
      <c r="O594" s="900"/>
      <c r="P594" s="900"/>
    </row>
    <row r="595" spans="3:16" ht="14.25">
      <c r="C595" s="900"/>
      <c r="D595" s="900"/>
      <c r="E595" s="900"/>
      <c r="F595" s="900"/>
      <c r="G595" s="900"/>
      <c r="H595" s="900"/>
      <c r="I595" s="900"/>
      <c r="J595" s="900"/>
      <c r="K595" s="900"/>
      <c r="L595" s="900"/>
      <c r="M595" s="900"/>
      <c r="N595" s="900"/>
      <c r="O595" s="900"/>
      <c r="P595" s="900"/>
    </row>
    <row r="596" spans="3:16" ht="14.25">
      <c r="C596" s="900"/>
      <c r="D596" s="900"/>
      <c r="E596" s="900"/>
      <c r="F596" s="900"/>
      <c r="G596" s="900"/>
      <c r="H596" s="900"/>
      <c r="I596" s="900"/>
      <c r="J596" s="900"/>
      <c r="K596" s="900"/>
      <c r="L596" s="900"/>
      <c r="M596" s="900"/>
      <c r="N596" s="900"/>
      <c r="O596" s="900"/>
      <c r="P596" s="900"/>
    </row>
    <row r="597" spans="3:16" ht="14.25">
      <c r="C597" s="900"/>
      <c r="D597" s="900"/>
      <c r="E597" s="900"/>
      <c r="F597" s="900"/>
      <c r="G597" s="900"/>
      <c r="H597" s="900"/>
      <c r="I597" s="900"/>
      <c r="J597" s="900"/>
      <c r="K597" s="900"/>
      <c r="L597" s="900"/>
      <c r="M597" s="900"/>
      <c r="N597" s="900"/>
      <c r="O597" s="900"/>
      <c r="P597" s="900"/>
    </row>
    <row r="598" spans="3:16" ht="14.25">
      <c r="C598" s="900"/>
      <c r="D598" s="900"/>
      <c r="E598" s="900"/>
      <c r="F598" s="900"/>
      <c r="G598" s="900"/>
      <c r="H598" s="900"/>
      <c r="I598" s="900"/>
      <c r="J598" s="900"/>
      <c r="K598" s="900"/>
      <c r="L598" s="900"/>
      <c r="M598" s="900"/>
      <c r="N598" s="900"/>
      <c r="O598" s="900"/>
      <c r="P598" s="900"/>
    </row>
    <row r="599" spans="3:16" ht="14.25">
      <c r="C599" s="900"/>
      <c r="D599" s="900"/>
      <c r="E599" s="900"/>
      <c r="F599" s="900"/>
      <c r="G599" s="900"/>
      <c r="H599" s="900"/>
      <c r="I599" s="900"/>
      <c r="J599" s="900"/>
      <c r="K599" s="900"/>
      <c r="L599" s="900"/>
      <c r="M599" s="900"/>
      <c r="N599" s="900"/>
      <c r="O599" s="900"/>
      <c r="P599" s="900"/>
    </row>
    <row r="600" spans="3:16" ht="14.25">
      <c r="C600" s="900"/>
      <c r="D600" s="900"/>
      <c r="E600" s="900"/>
      <c r="F600" s="900"/>
      <c r="G600" s="900"/>
      <c r="H600" s="900"/>
      <c r="I600" s="900"/>
      <c r="J600" s="900"/>
      <c r="K600" s="900"/>
      <c r="L600" s="900"/>
      <c r="M600" s="900"/>
      <c r="N600" s="900"/>
      <c r="O600" s="900"/>
      <c r="P600" s="900"/>
    </row>
    <row r="601" spans="3:16" ht="14.25">
      <c r="C601" s="900"/>
      <c r="D601" s="900"/>
      <c r="E601" s="900"/>
      <c r="F601" s="900"/>
      <c r="G601" s="900"/>
      <c r="H601" s="900"/>
      <c r="I601" s="900"/>
      <c r="J601" s="900"/>
      <c r="K601" s="900"/>
      <c r="L601" s="900"/>
      <c r="M601" s="900"/>
      <c r="N601" s="900"/>
      <c r="O601" s="900"/>
      <c r="P601" s="900"/>
    </row>
    <row r="602" spans="3:16" ht="14.25">
      <c r="C602" s="900"/>
      <c r="D602" s="900"/>
      <c r="E602" s="900"/>
      <c r="F602" s="900"/>
      <c r="G602" s="900"/>
      <c r="H602" s="900"/>
      <c r="I602" s="900"/>
      <c r="J602" s="900"/>
      <c r="K602" s="900"/>
      <c r="L602" s="900"/>
      <c r="M602" s="900"/>
      <c r="N602" s="900"/>
      <c r="O602" s="900"/>
      <c r="P602" s="900"/>
    </row>
    <row r="603" spans="3:16" ht="14.25">
      <c r="C603" s="900"/>
      <c r="D603" s="900"/>
      <c r="E603" s="900"/>
      <c r="F603" s="900"/>
      <c r="G603" s="900"/>
      <c r="H603" s="900"/>
      <c r="I603" s="900"/>
      <c r="J603" s="900"/>
      <c r="K603" s="900"/>
      <c r="L603" s="900"/>
      <c r="M603" s="900"/>
      <c r="N603" s="900"/>
      <c r="O603" s="900"/>
      <c r="P603" s="900"/>
    </row>
    <row r="604" spans="3:16" ht="14.25">
      <c r="C604" s="900"/>
      <c r="D604" s="900"/>
      <c r="E604" s="900"/>
      <c r="F604" s="900"/>
      <c r="G604" s="900"/>
      <c r="H604" s="900"/>
      <c r="I604" s="900"/>
      <c r="J604" s="900"/>
      <c r="K604" s="900"/>
      <c r="L604" s="900"/>
      <c r="M604" s="900"/>
      <c r="N604" s="900"/>
      <c r="O604" s="900"/>
      <c r="P604" s="900"/>
    </row>
    <row r="605" spans="3:16" ht="14.25">
      <c r="C605" s="900"/>
      <c r="D605" s="900"/>
      <c r="E605" s="900"/>
      <c r="F605" s="900"/>
      <c r="G605" s="900"/>
      <c r="H605" s="900"/>
      <c r="I605" s="900"/>
      <c r="J605" s="900"/>
      <c r="K605" s="900"/>
      <c r="L605" s="900"/>
      <c r="M605" s="900"/>
      <c r="N605" s="900"/>
      <c r="O605" s="900"/>
      <c r="P605" s="900"/>
    </row>
    <row r="606" spans="3:16" ht="14.25">
      <c r="C606" s="900"/>
      <c r="D606" s="900"/>
      <c r="E606" s="900"/>
      <c r="F606" s="900"/>
      <c r="G606" s="900"/>
      <c r="H606" s="900"/>
      <c r="I606" s="900"/>
      <c r="J606" s="900"/>
      <c r="K606" s="900"/>
      <c r="L606" s="900"/>
      <c r="M606" s="900"/>
      <c r="N606" s="900"/>
      <c r="O606" s="900"/>
      <c r="P606" s="900"/>
    </row>
    <row r="607" spans="3:16" ht="14.25">
      <c r="C607" s="900"/>
      <c r="D607" s="900"/>
      <c r="E607" s="900"/>
      <c r="F607" s="900"/>
      <c r="G607" s="900"/>
      <c r="H607" s="900"/>
      <c r="I607" s="900"/>
      <c r="J607" s="900"/>
      <c r="K607" s="900"/>
      <c r="L607" s="900"/>
      <c r="M607" s="900"/>
      <c r="N607" s="900"/>
      <c r="O607" s="900"/>
      <c r="P607" s="900"/>
    </row>
    <row r="608" spans="3:16" ht="14.25">
      <c r="C608" s="900"/>
      <c r="D608" s="900"/>
      <c r="E608" s="900"/>
      <c r="F608" s="900"/>
      <c r="G608" s="900"/>
      <c r="H608" s="900"/>
      <c r="I608" s="900"/>
      <c r="J608" s="900"/>
      <c r="K608" s="900"/>
      <c r="L608" s="900"/>
      <c r="M608" s="900"/>
      <c r="N608" s="900"/>
      <c r="O608" s="900"/>
      <c r="P608" s="900"/>
    </row>
    <row r="609" spans="3:16" ht="14.25">
      <c r="C609" s="900"/>
      <c r="D609" s="900"/>
      <c r="E609" s="900"/>
      <c r="F609" s="900"/>
      <c r="G609" s="900"/>
      <c r="H609" s="900"/>
      <c r="I609" s="900"/>
      <c r="J609" s="900"/>
      <c r="K609" s="900"/>
      <c r="L609" s="900"/>
      <c r="M609" s="900"/>
      <c r="N609" s="900"/>
      <c r="O609" s="900"/>
      <c r="P609" s="900"/>
    </row>
    <row r="610" spans="3:16" ht="14.25">
      <c r="C610" s="900"/>
      <c r="D610" s="900"/>
      <c r="E610" s="900"/>
      <c r="F610" s="900"/>
      <c r="G610" s="900"/>
      <c r="H610" s="900"/>
      <c r="I610" s="900"/>
      <c r="J610" s="900"/>
      <c r="K610" s="900"/>
      <c r="L610" s="900"/>
      <c r="M610" s="900"/>
      <c r="N610" s="900"/>
      <c r="O610" s="900"/>
      <c r="P610" s="900"/>
    </row>
    <row r="611" spans="3:16" ht="14.25">
      <c r="C611" s="900"/>
      <c r="D611" s="900"/>
      <c r="E611" s="900"/>
      <c r="F611" s="900"/>
      <c r="G611" s="900"/>
      <c r="H611" s="900"/>
      <c r="I611" s="900"/>
      <c r="J611" s="900"/>
      <c r="K611" s="900"/>
      <c r="L611" s="900"/>
      <c r="M611" s="900"/>
      <c r="N611" s="900"/>
      <c r="O611" s="900"/>
      <c r="P611" s="900"/>
    </row>
    <row r="612" spans="3:16" ht="14.25">
      <c r="C612" s="900"/>
      <c r="D612" s="900"/>
      <c r="E612" s="900"/>
      <c r="F612" s="900"/>
      <c r="G612" s="900"/>
      <c r="H612" s="900"/>
      <c r="I612" s="900"/>
      <c r="J612" s="900"/>
      <c r="K612" s="900"/>
      <c r="L612" s="900"/>
      <c r="M612" s="900"/>
      <c r="N612" s="900"/>
      <c r="O612" s="900"/>
      <c r="P612" s="900"/>
    </row>
    <row r="613" spans="3:16" ht="14.25">
      <c r="C613" s="900"/>
      <c r="D613" s="900"/>
      <c r="E613" s="900"/>
      <c r="F613" s="900"/>
      <c r="G613" s="900"/>
      <c r="H613" s="900"/>
      <c r="I613" s="900"/>
      <c r="J613" s="900"/>
      <c r="K613" s="900"/>
      <c r="L613" s="900"/>
      <c r="M613" s="900"/>
      <c r="N613" s="900"/>
      <c r="O613" s="900"/>
      <c r="P613" s="900"/>
    </row>
    <row r="614" spans="3:16" ht="14.25">
      <c r="C614" s="900"/>
      <c r="D614" s="900"/>
      <c r="E614" s="900"/>
      <c r="F614" s="900"/>
      <c r="G614" s="900"/>
      <c r="H614" s="900"/>
      <c r="I614" s="900"/>
      <c r="J614" s="900"/>
      <c r="K614" s="900"/>
      <c r="L614" s="900"/>
      <c r="M614" s="900"/>
      <c r="N614" s="900"/>
      <c r="O614" s="900"/>
      <c r="P614" s="900"/>
    </row>
    <row r="615" spans="3:16" ht="14.25">
      <c r="C615" s="900"/>
      <c r="D615" s="900"/>
      <c r="E615" s="900"/>
      <c r="F615" s="900"/>
      <c r="G615" s="900"/>
      <c r="H615" s="900"/>
      <c r="I615" s="900"/>
      <c r="J615" s="900"/>
      <c r="K615" s="900"/>
      <c r="L615" s="900"/>
      <c r="M615" s="900"/>
      <c r="N615" s="900"/>
      <c r="O615" s="900"/>
      <c r="P615" s="900"/>
    </row>
    <row r="616" spans="3:16" ht="14.25">
      <c r="C616" s="900"/>
      <c r="D616" s="900"/>
      <c r="E616" s="900"/>
      <c r="F616" s="900"/>
      <c r="G616" s="900"/>
      <c r="H616" s="900"/>
      <c r="I616" s="900"/>
      <c r="J616" s="900"/>
      <c r="K616" s="900"/>
      <c r="L616" s="900"/>
      <c r="M616" s="900"/>
      <c r="N616" s="900"/>
      <c r="O616" s="900"/>
      <c r="P616" s="900"/>
    </row>
    <row r="617" spans="3:16" ht="14.25">
      <c r="C617" s="900"/>
      <c r="D617" s="900"/>
      <c r="E617" s="900"/>
      <c r="F617" s="900"/>
      <c r="G617" s="900"/>
      <c r="H617" s="900"/>
      <c r="I617" s="900"/>
      <c r="J617" s="900"/>
      <c r="K617" s="900"/>
      <c r="L617" s="900"/>
      <c r="M617" s="900"/>
      <c r="N617" s="900"/>
      <c r="O617" s="900"/>
      <c r="P617" s="900"/>
    </row>
    <row r="618" spans="3:16" ht="14.25">
      <c r="C618" s="900"/>
      <c r="D618" s="900"/>
      <c r="E618" s="900"/>
      <c r="F618" s="900"/>
      <c r="G618" s="900"/>
      <c r="H618" s="900"/>
      <c r="I618" s="900"/>
      <c r="J618" s="900"/>
      <c r="K618" s="900"/>
      <c r="L618" s="900"/>
      <c r="M618" s="900"/>
      <c r="N618" s="900"/>
      <c r="O618" s="900"/>
      <c r="P618" s="900"/>
    </row>
    <row r="619" spans="3:16" ht="14.25">
      <c r="C619" s="900"/>
      <c r="D619" s="900"/>
      <c r="E619" s="900"/>
      <c r="F619" s="900"/>
      <c r="G619" s="900"/>
      <c r="H619" s="900"/>
      <c r="I619" s="900"/>
      <c r="J619" s="900"/>
      <c r="K619" s="900"/>
      <c r="L619" s="900"/>
      <c r="M619" s="900"/>
      <c r="N619" s="900"/>
      <c r="O619" s="900"/>
      <c r="P619" s="900"/>
    </row>
    <row r="620" spans="3:16" ht="14.25">
      <c r="C620" s="900"/>
      <c r="D620" s="900"/>
      <c r="E620" s="900"/>
      <c r="F620" s="900"/>
      <c r="G620" s="900"/>
      <c r="H620" s="900"/>
      <c r="I620" s="900"/>
      <c r="J620" s="900"/>
      <c r="K620" s="900"/>
      <c r="L620" s="900"/>
      <c r="M620" s="900"/>
      <c r="N620" s="900"/>
      <c r="O620" s="900"/>
      <c r="P620" s="900"/>
    </row>
    <row r="621" spans="3:16" ht="14.25">
      <c r="C621" s="900"/>
      <c r="D621" s="900"/>
      <c r="E621" s="900"/>
      <c r="F621" s="900"/>
      <c r="G621" s="900"/>
      <c r="H621" s="900"/>
      <c r="I621" s="900"/>
      <c r="J621" s="900"/>
      <c r="K621" s="900"/>
      <c r="L621" s="900"/>
      <c r="M621" s="900"/>
      <c r="N621" s="900"/>
      <c r="O621" s="900"/>
      <c r="P621" s="900"/>
    </row>
    <row r="622" spans="3:16" ht="14.25">
      <c r="C622" s="900"/>
      <c r="D622" s="900"/>
      <c r="E622" s="900"/>
      <c r="F622" s="900"/>
      <c r="G622" s="900"/>
      <c r="H622" s="900"/>
      <c r="I622" s="900"/>
      <c r="J622" s="900"/>
      <c r="K622" s="900"/>
      <c r="L622" s="900"/>
      <c r="M622" s="900"/>
      <c r="N622" s="900"/>
      <c r="O622" s="900"/>
      <c r="P622" s="900"/>
    </row>
    <row r="623" spans="3:16" ht="14.25">
      <c r="C623" s="900"/>
      <c r="D623" s="900"/>
      <c r="E623" s="900"/>
      <c r="F623" s="900"/>
      <c r="G623" s="900"/>
      <c r="H623" s="900"/>
      <c r="I623" s="900"/>
      <c r="J623" s="900"/>
      <c r="K623" s="900"/>
      <c r="L623" s="900"/>
      <c r="M623" s="900"/>
      <c r="N623" s="900"/>
      <c r="O623" s="900"/>
      <c r="P623" s="900"/>
    </row>
    <row r="624" spans="3:16" ht="14.25">
      <c r="C624" s="900"/>
      <c r="D624" s="900"/>
      <c r="E624" s="900"/>
      <c r="F624" s="900"/>
      <c r="G624" s="900"/>
      <c r="H624" s="900"/>
      <c r="I624" s="900"/>
      <c r="J624" s="900"/>
      <c r="K624" s="900"/>
      <c r="L624" s="900"/>
      <c r="M624" s="900"/>
      <c r="N624" s="900"/>
      <c r="O624" s="900"/>
      <c r="P624" s="900"/>
    </row>
    <row r="625" spans="3:16" ht="14.25">
      <c r="C625" s="900"/>
      <c r="D625" s="900"/>
      <c r="E625" s="900"/>
      <c r="F625" s="900"/>
      <c r="G625" s="900"/>
      <c r="H625" s="900"/>
      <c r="I625" s="900"/>
      <c r="J625" s="900"/>
      <c r="K625" s="900"/>
      <c r="L625" s="900"/>
      <c r="M625" s="900"/>
      <c r="N625" s="900"/>
      <c r="O625" s="900"/>
      <c r="P625" s="900"/>
    </row>
    <row r="626" spans="3:16" ht="14.25">
      <c r="C626" s="900"/>
      <c r="D626" s="900"/>
      <c r="E626" s="900"/>
      <c r="F626" s="900"/>
      <c r="G626" s="900"/>
      <c r="H626" s="900"/>
      <c r="I626" s="900"/>
      <c r="J626" s="900"/>
      <c r="K626" s="900"/>
      <c r="L626" s="900"/>
      <c r="M626" s="900"/>
      <c r="N626" s="900"/>
      <c r="O626" s="900"/>
      <c r="P626" s="900"/>
    </row>
    <row r="627" spans="3:16" ht="14.25">
      <c r="C627" s="900"/>
      <c r="D627" s="900"/>
      <c r="E627" s="900"/>
      <c r="F627" s="900"/>
      <c r="G627" s="900"/>
      <c r="H627" s="900"/>
      <c r="I627" s="900"/>
      <c r="J627" s="900"/>
      <c r="K627" s="900"/>
      <c r="L627" s="900"/>
      <c r="M627" s="900"/>
      <c r="N627" s="900"/>
      <c r="O627" s="900"/>
      <c r="P627" s="900"/>
    </row>
    <row r="628" spans="3:16" ht="14.25">
      <c r="C628" s="900"/>
      <c r="D628" s="900"/>
      <c r="E628" s="900"/>
      <c r="F628" s="900"/>
      <c r="G628" s="900"/>
      <c r="H628" s="900"/>
      <c r="I628" s="900"/>
      <c r="J628" s="900"/>
      <c r="K628" s="900"/>
      <c r="L628" s="900"/>
      <c r="M628" s="900"/>
      <c r="N628" s="900"/>
      <c r="O628" s="900"/>
      <c r="P628" s="900"/>
    </row>
    <row r="629" spans="3:16" ht="14.25">
      <c r="C629" s="900"/>
      <c r="D629" s="900"/>
      <c r="E629" s="900"/>
      <c r="F629" s="900"/>
      <c r="G629" s="900"/>
      <c r="H629" s="900"/>
      <c r="I629" s="900"/>
      <c r="J629" s="900"/>
      <c r="K629" s="900"/>
      <c r="L629" s="900"/>
      <c r="M629" s="900"/>
      <c r="N629" s="900"/>
      <c r="O629" s="900"/>
      <c r="P629" s="900"/>
    </row>
    <row r="630" spans="3:16" ht="14.25">
      <c r="C630" s="900"/>
      <c r="D630" s="900"/>
      <c r="E630" s="900"/>
      <c r="F630" s="900"/>
      <c r="G630" s="900"/>
      <c r="H630" s="900"/>
      <c r="I630" s="900"/>
      <c r="J630" s="900"/>
      <c r="K630" s="900"/>
      <c r="L630" s="900"/>
      <c r="M630" s="900"/>
      <c r="N630" s="900"/>
      <c r="O630" s="900"/>
      <c r="P630" s="900"/>
    </row>
    <row r="631" spans="3:16" ht="14.25">
      <c r="C631" s="900"/>
      <c r="D631" s="900"/>
      <c r="E631" s="900"/>
      <c r="F631" s="900"/>
      <c r="G631" s="900"/>
      <c r="H631" s="900"/>
      <c r="I631" s="900"/>
      <c r="J631" s="900"/>
      <c r="K631" s="900"/>
      <c r="L631" s="900"/>
      <c r="M631" s="900"/>
      <c r="N631" s="900"/>
      <c r="O631" s="900"/>
      <c r="P631" s="900"/>
    </row>
    <row r="632" spans="3:16" ht="14.25">
      <c r="C632" s="900"/>
      <c r="D632" s="900"/>
      <c r="E632" s="900"/>
      <c r="F632" s="900"/>
      <c r="G632" s="900"/>
      <c r="H632" s="900"/>
      <c r="I632" s="900"/>
      <c r="J632" s="900"/>
      <c r="K632" s="900"/>
      <c r="L632" s="900"/>
      <c r="M632" s="900"/>
      <c r="N632" s="900"/>
      <c r="O632" s="900"/>
      <c r="P632" s="900"/>
    </row>
    <row r="633" spans="3:16" ht="14.25">
      <c r="C633" s="900"/>
      <c r="D633" s="900"/>
      <c r="E633" s="900"/>
      <c r="F633" s="900"/>
      <c r="G633" s="900"/>
      <c r="H633" s="900"/>
      <c r="I633" s="900"/>
      <c r="J633" s="900"/>
      <c r="K633" s="900"/>
      <c r="L633" s="900"/>
      <c r="M633" s="900"/>
      <c r="N633" s="900"/>
      <c r="O633" s="900"/>
      <c r="P633" s="900"/>
    </row>
    <row r="634" spans="3:16" ht="14.25">
      <c r="C634" s="900"/>
      <c r="D634" s="900"/>
      <c r="E634" s="900"/>
      <c r="F634" s="900"/>
      <c r="G634" s="900"/>
      <c r="H634" s="900"/>
      <c r="I634" s="900"/>
      <c r="J634" s="900"/>
      <c r="K634" s="900"/>
      <c r="L634" s="900"/>
      <c r="M634" s="900"/>
      <c r="N634" s="900"/>
      <c r="O634" s="900"/>
      <c r="P634" s="900"/>
    </row>
    <row r="635" spans="3:16" ht="14.25">
      <c r="C635" s="900"/>
      <c r="D635" s="900"/>
      <c r="E635" s="900"/>
      <c r="F635" s="900"/>
      <c r="G635" s="900"/>
      <c r="H635" s="900"/>
      <c r="I635" s="900"/>
      <c r="J635" s="900"/>
      <c r="K635" s="900"/>
      <c r="L635" s="900"/>
      <c r="M635" s="900"/>
      <c r="N635" s="900"/>
      <c r="O635" s="900"/>
      <c r="P635" s="900"/>
    </row>
    <row r="636" spans="3:16" ht="14.25">
      <c r="C636" s="900"/>
      <c r="D636" s="900"/>
      <c r="E636" s="900"/>
      <c r="F636" s="900"/>
      <c r="G636" s="900"/>
      <c r="H636" s="900"/>
      <c r="I636" s="900"/>
      <c r="J636" s="900"/>
      <c r="K636" s="900"/>
      <c r="L636" s="900"/>
      <c r="M636" s="900"/>
      <c r="N636" s="900"/>
      <c r="O636" s="900"/>
      <c r="P636" s="900"/>
    </row>
    <row r="637" spans="3:16" ht="14.25">
      <c r="C637" s="900"/>
      <c r="D637" s="900"/>
      <c r="E637" s="900"/>
      <c r="F637" s="900"/>
      <c r="G637" s="900"/>
      <c r="H637" s="900"/>
      <c r="I637" s="900"/>
      <c r="J637" s="900"/>
      <c r="K637" s="900"/>
      <c r="L637" s="900"/>
      <c r="M637" s="900"/>
      <c r="N637" s="900"/>
      <c r="O637" s="900"/>
      <c r="P637" s="900"/>
    </row>
    <row r="638" spans="3:16" ht="14.25">
      <c r="C638" s="900"/>
      <c r="D638" s="900"/>
      <c r="E638" s="900"/>
      <c r="F638" s="900"/>
      <c r="G638" s="900"/>
      <c r="H638" s="900"/>
      <c r="I638" s="900"/>
      <c r="J638" s="900"/>
      <c r="K638" s="900"/>
      <c r="L638" s="900"/>
      <c r="M638" s="900"/>
      <c r="N638" s="900"/>
      <c r="O638" s="900"/>
      <c r="P638" s="900"/>
    </row>
    <row r="639" spans="3:16" ht="14.25">
      <c r="C639" s="900"/>
      <c r="D639" s="900"/>
      <c r="E639" s="900"/>
      <c r="F639" s="900"/>
      <c r="G639" s="900"/>
      <c r="H639" s="900"/>
      <c r="I639" s="900"/>
      <c r="J639" s="900"/>
      <c r="K639" s="900"/>
      <c r="L639" s="900"/>
      <c r="M639" s="900"/>
      <c r="N639" s="900"/>
      <c r="O639" s="900"/>
      <c r="P639" s="900"/>
    </row>
    <row r="640" spans="3:16" ht="14.25">
      <c r="C640" s="900"/>
      <c r="D640" s="900"/>
      <c r="E640" s="900"/>
      <c r="F640" s="900"/>
      <c r="G640" s="900"/>
      <c r="H640" s="900"/>
      <c r="I640" s="900"/>
      <c r="J640" s="900"/>
      <c r="K640" s="900"/>
      <c r="L640" s="900"/>
      <c r="M640" s="900"/>
      <c r="N640" s="900"/>
      <c r="O640" s="900"/>
      <c r="P640" s="900"/>
    </row>
    <row r="641" spans="3:16" ht="14.25">
      <c r="C641" s="900"/>
      <c r="D641" s="900"/>
      <c r="E641" s="900"/>
      <c r="F641" s="900"/>
      <c r="G641" s="900"/>
      <c r="H641" s="900"/>
      <c r="I641" s="900"/>
      <c r="J641" s="900"/>
      <c r="K641" s="900"/>
      <c r="L641" s="900"/>
      <c r="M641" s="900"/>
      <c r="N641" s="900"/>
      <c r="O641" s="900"/>
      <c r="P641" s="900"/>
    </row>
    <row r="642" spans="3:16" ht="14.25">
      <c r="C642" s="900"/>
      <c r="D642" s="900"/>
      <c r="E642" s="900"/>
      <c r="F642" s="900"/>
      <c r="G642" s="900"/>
      <c r="H642" s="900"/>
      <c r="I642" s="900"/>
      <c r="J642" s="900"/>
      <c r="K642" s="900"/>
      <c r="L642" s="900"/>
      <c r="M642" s="900"/>
      <c r="N642" s="900"/>
      <c r="O642" s="900"/>
      <c r="P642" s="900"/>
    </row>
    <row r="643" spans="3:16" ht="14.25">
      <c r="C643" s="900"/>
      <c r="D643" s="900"/>
      <c r="E643" s="900"/>
      <c r="F643" s="900"/>
      <c r="G643" s="900"/>
      <c r="H643" s="900"/>
      <c r="I643" s="900"/>
      <c r="J643" s="900"/>
      <c r="K643" s="900"/>
      <c r="L643" s="900"/>
      <c r="M643" s="900"/>
      <c r="N643" s="900"/>
      <c r="O643" s="900"/>
      <c r="P643" s="900"/>
    </row>
    <row r="644" spans="3:16" ht="14.25">
      <c r="C644" s="900"/>
      <c r="D644" s="900"/>
      <c r="E644" s="900"/>
      <c r="F644" s="900"/>
      <c r="G644" s="900"/>
      <c r="H644" s="900"/>
      <c r="I644" s="900"/>
      <c r="J644" s="900"/>
      <c r="K644" s="900"/>
      <c r="L644" s="900"/>
      <c r="M644" s="900"/>
      <c r="N644" s="900"/>
      <c r="O644" s="900"/>
      <c r="P644" s="900"/>
    </row>
    <row r="645" spans="3:16" ht="14.25">
      <c r="C645" s="900"/>
      <c r="D645" s="900"/>
      <c r="E645" s="900"/>
      <c r="F645" s="900"/>
      <c r="G645" s="900"/>
      <c r="H645" s="900"/>
      <c r="I645" s="900"/>
      <c r="J645" s="900"/>
      <c r="K645" s="900"/>
      <c r="L645" s="900"/>
      <c r="M645" s="900"/>
      <c r="N645" s="900"/>
      <c r="O645" s="900"/>
      <c r="P645" s="900"/>
    </row>
    <row r="646" spans="3:16" ht="14.25">
      <c r="C646" s="900"/>
      <c r="D646" s="900"/>
      <c r="E646" s="900"/>
      <c r="F646" s="900"/>
      <c r="G646" s="900"/>
      <c r="H646" s="900"/>
      <c r="I646" s="900"/>
      <c r="J646" s="900"/>
      <c r="K646" s="900"/>
      <c r="L646" s="900"/>
      <c r="M646" s="900"/>
      <c r="N646" s="900"/>
      <c r="O646" s="900"/>
      <c r="P646" s="900"/>
    </row>
    <row r="647" spans="3:16" ht="14.25">
      <c r="C647" s="900"/>
      <c r="D647" s="900"/>
      <c r="E647" s="900"/>
      <c r="F647" s="900"/>
      <c r="G647" s="900"/>
      <c r="H647" s="900"/>
      <c r="I647" s="900"/>
      <c r="J647" s="900"/>
      <c r="K647" s="900"/>
      <c r="L647" s="900"/>
      <c r="M647" s="900"/>
      <c r="N647" s="900"/>
      <c r="O647" s="900"/>
      <c r="P647" s="900"/>
    </row>
    <row r="648" spans="3:16" ht="14.25">
      <c r="C648" s="900"/>
      <c r="D648" s="900"/>
      <c r="E648" s="900"/>
      <c r="F648" s="900"/>
      <c r="G648" s="900"/>
      <c r="H648" s="900"/>
      <c r="I648" s="900"/>
      <c r="J648" s="900"/>
      <c r="K648" s="900"/>
      <c r="L648" s="900"/>
      <c r="M648" s="900"/>
      <c r="N648" s="900"/>
      <c r="O648" s="900"/>
      <c r="P648" s="900"/>
    </row>
    <row r="649" spans="3:16" ht="14.25">
      <c r="C649" s="900"/>
      <c r="D649" s="900"/>
      <c r="E649" s="900"/>
      <c r="F649" s="900"/>
      <c r="G649" s="900"/>
      <c r="H649" s="900"/>
      <c r="I649" s="900"/>
      <c r="J649" s="900"/>
      <c r="K649" s="900"/>
      <c r="L649" s="900"/>
      <c r="M649" s="900"/>
      <c r="N649" s="900"/>
      <c r="O649" s="900"/>
      <c r="P649" s="900"/>
    </row>
    <row r="650" spans="3:16" ht="14.25">
      <c r="C650" s="900"/>
      <c r="D650" s="900"/>
      <c r="E650" s="900"/>
      <c r="F650" s="900"/>
      <c r="G650" s="900"/>
      <c r="H650" s="900"/>
      <c r="I650" s="900"/>
      <c r="J650" s="900"/>
      <c r="K650" s="900"/>
      <c r="L650" s="900"/>
      <c r="M650" s="900"/>
      <c r="N650" s="900"/>
      <c r="O650" s="900"/>
      <c r="P650" s="900"/>
    </row>
    <row r="651" spans="3:16" ht="14.25">
      <c r="C651" s="900"/>
      <c r="D651" s="900"/>
      <c r="E651" s="900"/>
      <c r="F651" s="900"/>
      <c r="G651" s="900"/>
      <c r="H651" s="900"/>
      <c r="I651" s="900"/>
      <c r="J651" s="900"/>
      <c r="K651" s="900"/>
      <c r="L651" s="900"/>
      <c r="M651" s="900"/>
      <c r="N651" s="900"/>
      <c r="O651" s="900"/>
      <c r="P651" s="900"/>
    </row>
    <row r="652" spans="3:16" ht="14.25">
      <c r="C652" s="900"/>
      <c r="D652" s="900"/>
      <c r="E652" s="900"/>
      <c r="F652" s="900"/>
      <c r="G652" s="900"/>
      <c r="H652" s="900"/>
      <c r="I652" s="900"/>
      <c r="J652" s="900"/>
      <c r="K652" s="900"/>
      <c r="L652" s="900"/>
      <c r="M652" s="900"/>
      <c r="N652" s="900"/>
      <c r="O652" s="900"/>
      <c r="P652" s="900"/>
    </row>
    <row r="653" spans="3:16" ht="14.25">
      <c r="C653" s="900"/>
      <c r="D653" s="900"/>
      <c r="E653" s="900"/>
      <c r="F653" s="900"/>
      <c r="G653" s="900"/>
      <c r="H653" s="900"/>
      <c r="I653" s="900"/>
      <c r="J653" s="900"/>
      <c r="K653" s="900"/>
      <c r="L653" s="900"/>
      <c r="M653" s="900"/>
      <c r="N653" s="900"/>
      <c r="O653" s="900"/>
      <c r="P653" s="900"/>
    </row>
    <row r="654" spans="3:16" ht="14.25">
      <c r="C654" s="900"/>
      <c r="D654" s="900"/>
      <c r="E654" s="900"/>
      <c r="F654" s="900"/>
      <c r="G654" s="900"/>
      <c r="H654" s="900"/>
      <c r="I654" s="900"/>
      <c r="J654" s="900"/>
      <c r="K654" s="900"/>
      <c r="L654" s="900"/>
      <c r="M654" s="900"/>
      <c r="N654" s="900"/>
      <c r="O654" s="900"/>
      <c r="P654" s="900"/>
    </row>
    <row r="655" spans="3:16" ht="14.25">
      <c r="C655" s="900"/>
      <c r="D655" s="900"/>
      <c r="E655" s="900"/>
      <c r="F655" s="900"/>
      <c r="G655" s="900"/>
      <c r="H655" s="900"/>
      <c r="I655" s="900"/>
      <c r="J655" s="900"/>
      <c r="K655" s="900"/>
      <c r="L655" s="900"/>
      <c r="M655" s="900"/>
      <c r="N655" s="900"/>
      <c r="O655" s="900"/>
      <c r="P655" s="900"/>
    </row>
    <row r="656" spans="3:16" ht="14.25">
      <c r="C656" s="900"/>
      <c r="D656" s="900"/>
      <c r="E656" s="900"/>
      <c r="F656" s="900"/>
      <c r="G656" s="900"/>
      <c r="H656" s="900"/>
      <c r="I656" s="900"/>
      <c r="J656" s="900"/>
      <c r="K656" s="900"/>
      <c r="L656" s="900"/>
      <c r="M656" s="900"/>
      <c r="N656" s="900"/>
      <c r="O656" s="900"/>
      <c r="P656" s="900"/>
    </row>
    <row r="657" spans="3:16" ht="14.25">
      <c r="C657" s="900"/>
      <c r="D657" s="900"/>
      <c r="E657" s="900"/>
      <c r="F657" s="900"/>
      <c r="G657" s="900"/>
      <c r="H657" s="900"/>
      <c r="I657" s="900"/>
      <c r="J657" s="900"/>
      <c r="K657" s="900"/>
      <c r="L657" s="900"/>
      <c r="M657" s="900"/>
      <c r="N657" s="900"/>
      <c r="O657" s="900"/>
      <c r="P657" s="900"/>
    </row>
    <row r="658" spans="3:16" ht="14.25">
      <c r="C658" s="900"/>
      <c r="D658" s="900"/>
      <c r="E658" s="900"/>
      <c r="F658" s="900"/>
      <c r="G658" s="900"/>
      <c r="H658" s="900"/>
      <c r="I658" s="900"/>
      <c r="J658" s="900"/>
      <c r="K658" s="900"/>
      <c r="L658" s="900"/>
      <c r="M658" s="900"/>
      <c r="N658" s="900"/>
      <c r="O658" s="900"/>
      <c r="P658" s="900"/>
    </row>
    <row r="659" spans="3:16" ht="14.25">
      <c r="C659" s="900"/>
      <c r="D659" s="900"/>
      <c r="E659" s="900"/>
      <c r="F659" s="900"/>
      <c r="G659" s="900"/>
      <c r="H659" s="900"/>
      <c r="I659" s="900"/>
      <c r="J659" s="900"/>
      <c r="K659" s="900"/>
      <c r="L659" s="900"/>
      <c r="M659" s="900"/>
      <c r="N659" s="900"/>
      <c r="O659" s="900"/>
      <c r="P659" s="900"/>
    </row>
    <row r="660" spans="3:16" ht="14.25">
      <c r="C660" s="900"/>
      <c r="D660" s="900"/>
      <c r="E660" s="900"/>
      <c r="F660" s="900"/>
      <c r="G660" s="900"/>
      <c r="H660" s="900"/>
      <c r="I660" s="900"/>
      <c r="J660" s="900"/>
      <c r="K660" s="900"/>
      <c r="L660" s="900"/>
      <c r="M660" s="900"/>
      <c r="N660" s="900"/>
      <c r="O660" s="900"/>
      <c r="P660" s="900"/>
    </row>
    <row r="661" spans="3:16" ht="14.25">
      <c r="C661" s="900"/>
      <c r="D661" s="900"/>
      <c r="E661" s="900"/>
      <c r="F661" s="900"/>
      <c r="G661" s="900"/>
      <c r="H661" s="900"/>
      <c r="I661" s="900"/>
      <c r="J661" s="900"/>
      <c r="K661" s="900"/>
      <c r="L661" s="900"/>
      <c r="M661" s="900"/>
      <c r="N661" s="900"/>
      <c r="O661" s="900"/>
      <c r="P661" s="900"/>
    </row>
    <row r="662" spans="3:16" ht="14.25">
      <c r="C662" s="900"/>
      <c r="D662" s="900"/>
      <c r="E662" s="900"/>
      <c r="F662" s="900"/>
      <c r="G662" s="900"/>
      <c r="H662" s="900"/>
      <c r="I662" s="900"/>
      <c r="J662" s="900"/>
      <c r="K662" s="900"/>
      <c r="L662" s="900"/>
      <c r="M662" s="900"/>
      <c r="N662" s="900"/>
      <c r="O662" s="900"/>
      <c r="P662" s="900"/>
    </row>
    <row r="663" spans="3:16" ht="14.25">
      <c r="C663" s="900"/>
      <c r="D663" s="900"/>
      <c r="E663" s="900"/>
      <c r="F663" s="900"/>
      <c r="G663" s="900"/>
      <c r="H663" s="900"/>
      <c r="I663" s="900"/>
      <c r="J663" s="900"/>
      <c r="K663" s="900"/>
      <c r="L663" s="900"/>
      <c r="M663" s="900"/>
      <c r="N663" s="900"/>
      <c r="O663" s="900"/>
      <c r="P663" s="900"/>
    </row>
    <row r="664" spans="3:16" ht="14.25">
      <c r="C664" s="900"/>
      <c r="D664" s="900"/>
      <c r="E664" s="900"/>
      <c r="F664" s="900"/>
      <c r="G664" s="900"/>
      <c r="H664" s="900"/>
      <c r="I664" s="900"/>
      <c r="J664" s="900"/>
      <c r="K664" s="900"/>
      <c r="L664" s="900"/>
      <c r="M664" s="900"/>
      <c r="N664" s="900"/>
      <c r="O664" s="900"/>
      <c r="P664" s="900"/>
    </row>
    <row r="665" spans="3:16" ht="14.25">
      <c r="C665" s="900"/>
      <c r="D665" s="900"/>
      <c r="E665" s="900"/>
      <c r="F665" s="900"/>
      <c r="G665" s="900"/>
      <c r="H665" s="900"/>
      <c r="I665" s="900"/>
      <c r="J665" s="900"/>
      <c r="K665" s="900"/>
      <c r="L665" s="900"/>
      <c r="M665" s="900"/>
      <c r="N665" s="900"/>
      <c r="O665" s="900"/>
      <c r="P665" s="900"/>
    </row>
    <row r="666" spans="3:16" ht="14.25">
      <c r="C666" s="900"/>
      <c r="D666" s="900"/>
      <c r="E666" s="900"/>
      <c r="F666" s="900"/>
      <c r="G666" s="900"/>
      <c r="H666" s="900"/>
      <c r="I666" s="900"/>
      <c r="J666" s="900"/>
      <c r="K666" s="900"/>
      <c r="L666" s="900"/>
      <c r="M666" s="900"/>
      <c r="N666" s="900"/>
      <c r="O666" s="900"/>
      <c r="P666" s="900"/>
    </row>
    <row r="667" spans="3:16" ht="14.25">
      <c r="C667" s="900"/>
      <c r="D667" s="900"/>
      <c r="E667" s="900"/>
      <c r="F667" s="900"/>
      <c r="G667" s="900"/>
      <c r="H667" s="900"/>
      <c r="I667" s="900"/>
      <c r="J667" s="900"/>
      <c r="K667" s="900"/>
      <c r="L667" s="900"/>
      <c r="M667" s="900"/>
      <c r="N667" s="900"/>
      <c r="O667" s="900"/>
      <c r="P667" s="900"/>
    </row>
    <row r="668" spans="3:16" ht="14.25">
      <c r="C668" s="900"/>
      <c r="D668" s="900"/>
      <c r="E668" s="900"/>
      <c r="F668" s="900"/>
      <c r="G668" s="900"/>
      <c r="H668" s="900"/>
      <c r="I668" s="900"/>
      <c r="J668" s="900"/>
      <c r="K668" s="900"/>
      <c r="L668" s="900"/>
      <c r="M668" s="900"/>
      <c r="N668" s="900"/>
      <c r="O668" s="900"/>
      <c r="P668" s="900"/>
    </row>
    <row r="669" spans="3:16" ht="14.25">
      <c r="C669" s="900"/>
      <c r="D669" s="900"/>
      <c r="E669" s="900"/>
      <c r="F669" s="900"/>
      <c r="G669" s="900"/>
      <c r="H669" s="900"/>
      <c r="I669" s="900"/>
      <c r="J669" s="900"/>
      <c r="K669" s="900"/>
      <c r="L669" s="900"/>
      <c r="M669" s="900"/>
      <c r="N669" s="900"/>
      <c r="O669" s="900"/>
      <c r="P669" s="900"/>
    </row>
    <row r="670" spans="3:16" ht="14.25">
      <c r="C670" s="900"/>
      <c r="D670" s="900"/>
      <c r="E670" s="900"/>
      <c r="F670" s="900"/>
      <c r="G670" s="900"/>
      <c r="H670" s="900"/>
      <c r="I670" s="900"/>
      <c r="J670" s="900"/>
      <c r="K670" s="900"/>
      <c r="L670" s="900"/>
      <c r="M670" s="900"/>
      <c r="N670" s="900"/>
      <c r="O670" s="900"/>
      <c r="P670" s="900"/>
    </row>
    <row r="671" spans="3:16" ht="14.25">
      <c r="C671" s="900"/>
      <c r="D671" s="900"/>
      <c r="E671" s="900"/>
      <c r="F671" s="900"/>
      <c r="G671" s="900"/>
      <c r="H671" s="900"/>
      <c r="I671" s="900"/>
      <c r="J671" s="900"/>
      <c r="K671" s="900"/>
      <c r="L671" s="900"/>
      <c r="M671" s="900"/>
      <c r="N671" s="900"/>
      <c r="O671" s="900"/>
      <c r="P671" s="900"/>
    </row>
    <row r="672" spans="3:16" ht="14.25">
      <c r="C672" s="900"/>
      <c r="D672" s="900"/>
      <c r="E672" s="900"/>
      <c r="F672" s="900"/>
      <c r="G672" s="900"/>
      <c r="H672" s="900"/>
      <c r="I672" s="900"/>
      <c r="J672" s="900"/>
      <c r="K672" s="900"/>
      <c r="L672" s="900"/>
      <c r="M672" s="900"/>
      <c r="N672" s="900"/>
      <c r="O672" s="900"/>
      <c r="P672" s="900"/>
    </row>
    <row r="673" spans="3:16" ht="14.25">
      <c r="C673" s="900"/>
      <c r="D673" s="900"/>
      <c r="E673" s="900"/>
      <c r="F673" s="900"/>
      <c r="G673" s="900"/>
      <c r="H673" s="900"/>
      <c r="I673" s="900"/>
      <c r="J673" s="900"/>
      <c r="K673" s="900"/>
      <c r="L673" s="900"/>
      <c r="M673" s="900"/>
      <c r="N673" s="900"/>
      <c r="O673" s="900"/>
      <c r="P673" s="900"/>
    </row>
    <row r="674" spans="3:16" ht="14.25">
      <c r="C674" s="900"/>
      <c r="D674" s="900"/>
      <c r="E674" s="900"/>
      <c r="F674" s="900"/>
      <c r="G674" s="900"/>
      <c r="H674" s="900"/>
      <c r="I674" s="900"/>
      <c r="J674" s="900"/>
      <c r="K674" s="900"/>
      <c r="L674" s="900"/>
      <c r="M674" s="900"/>
      <c r="N674" s="900"/>
      <c r="O674" s="900"/>
      <c r="P674" s="900"/>
    </row>
    <row r="675" spans="3:16" ht="14.25">
      <c r="C675" s="900"/>
      <c r="D675" s="900"/>
      <c r="E675" s="900"/>
      <c r="F675" s="900"/>
      <c r="G675" s="900"/>
      <c r="H675" s="900"/>
      <c r="I675" s="900"/>
      <c r="J675" s="900"/>
      <c r="K675" s="900"/>
      <c r="L675" s="900"/>
      <c r="M675" s="900"/>
      <c r="N675" s="900"/>
      <c r="O675" s="900"/>
      <c r="P675" s="900"/>
    </row>
    <row r="676" spans="3:16" ht="14.25">
      <c r="C676" s="900"/>
      <c r="D676" s="900"/>
      <c r="E676" s="900"/>
      <c r="F676" s="900"/>
      <c r="G676" s="900"/>
      <c r="H676" s="900"/>
      <c r="I676" s="900"/>
      <c r="J676" s="900"/>
      <c r="K676" s="900"/>
      <c r="L676" s="900"/>
      <c r="M676" s="900"/>
      <c r="N676" s="900"/>
      <c r="O676" s="900"/>
      <c r="P676" s="900"/>
    </row>
    <row r="677" spans="3:16" ht="14.25">
      <c r="C677" s="900"/>
      <c r="D677" s="900"/>
      <c r="E677" s="900"/>
      <c r="F677" s="900"/>
      <c r="G677" s="900"/>
      <c r="H677" s="900"/>
      <c r="I677" s="900"/>
      <c r="J677" s="900"/>
      <c r="K677" s="900"/>
      <c r="L677" s="900"/>
      <c r="M677" s="900"/>
      <c r="N677" s="900"/>
      <c r="O677" s="900"/>
      <c r="P677" s="900"/>
    </row>
    <row r="678" spans="3:16" ht="14.25">
      <c r="C678" s="900"/>
      <c r="D678" s="900"/>
      <c r="E678" s="900"/>
      <c r="F678" s="900"/>
      <c r="G678" s="900"/>
      <c r="H678" s="900"/>
      <c r="I678" s="900"/>
      <c r="J678" s="900"/>
      <c r="K678" s="900"/>
      <c r="L678" s="900"/>
      <c r="M678" s="900"/>
      <c r="N678" s="900"/>
      <c r="O678" s="900"/>
      <c r="P678" s="900"/>
    </row>
    <row r="679" spans="3:16" ht="14.25">
      <c r="C679" s="900"/>
      <c r="D679" s="900"/>
      <c r="E679" s="900"/>
      <c r="F679" s="900"/>
      <c r="G679" s="900"/>
      <c r="H679" s="900"/>
      <c r="I679" s="900"/>
      <c r="J679" s="900"/>
      <c r="K679" s="900"/>
      <c r="L679" s="900"/>
      <c r="M679" s="900"/>
      <c r="N679" s="900"/>
      <c r="O679" s="900"/>
      <c r="P679" s="900"/>
    </row>
    <row r="680" spans="3:16" ht="14.25">
      <c r="C680" s="900"/>
      <c r="D680" s="900"/>
      <c r="E680" s="900"/>
      <c r="F680" s="900"/>
      <c r="G680" s="900"/>
      <c r="H680" s="900"/>
      <c r="I680" s="900"/>
      <c r="J680" s="900"/>
      <c r="K680" s="900"/>
      <c r="L680" s="900"/>
      <c r="M680" s="900"/>
      <c r="N680" s="900"/>
      <c r="O680" s="900"/>
      <c r="P680" s="900"/>
    </row>
    <row r="681" spans="3:16" ht="14.25">
      <c r="C681" s="900"/>
      <c r="D681" s="900"/>
      <c r="E681" s="900"/>
      <c r="F681" s="900"/>
      <c r="G681" s="900"/>
      <c r="H681" s="900"/>
      <c r="I681" s="900"/>
      <c r="J681" s="900"/>
      <c r="K681" s="900"/>
      <c r="L681" s="900"/>
      <c r="M681" s="900"/>
      <c r="N681" s="900"/>
      <c r="O681" s="900"/>
      <c r="P681" s="900"/>
    </row>
    <row r="682" spans="3:16" ht="14.25">
      <c r="C682" s="900"/>
      <c r="D682" s="900"/>
      <c r="E682" s="900"/>
      <c r="F682" s="900"/>
      <c r="G682" s="900"/>
      <c r="H682" s="900"/>
      <c r="I682" s="900"/>
      <c r="J682" s="900"/>
      <c r="K682" s="900"/>
      <c r="L682" s="900"/>
      <c r="M682" s="900"/>
      <c r="N682" s="900"/>
      <c r="O682" s="900"/>
      <c r="P682" s="900"/>
    </row>
    <row r="683" spans="3:16" ht="14.25">
      <c r="C683" s="900"/>
      <c r="D683" s="900"/>
      <c r="E683" s="900"/>
      <c r="F683" s="900"/>
      <c r="G683" s="900"/>
      <c r="H683" s="900"/>
      <c r="I683" s="900"/>
      <c r="J683" s="900"/>
      <c r="K683" s="900"/>
      <c r="L683" s="900"/>
      <c r="M683" s="900"/>
      <c r="N683" s="900"/>
      <c r="O683" s="900"/>
      <c r="P683" s="900"/>
    </row>
    <row r="684" spans="3:16" ht="14.25">
      <c r="C684" s="900"/>
      <c r="D684" s="900"/>
      <c r="E684" s="900"/>
      <c r="F684" s="900"/>
      <c r="G684" s="900"/>
      <c r="H684" s="900"/>
      <c r="I684" s="900"/>
      <c r="J684" s="900"/>
      <c r="K684" s="900"/>
      <c r="L684" s="900"/>
      <c r="M684" s="900"/>
      <c r="N684" s="900"/>
      <c r="O684" s="900"/>
      <c r="P684" s="900"/>
    </row>
    <row r="685" spans="3:16" ht="14.25">
      <c r="C685" s="900"/>
      <c r="D685" s="900"/>
      <c r="E685" s="900"/>
      <c r="F685" s="900"/>
      <c r="G685" s="900"/>
      <c r="H685" s="900"/>
      <c r="I685" s="900"/>
      <c r="J685" s="900"/>
      <c r="K685" s="900"/>
      <c r="L685" s="900"/>
      <c r="M685" s="900"/>
      <c r="N685" s="900"/>
      <c r="O685" s="900"/>
      <c r="P685" s="900"/>
    </row>
    <row r="686" spans="3:16" ht="14.25">
      <c r="C686" s="900"/>
      <c r="D686" s="900"/>
      <c r="E686" s="900"/>
      <c r="F686" s="900"/>
      <c r="G686" s="900"/>
      <c r="H686" s="900"/>
      <c r="I686" s="900"/>
      <c r="J686" s="900"/>
      <c r="K686" s="900"/>
      <c r="L686" s="900"/>
      <c r="M686" s="900"/>
      <c r="N686" s="900"/>
      <c r="O686" s="900"/>
      <c r="P686" s="900"/>
    </row>
    <row r="687" spans="3:16" ht="14.25">
      <c r="C687" s="900"/>
      <c r="D687" s="900"/>
      <c r="E687" s="900"/>
      <c r="F687" s="900"/>
      <c r="G687" s="900"/>
      <c r="H687" s="900"/>
      <c r="I687" s="900"/>
      <c r="J687" s="900"/>
      <c r="K687" s="900"/>
      <c r="L687" s="900"/>
      <c r="M687" s="900"/>
      <c r="N687" s="900"/>
      <c r="O687" s="900"/>
      <c r="P687" s="900"/>
    </row>
    <row r="688" spans="3:16" ht="14.25">
      <c r="C688" s="900"/>
      <c r="D688" s="900"/>
      <c r="E688" s="900"/>
      <c r="F688" s="900"/>
      <c r="G688" s="900"/>
      <c r="H688" s="900"/>
      <c r="I688" s="900"/>
      <c r="J688" s="900"/>
      <c r="K688" s="900"/>
      <c r="L688" s="900"/>
      <c r="M688" s="900"/>
      <c r="N688" s="900"/>
      <c r="O688" s="900"/>
      <c r="P688" s="900"/>
    </row>
    <row r="689" spans="3:16" ht="14.25">
      <c r="C689" s="900"/>
      <c r="D689" s="900"/>
      <c r="E689" s="900"/>
      <c r="F689" s="900"/>
      <c r="G689" s="900"/>
      <c r="H689" s="900"/>
      <c r="I689" s="900"/>
      <c r="J689" s="900"/>
      <c r="K689" s="900"/>
      <c r="L689" s="900"/>
      <c r="M689" s="900"/>
      <c r="N689" s="900"/>
      <c r="O689" s="900"/>
      <c r="P689" s="900"/>
    </row>
    <row r="690" spans="3:16" ht="14.25">
      <c r="C690" s="900"/>
      <c r="D690" s="900"/>
      <c r="E690" s="900"/>
      <c r="F690" s="900"/>
      <c r="G690" s="900"/>
      <c r="H690" s="900"/>
      <c r="I690" s="900"/>
      <c r="J690" s="900"/>
      <c r="K690" s="900"/>
      <c r="L690" s="900"/>
      <c r="M690" s="900"/>
      <c r="N690" s="900"/>
      <c r="O690" s="900"/>
      <c r="P690" s="900"/>
    </row>
    <row r="691" spans="3:16" ht="14.25">
      <c r="C691" s="900"/>
      <c r="D691" s="900"/>
      <c r="E691" s="900"/>
      <c r="F691" s="900"/>
      <c r="G691" s="900"/>
      <c r="H691" s="900"/>
      <c r="I691" s="900"/>
      <c r="J691" s="900"/>
      <c r="K691" s="900"/>
      <c r="L691" s="900"/>
      <c r="M691" s="900"/>
      <c r="N691" s="900"/>
      <c r="O691" s="900"/>
      <c r="P691" s="900"/>
    </row>
    <row r="692" spans="3:16" ht="14.25">
      <c r="C692" s="900"/>
      <c r="D692" s="900"/>
      <c r="E692" s="900"/>
      <c r="F692" s="900"/>
      <c r="G692" s="900"/>
      <c r="H692" s="900"/>
      <c r="I692" s="900"/>
      <c r="J692" s="900"/>
      <c r="K692" s="900"/>
      <c r="L692" s="900"/>
      <c r="M692" s="900"/>
      <c r="N692" s="900"/>
      <c r="O692" s="900"/>
      <c r="P692" s="900"/>
    </row>
    <row r="693" spans="3:16" ht="14.25">
      <c r="C693" s="900"/>
      <c r="D693" s="900"/>
      <c r="E693" s="900"/>
      <c r="F693" s="900"/>
      <c r="G693" s="900"/>
      <c r="H693" s="900"/>
      <c r="I693" s="900"/>
      <c r="J693" s="900"/>
      <c r="K693" s="900"/>
      <c r="L693" s="900"/>
      <c r="M693" s="900"/>
      <c r="N693" s="900"/>
      <c r="O693" s="900"/>
      <c r="P693" s="900"/>
    </row>
    <row r="694" spans="3:16" ht="14.25">
      <c r="C694" s="900"/>
      <c r="D694" s="900"/>
      <c r="E694" s="900"/>
      <c r="F694" s="900"/>
      <c r="G694" s="900"/>
      <c r="H694" s="900"/>
      <c r="I694" s="900"/>
      <c r="J694" s="900"/>
      <c r="K694" s="900"/>
      <c r="L694" s="900"/>
      <c r="M694" s="900"/>
      <c r="N694" s="900"/>
      <c r="O694" s="900"/>
      <c r="P694" s="900"/>
    </row>
    <row r="695" spans="3:16" ht="14.25">
      <c r="C695" s="900"/>
      <c r="D695" s="900"/>
      <c r="E695" s="900"/>
      <c r="F695" s="900"/>
      <c r="G695" s="900"/>
      <c r="H695" s="900"/>
      <c r="I695" s="900"/>
      <c r="J695" s="900"/>
      <c r="K695" s="900"/>
      <c r="L695" s="900"/>
      <c r="M695" s="900"/>
      <c r="N695" s="900"/>
      <c r="O695" s="900"/>
      <c r="P695" s="900"/>
    </row>
    <row r="696" spans="3:16" ht="14.25">
      <c r="C696" s="900"/>
      <c r="D696" s="900"/>
      <c r="E696" s="900"/>
      <c r="F696" s="900"/>
      <c r="G696" s="900"/>
      <c r="H696" s="900"/>
      <c r="I696" s="900"/>
      <c r="J696" s="900"/>
      <c r="K696" s="900"/>
      <c r="L696" s="900"/>
      <c r="M696" s="900"/>
      <c r="N696" s="900"/>
      <c r="O696" s="900"/>
      <c r="P696" s="900"/>
    </row>
    <row r="697" spans="3:16" ht="14.25">
      <c r="C697" s="900"/>
      <c r="D697" s="900"/>
      <c r="E697" s="900"/>
      <c r="F697" s="900"/>
      <c r="G697" s="900"/>
      <c r="H697" s="900"/>
      <c r="I697" s="900"/>
      <c r="J697" s="900"/>
      <c r="K697" s="900"/>
      <c r="L697" s="900"/>
      <c r="M697" s="900"/>
      <c r="N697" s="900"/>
      <c r="O697" s="900"/>
      <c r="P697" s="900"/>
    </row>
    <row r="698" spans="3:16" ht="14.25">
      <c r="C698" s="900"/>
      <c r="D698" s="900"/>
      <c r="E698" s="900"/>
      <c r="F698" s="900"/>
      <c r="G698" s="900"/>
      <c r="H698" s="900"/>
      <c r="I698" s="900"/>
      <c r="J698" s="900"/>
      <c r="K698" s="900"/>
      <c r="L698" s="900"/>
      <c r="M698" s="900"/>
      <c r="N698" s="900"/>
      <c r="O698" s="900"/>
      <c r="P698" s="900"/>
    </row>
    <row r="699" spans="3:16" ht="14.25">
      <c r="C699" s="900"/>
      <c r="D699" s="900"/>
      <c r="E699" s="900"/>
      <c r="F699" s="900"/>
      <c r="G699" s="900"/>
      <c r="H699" s="900"/>
      <c r="I699" s="900"/>
      <c r="J699" s="900"/>
      <c r="K699" s="900"/>
      <c r="L699" s="900"/>
      <c r="M699" s="900"/>
      <c r="N699" s="900"/>
      <c r="O699" s="900"/>
      <c r="P699" s="900"/>
    </row>
    <row r="700" spans="3:16" ht="14.25">
      <c r="C700" s="900"/>
      <c r="D700" s="900"/>
      <c r="E700" s="900"/>
      <c r="F700" s="900"/>
      <c r="G700" s="900"/>
      <c r="H700" s="900"/>
      <c r="I700" s="900"/>
      <c r="J700" s="900"/>
      <c r="K700" s="900"/>
      <c r="L700" s="900"/>
      <c r="M700" s="900"/>
      <c r="N700" s="900"/>
      <c r="O700" s="900"/>
      <c r="P700" s="900"/>
    </row>
    <row r="701" spans="3:16" ht="14.25">
      <c r="C701" s="900"/>
      <c r="D701" s="900"/>
      <c r="E701" s="900"/>
      <c r="F701" s="900"/>
      <c r="G701" s="900"/>
      <c r="H701" s="900"/>
      <c r="I701" s="900"/>
      <c r="J701" s="900"/>
      <c r="K701" s="900"/>
      <c r="L701" s="900"/>
      <c r="M701" s="900"/>
      <c r="N701" s="900"/>
      <c r="O701" s="900"/>
      <c r="P701" s="900"/>
    </row>
    <row r="702" spans="3:16" ht="14.25">
      <c r="C702" s="900"/>
      <c r="D702" s="900"/>
      <c r="E702" s="900"/>
      <c r="F702" s="900"/>
      <c r="G702" s="900"/>
      <c r="H702" s="900"/>
      <c r="I702" s="900"/>
      <c r="J702" s="900"/>
      <c r="K702" s="900"/>
      <c r="L702" s="900"/>
      <c r="M702" s="900"/>
      <c r="N702" s="900"/>
      <c r="O702" s="900"/>
      <c r="P702" s="900"/>
    </row>
    <row r="703" spans="3:16" ht="14.25">
      <c r="C703" s="900"/>
      <c r="D703" s="900"/>
      <c r="E703" s="900"/>
      <c r="F703" s="900"/>
      <c r="G703" s="900"/>
      <c r="H703" s="900"/>
      <c r="I703" s="900"/>
      <c r="J703" s="900"/>
      <c r="K703" s="900"/>
      <c r="L703" s="900"/>
      <c r="M703" s="900"/>
      <c r="N703" s="900"/>
      <c r="O703" s="900"/>
      <c r="P703" s="900"/>
    </row>
    <row r="704" spans="3:16" ht="14.25">
      <c r="C704" s="900"/>
      <c r="D704" s="900"/>
      <c r="E704" s="900"/>
      <c r="F704" s="900"/>
      <c r="G704" s="900"/>
      <c r="H704" s="900"/>
      <c r="I704" s="900"/>
      <c r="J704" s="900"/>
      <c r="K704" s="900"/>
      <c r="L704" s="900"/>
      <c r="M704" s="900"/>
      <c r="N704" s="900"/>
      <c r="O704" s="900"/>
      <c r="P704" s="900"/>
    </row>
    <row r="705" spans="3:16" ht="14.25">
      <c r="C705" s="900"/>
      <c r="D705" s="900"/>
      <c r="E705" s="900"/>
      <c r="F705" s="900"/>
      <c r="G705" s="900"/>
      <c r="H705" s="900"/>
      <c r="I705" s="900"/>
      <c r="J705" s="900"/>
      <c r="K705" s="900"/>
      <c r="L705" s="900"/>
      <c r="M705" s="900"/>
      <c r="N705" s="900"/>
      <c r="O705" s="900"/>
      <c r="P705" s="900"/>
    </row>
    <row r="706" spans="3:16" ht="14.25">
      <c r="C706" s="900"/>
      <c r="D706" s="900"/>
      <c r="E706" s="900"/>
      <c r="F706" s="900"/>
      <c r="G706" s="900"/>
      <c r="H706" s="900"/>
      <c r="I706" s="900"/>
      <c r="J706" s="900"/>
      <c r="K706" s="900"/>
      <c r="L706" s="900"/>
      <c r="M706" s="900"/>
      <c r="N706" s="900"/>
      <c r="O706" s="900"/>
      <c r="P706" s="900"/>
    </row>
    <row r="707" spans="3:16" ht="14.25">
      <c r="C707" s="900"/>
      <c r="D707" s="900"/>
      <c r="E707" s="900"/>
      <c r="F707" s="900"/>
      <c r="G707" s="900"/>
      <c r="H707" s="900"/>
      <c r="I707" s="900"/>
      <c r="J707" s="900"/>
      <c r="K707" s="900"/>
      <c r="L707" s="900"/>
      <c r="M707" s="900"/>
      <c r="N707" s="900"/>
      <c r="O707" s="900"/>
      <c r="P707" s="900"/>
    </row>
    <row r="708" spans="3:16" ht="14.25">
      <c r="C708" s="900"/>
      <c r="D708" s="900"/>
      <c r="E708" s="900"/>
      <c r="F708" s="900"/>
      <c r="G708" s="900"/>
      <c r="H708" s="900"/>
      <c r="I708" s="900"/>
      <c r="J708" s="900"/>
      <c r="K708" s="900"/>
      <c r="L708" s="900"/>
      <c r="M708" s="900"/>
      <c r="N708" s="900"/>
      <c r="O708" s="900"/>
      <c r="P708" s="900"/>
    </row>
    <row r="709" spans="3:16" ht="14.25">
      <c r="C709" s="900"/>
      <c r="D709" s="900"/>
      <c r="E709" s="900"/>
      <c r="F709" s="900"/>
      <c r="G709" s="900"/>
      <c r="H709" s="900"/>
      <c r="I709" s="900"/>
      <c r="J709" s="900"/>
      <c r="K709" s="900"/>
      <c r="L709" s="900"/>
      <c r="M709" s="900"/>
      <c r="N709" s="900"/>
      <c r="O709" s="900"/>
      <c r="P709" s="900"/>
    </row>
    <row r="710" spans="3:16" ht="14.25">
      <c r="C710" s="900"/>
      <c r="D710" s="900"/>
      <c r="E710" s="900"/>
      <c r="F710" s="900"/>
      <c r="G710" s="900"/>
      <c r="H710" s="900"/>
      <c r="I710" s="900"/>
      <c r="J710" s="900"/>
      <c r="K710" s="900"/>
      <c r="L710" s="900"/>
      <c r="M710" s="900"/>
      <c r="N710" s="900"/>
      <c r="O710" s="900"/>
      <c r="P710" s="900"/>
    </row>
    <row r="711" spans="3:16" ht="14.25">
      <c r="C711" s="900"/>
      <c r="D711" s="900"/>
      <c r="E711" s="900"/>
      <c r="F711" s="900"/>
      <c r="G711" s="900"/>
      <c r="H711" s="900"/>
      <c r="I711" s="900"/>
      <c r="J711" s="900"/>
      <c r="K711" s="900"/>
      <c r="L711" s="900"/>
      <c r="M711" s="900"/>
      <c r="N711" s="900"/>
      <c r="O711" s="900"/>
      <c r="P711" s="900"/>
    </row>
    <row r="712" spans="3:16" ht="14.25">
      <c r="C712" s="900"/>
      <c r="D712" s="900"/>
      <c r="E712" s="900"/>
      <c r="F712" s="900"/>
      <c r="G712" s="900"/>
      <c r="H712" s="900"/>
      <c r="I712" s="900"/>
      <c r="J712" s="900"/>
      <c r="K712" s="900"/>
      <c r="L712" s="900"/>
      <c r="M712" s="900"/>
      <c r="N712" s="900"/>
      <c r="O712" s="900"/>
      <c r="P712" s="900"/>
    </row>
    <row r="713" spans="3:16" ht="14.25">
      <c r="C713" s="900"/>
      <c r="D713" s="900"/>
      <c r="E713" s="900"/>
      <c r="F713" s="900"/>
      <c r="G713" s="900"/>
      <c r="H713" s="900"/>
      <c r="I713" s="900"/>
      <c r="J713" s="900"/>
      <c r="K713" s="900"/>
      <c r="L713" s="900"/>
      <c r="M713" s="900"/>
      <c r="N713" s="900"/>
      <c r="O713" s="900"/>
      <c r="P713" s="900"/>
    </row>
    <row r="714" spans="3:16" ht="14.25">
      <c r="C714" s="900"/>
      <c r="D714" s="900"/>
      <c r="E714" s="900"/>
      <c r="F714" s="900"/>
      <c r="G714" s="900"/>
      <c r="H714" s="900"/>
      <c r="I714" s="900"/>
      <c r="J714" s="900"/>
      <c r="K714" s="900"/>
      <c r="L714" s="900"/>
      <c r="M714" s="900"/>
      <c r="N714" s="900"/>
      <c r="O714" s="900"/>
      <c r="P714" s="900"/>
    </row>
    <row r="715" spans="3:16" ht="14.25">
      <c r="C715" s="900"/>
      <c r="D715" s="900"/>
      <c r="E715" s="900"/>
      <c r="F715" s="900"/>
      <c r="G715" s="900"/>
      <c r="H715" s="900"/>
      <c r="I715" s="900"/>
      <c r="J715" s="900"/>
      <c r="K715" s="900"/>
      <c r="L715" s="900"/>
      <c r="M715" s="900"/>
      <c r="N715" s="900"/>
      <c r="O715" s="900"/>
      <c r="P715" s="900"/>
    </row>
    <row r="716" spans="3:16" ht="14.25">
      <c r="C716" s="900"/>
      <c r="D716" s="900"/>
      <c r="E716" s="900"/>
      <c r="F716" s="900"/>
      <c r="G716" s="900"/>
      <c r="H716" s="900"/>
      <c r="I716" s="900"/>
      <c r="J716" s="900"/>
      <c r="K716" s="900"/>
      <c r="L716" s="900"/>
      <c r="M716" s="900"/>
      <c r="N716" s="900"/>
      <c r="O716" s="900"/>
      <c r="P716" s="900"/>
    </row>
    <row r="717" spans="3:16" ht="14.25">
      <c r="C717" s="900"/>
      <c r="D717" s="900"/>
      <c r="E717" s="900"/>
      <c r="F717" s="900"/>
      <c r="G717" s="900"/>
      <c r="H717" s="900"/>
      <c r="I717" s="900"/>
      <c r="J717" s="900"/>
      <c r="K717" s="900"/>
      <c r="L717" s="900"/>
      <c r="M717" s="900"/>
      <c r="N717" s="900"/>
      <c r="O717" s="900"/>
      <c r="P717" s="900"/>
    </row>
    <row r="718" spans="3:16" ht="14.25">
      <c r="C718" s="900"/>
      <c r="D718" s="900"/>
      <c r="E718" s="900"/>
      <c r="F718" s="900"/>
      <c r="G718" s="900"/>
      <c r="H718" s="900"/>
      <c r="I718" s="900"/>
      <c r="J718" s="900"/>
      <c r="K718" s="900"/>
      <c r="L718" s="900"/>
      <c r="M718" s="900"/>
      <c r="N718" s="900"/>
      <c r="O718" s="900"/>
      <c r="P718" s="900"/>
    </row>
    <row r="719" spans="3:16" ht="14.25">
      <c r="C719" s="900"/>
      <c r="D719" s="900"/>
      <c r="E719" s="900"/>
      <c r="F719" s="900"/>
      <c r="G719" s="900"/>
      <c r="H719" s="900"/>
      <c r="I719" s="900"/>
      <c r="J719" s="900"/>
      <c r="K719" s="900"/>
      <c r="L719" s="900"/>
      <c r="M719" s="900"/>
      <c r="N719" s="900"/>
      <c r="O719" s="900"/>
      <c r="P719" s="900"/>
    </row>
    <row r="720" spans="3:16" ht="14.25">
      <c r="C720" s="900"/>
      <c r="D720" s="900"/>
      <c r="E720" s="900"/>
      <c r="F720" s="900"/>
      <c r="G720" s="900"/>
      <c r="H720" s="900"/>
      <c r="I720" s="900"/>
      <c r="J720" s="900"/>
      <c r="K720" s="900"/>
      <c r="L720" s="900"/>
      <c r="M720" s="900"/>
      <c r="N720" s="900"/>
      <c r="O720" s="900"/>
      <c r="P720" s="900"/>
    </row>
    <row r="721" spans="3:16" ht="14.25">
      <c r="C721" s="900"/>
      <c r="D721" s="900"/>
      <c r="E721" s="900"/>
      <c r="F721" s="900"/>
      <c r="G721" s="900"/>
      <c r="H721" s="900"/>
      <c r="I721" s="900"/>
      <c r="J721" s="900"/>
      <c r="K721" s="900"/>
      <c r="L721" s="900"/>
      <c r="M721" s="900"/>
      <c r="N721" s="900"/>
      <c r="O721" s="900"/>
      <c r="P721" s="900"/>
    </row>
    <row r="722" spans="3:16" ht="14.25">
      <c r="C722" s="900"/>
      <c r="D722" s="900"/>
      <c r="E722" s="900"/>
      <c r="F722" s="900"/>
      <c r="G722" s="900"/>
      <c r="H722" s="900"/>
      <c r="I722" s="900"/>
      <c r="J722" s="900"/>
      <c r="K722" s="900"/>
      <c r="L722" s="900"/>
      <c r="M722" s="900"/>
      <c r="N722" s="900"/>
      <c r="O722" s="900"/>
      <c r="P722" s="900"/>
    </row>
    <row r="723" spans="3:16" ht="14.25">
      <c r="C723" s="900"/>
      <c r="D723" s="900"/>
      <c r="E723" s="900"/>
      <c r="F723" s="900"/>
      <c r="G723" s="900"/>
      <c r="H723" s="900"/>
      <c r="I723" s="900"/>
      <c r="J723" s="900"/>
      <c r="K723" s="900"/>
      <c r="L723" s="900"/>
      <c r="M723" s="900"/>
      <c r="N723" s="900"/>
      <c r="O723" s="900"/>
      <c r="P723" s="900"/>
    </row>
    <row r="724" spans="3:16" ht="14.25">
      <c r="C724" s="900"/>
      <c r="D724" s="900"/>
      <c r="E724" s="900"/>
      <c r="F724" s="900"/>
      <c r="G724" s="900"/>
      <c r="H724" s="900"/>
      <c r="I724" s="900"/>
      <c r="J724" s="900"/>
      <c r="K724" s="900"/>
      <c r="L724" s="900"/>
      <c r="M724" s="900"/>
      <c r="N724" s="900"/>
      <c r="O724" s="900"/>
      <c r="P724" s="900"/>
    </row>
    <row r="725" spans="3:16" ht="14.25">
      <c r="C725" s="900"/>
      <c r="D725" s="900"/>
      <c r="E725" s="900"/>
      <c r="F725" s="900"/>
      <c r="G725" s="900"/>
      <c r="H725" s="900"/>
      <c r="I725" s="900"/>
      <c r="J725" s="900"/>
      <c r="K725" s="900"/>
      <c r="L725" s="900"/>
      <c r="M725" s="900"/>
      <c r="N725" s="900"/>
      <c r="O725" s="900"/>
      <c r="P725" s="900"/>
    </row>
    <row r="726" spans="3:16" ht="14.25">
      <c r="C726" s="900"/>
      <c r="D726" s="900"/>
      <c r="E726" s="900"/>
      <c r="F726" s="900"/>
      <c r="G726" s="900"/>
      <c r="H726" s="900"/>
      <c r="I726" s="900"/>
      <c r="J726" s="900"/>
      <c r="K726" s="900"/>
      <c r="L726" s="900"/>
      <c r="M726" s="900"/>
      <c r="N726" s="900"/>
      <c r="O726" s="900"/>
      <c r="P726" s="900"/>
    </row>
    <row r="727" spans="3:16" ht="14.25">
      <c r="C727" s="900"/>
      <c r="D727" s="900"/>
      <c r="E727" s="900"/>
      <c r="F727" s="900"/>
      <c r="G727" s="900"/>
      <c r="H727" s="900"/>
      <c r="I727" s="900"/>
      <c r="J727" s="900"/>
      <c r="K727" s="900"/>
      <c r="L727" s="900"/>
      <c r="M727" s="900"/>
      <c r="N727" s="900"/>
      <c r="O727" s="900"/>
      <c r="P727" s="900"/>
    </row>
    <row r="728" spans="3:16" ht="14.25">
      <c r="C728" s="900"/>
      <c r="D728" s="900"/>
      <c r="E728" s="900"/>
      <c r="F728" s="900"/>
      <c r="G728" s="900"/>
      <c r="H728" s="900"/>
      <c r="I728" s="900"/>
      <c r="J728" s="900"/>
      <c r="K728" s="900"/>
      <c r="L728" s="900"/>
      <c r="M728" s="900"/>
      <c r="N728" s="900"/>
      <c r="O728" s="900"/>
      <c r="P728" s="900"/>
    </row>
    <row r="729" spans="3:16" ht="14.25">
      <c r="C729" s="900"/>
      <c r="D729" s="900"/>
      <c r="E729" s="900"/>
      <c r="F729" s="900"/>
      <c r="G729" s="900"/>
      <c r="H729" s="900"/>
      <c r="I729" s="900"/>
      <c r="J729" s="900"/>
      <c r="K729" s="900"/>
      <c r="L729" s="900"/>
      <c r="M729" s="900"/>
      <c r="N729" s="900"/>
      <c r="O729" s="900"/>
      <c r="P729" s="900"/>
    </row>
    <row r="730" spans="3:16" ht="14.25">
      <c r="C730" s="900"/>
      <c r="D730" s="900"/>
      <c r="E730" s="900"/>
      <c r="F730" s="900"/>
      <c r="G730" s="900"/>
      <c r="H730" s="900"/>
      <c r="I730" s="900"/>
      <c r="J730" s="900"/>
      <c r="K730" s="900"/>
      <c r="L730" s="900"/>
      <c r="M730" s="900"/>
      <c r="N730" s="900"/>
      <c r="O730" s="900"/>
      <c r="P730" s="900"/>
    </row>
    <row r="731" spans="3:16" ht="14.25">
      <c r="C731" s="900"/>
      <c r="D731" s="900"/>
      <c r="E731" s="900"/>
      <c r="F731" s="900"/>
      <c r="G731" s="900"/>
      <c r="H731" s="900"/>
      <c r="I731" s="900"/>
      <c r="J731" s="900"/>
      <c r="K731" s="900"/>
      <c r="L731" s="900"/>
      <c r="M731" s="900"/>
      <c r="N731" s="900"/>
      <c r="O731" s="900"/>
      <c r="P731" s="900"/>
    </row>
    <row r="732" spans="3:16" ht="14.25">
      <c r="C732" s="900"/>
      <c r="D732" s="900"/>
      <c r="E732" s="900"/>
      <c r="F732" s="900"/>
      <c r="G732" s="900"/>
      <c r="H732" s="900"/>
      <c r="I732" s="900"/>
      <c r="J732" s="900"/>
      <c r="K732" s="900"/>
      <c r="L732" s="900"/>
      <c r="M732" s="900"/>
      <c r="N732" s="900"/>
      <c r="O732" s="900"/>
      <c r="P732" s="900"/>
    </row>
    <row r="733" spans="3:16" ht="14.25">
      <c r="C733" s="900"/>
      <c r="D733" s="900"/>
      <c r="E733" s="900"/>
      <c r="F733" s="900"/>
      <c r="G733" s="900"/>
      <c r="H733" s="900"/>
      <c r="I733" s="900"/>
      <c r="J733" s="900"/>
      <c r="K733" s="900"/>
      <c r="L733" s="900"/>
      <c r="M733" s="900"/>
      <c r="N733" s="900"/>
      <c r="O733" s="900"/>
      <c r="P733" s="900"/>
    </row>
    <row r="734" spans="3:16" ht="14.25">
      <c r="C734" s="900"/>
      <c r="D734" s="900"/>
      <c r="E734" s="900"/>
      <c r="F734" s="900"/>
      <c r="G734" s="900"/>
      <c r="H734" s="900"/>
      <c r="I734" s="900"/>
      <c r="J734" s="900"/>
      <c r="K734" s="900"/>
      <c r="L734" s="900"/>
      <c r="M734" s="900"/>
      <c r="N734" s="900"/>
      <c r="O734" s="900"/>
      <c r="P734" s="900"/>
    </row>
    <row r="735" spans="3:16" ht="14.25">
      <c r="C735" s="900"/>
      <c r="D735" s="900"/>
      <c r="E735" s="900"/>
      <c r="F735" s="900"/>
      <c r="G735" s="900"/>
      <c r="H735" s="900"/>
      <c r="I735" s="900"/>
      <c r="J735" s="900"/>
      <c r="K735" s="900"/>
      <c r="L735" s="900"/>
      <c r="M735" s="900"/>
      <c r="N735" s="900"/>
      <c r="O735" s="900"/>
      <c r="P735" s="900"/>
    </row>
    <row r="736" spans="3:16" ht="14.25">
      <c r="C736" s="900"/>
      <c r="D736" s="900"/>
      <c r="E736" s="900"/>
      <c r="F736" s="900"/>
      <c r="G736" s="900"/>
      <c r="H736" s="900"/>
      <c r="I736" s="900"/>
      <c r="J736" s="900"/>
      <c r="K736" s="900"/>
      <c r="L736" s="900"/>
      <c r="M736" s="900"/>
      <c r="N736" s="900"/>
      <c r="O736" s="900"/>
      <c r="P736" s="900"/>
    </row>
    <row r="737" spans="3:16" ht="14.25">
      <c r="C737" s="900"/>
      <c r="D737" s="900"/>
      <c r="E737" s="900"/>
      <c r="F737" s="900"/>
      <c r="G737" s="900"/>
      <c r="H737" s="900"/>
      <c r="I737" s="900"/>
      <c r="J737" s="900"/>
      <c r="K737" s="900"/>
      <c r="L737" s="900"/>
      <c r="M737" s="900"/>
      <c r="N737" s="900"/>
      <c r="O737" s="900"/>
      <c r="P737" s="900"/>
    </row>
    <row r="738" spans="3:16" ht="14.25">
      <c r="C738" s="900"/>
      <c r="D738" s="900"/>
      <c r="E738" s="900"/>
      <c r="F738" s="900"/>
      <c r="G738" s="900"/>
      <c r="H738" s="900"/>
      <c r="I738" s="900"/>
      <c r="J738" s="900"/>
      <c r="K738" s="900"/>
      <c r="L738" s="900"/>
      <c r="M738" s="900"/>
      <c r="N738" s="900"/>
      <c r="O738" s="900"/>
      <c r="P738" s="900"/>
    </row>
    <row r="739" spans="3:16" ht="14.25">
      <c r="C739" s="900"/>
      <c r="D739" s="900"/>
      <c r="E739" s="900"/>
      <c r="F739" s="900"/>
      <c r="G739" s="900"/>
      <c r="H739" s="900"/>
      <c r="I739" s="900"/>
      <c r="J739" s="900"/>
      <c r="K739" s="900"/>
      <c r="L739" s="900"/>
      <c r="M739" s="900"/>
      <c r="N739" s="900"/>
      <c r="O739" s="900"/>
      <c r="P739" s="900"/>
    </row>
    <row r="740" spans="3:16" ht="14.25">
      <c r="C740" s="900"/>
      <c r="D740" s="900"/>
      <c r="E740" s="900"/>
      <c r="F740" s="900"/>
      <c r="G740" s="900"/>
      <c r="H740" s="900"/>
      <c r="I740" s="900"/>
      <c r="J740" s="900"/>
      <c r="K740" s="900"/>
      <c r="L740" s="900"/>
      <c r="M740" s="900"/>
      <c r="N740" s="900"/>
      <c r="O740" s="900"/>
      <c r="P740" s="900"/>
    </row>
    <row r="741" spans="3:16" ht="14.25">
      <c r="C741" s="900"/>
      <c r="D741" s="900"/>
      <c r="E741" s="900"/>
      <c r="F741" s="900"/>
      <c r="G741" s="900"/>
      <c r="H741" s="900"/>
      <c r="I741" s="900"/>
      <c r="J741" s="900"/>
      <c r="K741" s="900"/>
      <c r="L741" s="900"/>
      <c r="M741" s="900"/>
      <c r="N741" s="900"/>
      <c r="O741" s="900"/>
      <c r="P741" s="900"/>
    </row>
    <row r="742" spans="3:16" ht="14.25">
      <c r="C742" s="900"/>
      <c r="D742" s="900"/>
      <c r="E742" s="900"/>
      <c r="F742" s="900"/>
      <c r="G742" s="900"/>
      <c r="H742" s="900"/>
      <c r="I742" s="900"/>
      <c r="J742" s="900"/>
      <c r="K742" s="900"/>
      <c r="L742" s="900"/>
      <c r="M742" s="900"/>
      <c r="N742" s="900"/>
      <c r="O742" s="900"/>
      <c r="P742" s="900"/>
    </row>
    <row r="743" spans="3:16" ht="14.25">
      <c r="C743" s="900"/>
      <c r="D743" s="900"/>
      <c r="E743" s="900"/>
      <c r="F743" s="900"/>
      <c r="G743" s="900"/>
      <c r="H743" s="900"/>
      <c r="I743" s="900"/>
      <c r="J743" s="900"/>
      <c r="K743" s="900"/>
      <c r="L743" s="900"/>
      <c r="M743" s="900"/>
      <c r="N743" s="900"/>
      <c r="O743" s="900"/>
      <c r="P743" s="900"/>
    </row>
    <row r="744" spans="3:16" ht="14.25">
      <c r="C744" s="900"/>
      <c r="D744" s="900"/>
      <c r="E744" s="900"/>
      <c r="F744" s="900"/>
      <c r="G744" s="900"/>
      <c r="H744" s="900"/>
      <c r="I744" s="900"/>
      <c r="J744" s="900"/>
      <c r="K744" s="900"/>
      <c r="L744" s="900"/>
      <c r="M744" s="900"/>
      <c r="N744" s="900"/>
      <c r="O744" s="900"/>
      <c r="P744" s="900"/>
    </row>
    <row r="745" spans="3:16" ht="14.25">
      <c r="C745" s="900"/>
      <c r="D745" s="900"/>
      <c r="E745" s="900"/>
      <c r="F745" s="900"/>
      <c r="G745" s="900"/>
      <c r="H745" s="900"/>
      <c r="I745" s="900"/>
      <c r="J745" s="900"/>
      <c r="K745" s="900"/>
      <c r="L745" s="900"/>
      <c r="M745" s="900"/>
      <c r="N745" s="900"/>
      <c r="O745" s="900"/>
      <c r="P745" s="900"/>
    </row>
    <row r="746" spans="3:16" ht="14.25">
      <c r="C746" s="900"/>
      <c r="D746" s="900"/>
      <c r="E746" s="900"/>
      <c r="F746" s="900"/>
      <c r="G746" s="900"/>
      <c r="H746" s="900"/>
      <c r="I746" s="900"/>
      <c r="J746" s="900"/>
      <c r="K746" s="900"/>
      <c r="L746" s="900"/>
      <c r="M746" s="900"/>
      <c r="N746" s="900"/>
      <c r="O746" s="900"/>
      <c r="P746" s="900"/>
    </row>
    <row r="747" spans="3:16" ht="14.25">
      <c r="C747" s="900"/>
      <c r="D747" s="900"/>
      <c r="E747" s="900"/>
      <c r="F747" s="900"/>
      <c r="G747" s="900"/>
      <c r="H747" s="900"/>
      <c r="I747" s="900"/>
      <c r="J747" s="900"/>
      <c r="K747" s="900"/>
      <c r="L747" s="900"/>
      <c r="M747" s="900"/>
      <c r="N747" s="900"/>
      <c r="O747" s="900"/>
      <c r="P747" s="900"/>
    </row>
    <row r="748" spans="3:16" ht="14.25">
      <c r="C748" s="900"/>
      <c r="D748" s="900"/>
      <c r="E748" s="900"/>
      <c r="F748" s="900"/>
      <c r="G748" s="900"/>
      <c r="H748" s="900"/>
      <c r="I748" s="900"/>
      <c r="J748" s="900"/>
      <c r="K748" s="900"/>
      <c r="L748" s="900"/>
      <c r="M748" s="900"/>
      <c r="N748" s="900"/>
      <c r="O748" s="900"/>
      <c r="P748" s="900"/>
    </row>
    <row r="749" spans="3:16" ht="14.25">
      <c r="C749" s="900"/>
      <c r="D749" s="900"/>
      <c r="E749" s="900"/>
      <c r="F749" s="900"/>
      <c r="G749" s="900"/>
      <c r="H749" s="900"/>
      <c r="I749" s="900"/>
      <c r="J749" s="900"/>
      <c r="K749" s="900"/>
      <c r="L749" s="900"/>
      <c r="M749" s="900"/>
      <c r="N749" s="900"/>
      <c r="O749" s="900"/>
      <c r="P749" s="900"/>
    </row>
    <row r="750" spans="3:16" ht="14.25">
      <c r="C750" s="900"/>
      <c r="D750" s="900"/>
      <c r="E750" s="900"/>
      <c r="F750" s="900"/>
      <c r="G750" s="900"/>
      <c r="H750" s="900"/>
      <c r="I750" s="900"/>
      <c r="J750" s="900"/>
      <c r="K750" s="900"/>
      <c r="L750" s="900"/>
      <c r="M750" s="900"/>
      <c r="N750" s="900"/>
      <c r="O750" s="900"/>
      <c r="P750" s="900"/>
    </row>
    <row r="751" spans="3:16" ht="14.25">
      <c r="C751" s="900"/>
      <c r="D751" s="900"/>
      <c r="E751" s="900"/>
      <c r="F751" s="900"/>
      <c r="G751" s="900"/>
      <c r="H751" s="900"/>
      <c r="I751" s="900"/>
      <c r="J751" s="900"/>
      <c r="K751" s="900"/>
      <c r="L751" s="900"/>
      <c r="M751" s="900"/>
      <c r="N751" s="900"/>
      <c r="O751" s="900"/>
      <c r="P751" s="900"/>
    </row>
    <row r="752" spans="3:16" ht="14.25">
      <c r="C752" s="900"/>
      <c r="D752" s="900"/>
      <c r="E752" s="900"/>
      <c r="F752" s="900"/>
      <c r="G752" s="900"/>
      <c r="H752" s="900"/>
      <c r="I752" s="900"/>
      <c r="J752" s="900"/>
      <c r="K752" s="900"/>
      <c r="L752" s="900"/>
      <c r="M752" s="900"/>
      <c r="N752" s="900"/>
      <c r="O752" s="900"/>
      <c r="P752" s="900"/>
    </row>
    <row r="753" spans="3:16" ht="14.25">
      <c r="C753" s="900"/>
      <c r="D753" s="900"/>
      <c r="E753" s="900"/>
      <c r="F753" s="900"/>
      <c r="G753" s="900"/>
      <c r="H753" s="900"/>
      <c r="I753" s="900"/>
      <c r="J753" s="900"/>
      <c r="K753" s="900"/>
      <c r="L753" s="900"/>
      <c r="M753" s="900"/>
      <c r="N753" s="900"/>
      <c r="O753" s="900"/>
      <c r="P753" s="900"/>
    </row>
    <row r="754" spans="3:16" ht="14.25">
      <c r="C754" s="900"/>
      <c r="D754" s="900"/>
      <c r="E754" s="900"/>
      <c r="F754" s="900"/>
      <c r="G754" s="900"/>
      <c r="H754" s="900"/>
      <c r="I754" s="900"/>
      <c r="J754" s="900"/>
      <c r="K754" s="900"/>
      <c r="L754" s="900"/>
      <c r="M754" s="900"/>
      <c r="N754" s="900"/>
      <c r="O754" s="900"/>
      <c r="P754" s="900"/>
    </row>
    <row r="755" spans="3:16" ht="14.25">
      <c r="C755" s="900"/>
      <c r="D755" s="900"/>
      <c r="E755" s="900"/>
      <c r="F755" s="900"/>
      <c r="G755" s="900"/>
      <c r="H755" s="900"/>
      <c r="I755" s="900"/>
      <c r="J755" s="900"/>
      <c r="K755" s="900"/>
      <c r="L755" s="900"/>
      <c r="M755" s="900"/>
      <c r="N755" s="900"/>
      <c r="O755" s="900"/>
      <c r="P755" s="900"/>
    </row>
    <row r="756" spans="3:16" ht="14.25">
      <c r="C756" s="900"/>
      <c r="D756" s="900"/>
      <c r="E756" s="900"/>
      <c r="F756" s="900"/>
      <c r="G756" s="900"/>
      <c r="H756" s="900"/>
      <c r="I756" s="900"/>
      <c r="J756" s="900"/>
      <c r="K756" s="900"/>
      <c r="L756" s="900"/>
      <c r="M756" s="900"/>
      <c r="N756" s="900"/>
      <c r="O756" s="900"/>
      <c r="P756" s="900"/>
    </row>
    <row r="757" spans="3:16" ht="14.25">
      <c r="C757" s="900"/>
      <c r="D757" s="900"/>
      <c r="E757" s="900"/>
      <c r="F757" s="900"/>
      <c r="G757" s="900"/>
      <c r="H757" s="900"/>
      <c r="I757" s="900"/>
      <c r="J757" s="900"/>
      <c r="K757" s="900"/>
      <c r="L757" s="900"/>
      <c r="M757" s="900"/>
      <c r="N757" s="900"/>
      <c r="O757" s="900"/>
      <c r="P757" s="900"/>
    </row>
    <row r="758" spans="3:16" ht="14.25">
      <c r="C758" s="900"/>
      <c r="D758" s="900"/>
      <c r="E758" s="900"/>
      <c r="F758" s="900"/>
      <c r="G758" s="900"/>
      <c r="H758" s="900"/>
      <c r="I758" s="900"/>
      <c r="J758" s="900"/>
      <c r="K758" s="900"/>
      <c r="L758" s="900"/>
      <c r="M758" s="900"/>
      <c r="N758" s="900"/>
      <c r="O758" s="900"/>
      <c r="P758" s="900"/>
    </row>
    <row r="759" spans="3:16" ht="14.25">
      <c r="C759" s="900"/>
      <c r="D759" s="900"/>
      <c r="E759" s="900"/>
      <c r="F759" s="900"/>
      <c r="G759" s="900"/>
      <c r="H759" s="900"/>
      <c r="I759" s="900"/>
      <c r="J759" s="900"/>
      <c r="K759" s="900"/>
      <c r="L759" s="900"/>
      <c r="M759" s="900"/>
      <c r="N759" s="900"/>
      <c r="O759" s="900"/>
      <c r="P759" s="900"/>
    </row>
    <row r="760" spans="3:16" ht="14.25">
      <c r="C760" s="900"/>
      <c r="D760" s="900"/>
      <c r="E760" s="900"/>
      <c r="F760" s="900"/>
      <c r="G760" s="900"/>
      <c r="H760" s="900"/>
      <c r="I760" s="900"/>
      <c r="J760" s="900"/>
      <c r="K760" s="900"/>
      <c r="L760" s="900"/>
      <c r="M760" s="900"/>
      <c r="N760" s="900"/>
      <c r="O760" s="900"/>
      <c r="P760" s="900"/>
    </row>
    <row r="761" spans="3:16" ht="14.25">
      <c r="C761" s="900"/>
      <c r="D761" s="900"/>
      <c r="E761" s="900"/>
      <c r="F761" s="900"/>
      <c r="G761" s="900"/>
      <c r="H761" s="900"/>
      <c r="I761" s="900"/>
      <c r="J761" s="900"/>
      <c r="K761" s="900"/>
      <c r="L761" s="900"/>
      <c r="M761" s="900"/>
      <c r="N761" s="900"/>
      <c r="O761" s="900"/>
      <c r="P761" s="900"/>
    </row>
    <row r="762" spans="3:16" ht="14.25">
      <c r="C762" s="900"/>
      <c r="D762" s="900"/>
      <c r="E762" s="900"/>
      <c r="F762" s="900"/>
      <c r="G762" s="900"/>
      <c r="H762" s="900"/>
      <c r="I762" s="900"/>
      <c r="J762" s="900"/>
      <c r="K762" s="900"/>
      <c r="L762" s="900"/>
      <c r="M762" s="900"/>
      <c r="N762" s="900"/>
      <c r="O762" s="900"/>
      <c r="P762" s="900"/>
    </row>
    <row r="763" spans="3:16" ht="14.25">
      <c r="C763" s="900"/>
      <c r="D763" s="900"/>
      <c r="E763" s="900"/>
      <c r="F763" s="900"/>
      <c r="G763" s="900"/>
      <c r="H763" s="900"/>
      <c r="I763" s="900"/>
      <c r="J763" s="900"/>
      <c r="K763" s="900"/>
      <c r="L763" s="900"/>
      <c r="M763" s="900"/>
      <c r="N763" s="900"/>
      <c r="O763" s="900"/>
      <c r="P763" s="900"/>
    </row>
    <row r="764" spans="3:16" ht="14.25">
      <c r="C764" s="900"/>
      <c r="D764" s="900"/>
      <c r="E764" s="900"/>
      <c r="F764" s="900"/>
      <c r="G764" s="900"/>
      <c r="H764" s="900"/>
      <c r="I764" s="900"/>
      <c r="J764" s="900"/>
      <c r="K764" s="900"/>
      <c r="L764" s="900"/>
      <c r="M764" s="900"/>
      <c r="N764" s="900"/>
      <c r="O764" s="900"/>
      <c r="P764" s="900"/>
    </row>
    <row r="765" spans="3:16" ht="14.25">
      <c r="C765" s="900"/>
      <c r="D765" s="900"/>
      <c r="E765" s="900"/>
      <c r="F765" s="900"/>
      <c r="G765" s="900"/>
      <c r="H765" s="900"/>
      <c r="I765" s="900"/>
      <c r="J765" s="900"/>
      <c r="K765" s="900"/>
      <c r="L765" s="900"/>
      <c r="M765" s="900"/>
      <c r="N765" s="900"/>
      <c r="O765" s="900"/>
      <c r="P765" s="900"/>
    </row>
    <row r="766" spans="3:16" ht="14.25">
      <c r="C766" s="900"/>
      <c r="D766" s="900"/>
      <c r="E766" s="900"/>
      <c r="F766" s="900"/>
      <c r="G766" s="900"/>
      <c r="H766" s="900"/>
      <c r="I766" s="900"/>
      <c r="J766" s="900"/>
      <c r="K766" s="900"/>
      <c r="L766" s="900"/>
      <c r="M766" s="900"/>
      <c r="N766" s="900"/>
      <c r="O766" s="900"/>
      <c r="P766" s="900"/>
    </row>
    <row r="767" spans="3:16" ht="14.25">
      <c r="C767" s="900"/>
      <c r="D767" s="900"/>
      <c r="E767" s="900"/>
      <c r="F767" s="900"/>
      <c r="G767" s="900"/>
      <c r="H767" s="900"/>
      <c r="I767" s="900"/>
      <c r="J767" s="900"/>
      <c r="K767" s="900"/>
      <c r="L767" s="900"/>
      <c r="M767" s="900"/>
      <c r="N767" s="900"/>
      <c r="O767" s="900"/>
      <c r="P767" s="900"/>
    </row>
    <row r="768" spans="3:16" ht="14.25">
      <c r="C768" s="900"/>
      <c r="D768" s="900"/>
      <c r="E768" s="900"/>
      <c r="F768" s="900"/>
      <c r="G768" s="900"/>
      <c r="H768" s="900"/>
      <c r="I768" s="900"/>
      <c r="J768" s="900"/>
      <c r="K768" s="900"/>
      <c r="L768" s="900"/>
      <c r="M768" s="900"/>
      <c r="N768" s="900"/>
      <c r="O768" s="900"/>
      <c r="P768" s="900"/>
    </row>
    <row r="769" spans="3:16" ht="14.25">
      <c r="C769" s="900"/>
      <c r="D769" s="900"/>
      <c r="E769" s="900"/>
      <c r="F769" s="900"/>
      <c r="G769" s="900"/>
      <c r="H769" s="900"/>
      <c r="I769" s="900"/>
      <c r="J769" s="900"/>
      <c r="K769" s="900"/>
      <c r="L769" s="900"/>
      <c r="M769" s="900"/>
      <c r="N769" s="900"/>
      <c r="O769" s="900"/>
      <c r="P769" s="900"/>
    </row>
    <row r="770" spans="3:16" ht="14.25">
      <c r="C770" s="900"/>
      <c r="D770" s="900"/>
      <c r="E770" s="900"/>
      <c r="F770" s="900"/>
      <c r="G770" s="900"/>
      <c r="H770" s="900"/>
      <c r="I770" s="900"/>
      <c r="J770" s="900"/>
      <c r="K770" s="900"/>
      <c r="L770" s="900"/>
      <c r="M770" s="900"/>
      <c r="N770" s="900"/>
      <c r="O770" s="900"/>
      <c r="P770" s="900"/>
    </row>
    <row r="771" spans="3:16" ht="14.25">
      <c r="C771" s="900"/>
      <c r="D771" s="900"/>
      <c r="E771" s="900"/>
      <c r="F771" s="900"/>
      <c r="G771" s="900"/>
      <c r="H771" s="900"/>
      <c r="I771" s="900"/>
      <c r="J771" s="900"/>
      <c r="K771" s="900"/>
      <c r="L771" s="900"/>
      <c r="M771" s="900"/>
      <c r="N771" s="900"/>
      <c r="O771" s="900"/>
      <c r="P771" s="900"/>
    </row>
    <row r="772" spans="3:16" ht="14.25">
      <c r="C772" s="900"/>
      <c r="D772" s="900"/>
      <c r="E772" s="900"/>
      <c r="F772" s="900"/>
      <c r="G772" s="900"/>
      <c r="H772" s="900"/>
      <c r="I772" s="900"/>
      <c r="J772" s="900"/>
      <c r="K772" s="900"/>
      <c r="L772" s="900"/>
      <c r="M772" s="900"/>
      <c r="N772" s="900"/>
      <c r="O772" s="900"/>
      <c r="P772" s="900"/>
    </row>
    <row r="773" spans="3:16" ht="14.25">
      <c r="C773" s="900"/>
      <c r="D773" s="900"/>
      <c r="E773" s="900"/>
      <c r="F773" s="900"/>
      <c r="G773" s="900"/>
      <c r="H773" s="900"/>
      <c r="I773" s="900"/>
      <c r="J773" s="900"/>
      <c r="K773" s="900"/>
      <c r="L773" s="900"/>
      <c r="M773" s="900"/>
      <c r="N773" s="900"/>
      <c r="O773" s="900"/>
      <c r="P773" s="900"/>
    </row>
    <row r="774" spans="3:16" ht="14.25">
      <c r="C774" s="900"/>
      <c r="D774" s="900"/>
      <c r="E774" s="900"/>
      <c r="F774" s="900"/>
      <c r="G774" s="900"/>
      <c r="H774" s="900"/>
      <c r="I774" s="900"/>
      <c r="J774" s="900"/>
      <c r="K774" s="900"/>
      <c r="L774" s="900"/>
      <c r="M774" s="900"/>
      <c r="N774" s="900"/>
      <c r="O774" s="900"/>
      <c r="P774" s="900"/>
    </row>
    <row r="775" spans="3:16" ht="14.25">
      <c r="C775" s="900"/>
      <c r="D775" s="900"/>
      <c r="E775" s="900"/>
      <c r="F775" s="900"/>
      <c r="G775" s="900"/>
      <c r="H775" s="900"/>
      <c r="I775" s="900"/>
      <c r="J775" s="900"/>
      <c r="K775" s="900"/>
      <c r="L775" s="900"/>
      <c r="M775" s="900"/>
      <c r="N775" s="900"/>
      <c r="O775" s="900"/>
      <c r="P775" s="900"/>
    </row>
    <row r="776" spans="3:16" ht="14.25">
      <c r="C776" s="900"/>
      <c r="D776" s="900"/>
      <c r="E776" s="900"/>
      <c r="F776" s="900"/>
      <c r="G776" s="900"/>
      <c r="H776" s="900"/>
      <c r="I776" s="900"/>
      <c r="J776" s="900"/>
      <c r="K776" s="900"/>
      <c r="L776" s="900"/>
      <c r="M776" s="900"/>
      <c r="N776" s="900"/>
      <c r="O776" s="900"/>
      <c r="P776" s="900"/>
    </row>
    <row r="777" spans="3:16" ht="14.25">
      <c r="C777" s="900"/>
      <c r="D777" s="900"/>
      <c r="E777" s="900"/>
      <c r="F777" s="900"/>
      <c r="G777" s="900"/>
      <c r="H777" s="900"/>
      <c r="I777" s="900"/>
      <c r="J777" s="900"/>
      <c r="K777" s="900"/>
      <c r="L777" s="900"/>
      <c r="M777" s="900"/>
      <c r="N777" s="900"/>
      <c r="O777" s="900"/>
      <c r="P777" s="900"/>
    </row>
    <row r="778" spans="3:16" ht="14.25">
      <c r="C778" s="900"/>
      <c r="D778" s="900"/>
      <c r="E778" s="900"/>
      <c r="F778" s="900"/>
      <c r="G778" s="900"/>
      <c r="H778" s="900"/>
      <c r="I778" s="900"/>
      <c r="J778" s="900"/>
      <c r="K778" s="900"/>
      <c r="L778" s="900"/>
      <c r="M778" s="900"/>
      <c r="N778" s="900"/>
      <c r="O778" s="900"/>
      <c r="P778" s="900"/>
    </row>
    <row r="779" spans="3:16" ht="14.25">
      <c r="C779" s="900"/>
      <c r="D779" s="900"/>
      <c r="E779" s="900"/>
      <c r="F779" s="900"/>
      <c r="G779" s="900"/>
      <c r="H779" s="900"/>
      <c r="I779" s="900"/>
      <c r="J779" s="900"/>
      <c r="K779" s="900"/>
      <c r="L779" s="900"/>
      <c r="M779" s="900"/>
      <c r="N779" s="900"/>
      <c r="O779" s="900"/>
      <c r="P779" s="900"/>
    </row>
    <row r="780" spans="3:16" ht="14.25">
      <c r="C780" s="900"/>
      <c r="D780" s="900"/>
      <c r="E780" s="900"/>
      <c r="F780" s="900"/>
      <c r="G780" s="900"/>
      <c r="H780" s="900"/>
      <c r="I780" s="900"/>
      <c r="J780" s="900"/>
      <c r="K780" s="900"/>
      <c r="L780" s="900"/>
      <c r="M780" s="900"/>
      <c r="N780" s="900"/>
      <c r="O780" s="900"/>
      <c r="P780" s="900"/>
    </row>
    <row r="781" spans="3:16" ht="14.25">
      <c r="C781" s="900"/>
      <c r="D781" s="900"/>
      <c r="E781" s="900"/>
      <c r="F781" s="900"/>
      <c r="G781" s="900"/>
      <c r="H781" s="900"/>
      <c r="I781" s="900"/>
      <c r="J781" s="900"/>
      <c r="K781" s="900"/>
      <c r="L781" s="900"/>
      <c r="M781" s="900"/>
      <c r="N781" s="900"/>
      <c r="O781" s="900"/>
      <c r="P781" s="900"/>
    </row>
    <row r="782" spans="3:16" ht="14.25">
      <c r="C782" s="900"/>
      <c r="D782" s="900"/>
      <c r="E782" s="900"/>
      <c r="F782" s="900"/>
      <c r="G782" s="900"/>
      <c r="H782" s="900"/>
      <c r="I782" s="900"/>
      <c r="J782" s="900"/>
      <c r="K782" s="900"/>
      <c r="L782" s="900"/>
      <c r="M782" s="900"/>
      <c r="N782" s="900"/>
      <c r="O782" s="900"/>
      <c r="P782" s="900"/>
    </row>
    <row r="783" spans="3:16" ht="14.25">
      <c r="C783" s="900"/>
      <c r="D783" s="900"/>
      <c r="E783" s="900"/>
      <c r="F783" s="900"/>
      <c r="G783" s="900"/>
      <c r="H783" s="900"/>
      <c r="I783" s="900"/>
      <c r="J783" s="900"/>
      <c r="K783" s="900"/>
      <c r="L783" s="900"/>
      <c r="M783" s="900"/>
      <c r="N783" s="900"/>
      <c r="O783" s="900"/>
      <c r="P783" s="900"/>
    </row>
    <row r="784" spans="3:16" ht="14.25">
      <c r="C784" s="900"/>
      <c r="D784" s="900"/>
      <c r="E784" s="900"/>
      <c r="F784" s="900"/>
      <c r="G784" s="900"/>
      <c r="H784" s="900"/>
      <c r="I784" s="900"/>
      <c r="J784" s="900"/>
      <c r="K784" s="900"/>
      <c r="L784" s="900"/>
      <c r="M784" s="900"/>
      <c r="N784" s="900"/>
      <c r="O784" s="900"/>
      <c r="P784" s="900"/>
    </row>
    <row r="785" spans="3:16" ht="14.25">
      <c r="C785" s="900"/>
      <c r="D785" s="900"/>
      <c r="E785" s="900"/>
      <c r="F785" s="900"/>
      <c r="G785" s="900"/>
      <c r="H785" s="900"/>
      <c r="I785" s="900"/>
      <c r="J785" s="900"/>
      <c r="K785" s="900"/>
      <c r="L785" s="900"/>
      <c r="M785" s="900"/>
      <c r="N785" s="900"/>
      <c r="O785" s="900"/>
      <c r="P785" s="900"/>
    </row>
    <row r="786" spans="3:16" ht="14.25">
      <c r="C786" s="900"/>
      <c r="D786" s="900"/>
      <c r="E786" s="900"/>
      <c r="F786" s="900"/>
      <c r="G786" s="900"/>
      <c r="H786" s="900"/>
      <c r="I786" s="900"/>
      <c r="J786" s="900"/>
      <c r="K786" s="900"/>
      <c r="L786" s="900"/>
      <c r="M786" s="900"/>
      <c r="N786" s="900"/>
      <c r="O786" s="900"/>
      <c r="P786" s="900"/>
    </row>
    <row r="787" spans="3:16" ht="14.25">
      <c r="C787" s="900"/>
      <c r="D787" s="900"/>
      <c r="E787" s="900"/>
      <c r="F787" s="900"/>
      <c r="G787" s="900"/>
      <c r="H787" s="900"/>
      <c r="I787" s="900"/>
      <c r="J787" s="900"/>
      <c r="K787" s="900"/>
      <c r="L787" s="900"/>
      <c r="M787" s="900"/>
      <c r="N787" s="900"/>
      <c r="O787" s="900"/>
      <c r="P787" s="900"/>
    </row>
    <row r="788" spans="3:16" ht="14.25">
      <c r="C788" s="900"/>
      <c r="D788" s="900"/>
      <c r="E788" s="900"/>
      <c r="F788" s="900"/>
      <c r="G788" s="900"/>
      <c r="H788" s="900"/>
      <c r="I788" s="900"/>
      <c r="J788" s="900"/>
      <c r="K788" s="900"/>
      <c r="L788" s="900"/>
      <c r="M788" s="900"/>
      <c r="N788" s="900"/>
      <c r="O788" s="900"/>
      <c r="P788" s="900"/>
    </row>
    <row r="789" spans="3:16" ht="14.25">
      <c r="C789" s="900"/>
      <c r="D789" s="900"/>
      <c r="E789" s="900"/>
      <c r="F789" s="900"/>
      <c r="G789" s="900"/>
      <c r="H789" s="900"/>
      <c r="I789" s="900"/>
      <c r="J789" s="900"/>
      <c r="K789" s="900"/>
      <c r="L789" s="900"/>
      <c r="M789" s="900"/>
      <c r="N789" s="900"/>
      <c r="O789" s="900"/>
      <c r="P789" s="900"/>
    </row>
    <row r="790" spans="3:16" ht="14.25">
      <c r="C790" s="900"/>
      <c r="D790" s="900"/>
      <c r="E790" s="900"/>
      <c r="F790" s="900"/>
      <c r="G790" s="900"/>
      <c r="H790" s="900"/>
      <c r="I790" s="900"/>
      <c r="J790" s="900"/>
      <c r="K790" s="900"/>
      <c r="L790" s="900"/>
      <c r="M790" s="900"/>
      <c r="N790" s="900"/>
      <c r="O790" s="900"/>
      <c r="P790" s="900"/>
    </row>
    <row r="791" spans="3:16" ht="14.25">
      <c r="C791" s="900"/>
      <c r="D791" s="900"/>
      <c r="E791" s="900"/>
      <c r="F791" s="900"/>
      <c r="G791" s="900"/>
      <c r="H791" s="900"/>
      <c r="I791" s="900"/>
      <c r="J791" s="900"/>
      <c r="K791" s="900"/>
      <c r="L791" s="900"/>
      <c r="M791" s="900"/>
      <c r="N791" s="900"/>
      <c r="O791" s="900"/>
      <c r="P791" s="900"/>
    </row>
    <row r="792" spans="3:16" ht="14.25">
      <c r="C792" s="900"/>
      <c r="D792" s="900"/>
      <c r="E792" s="900"/>
      <c r="F792" s="900"/>
      <c r="G792" s="900"/>
      <c r="H792" s="900"/>
      <c r="I792" s="900"/>
      <c r="J792" s="900"/>
      <c r="K792" s="900"/>
      <c r="L792" s="900"/>
      <c r="M792" s="900"/>
      <c r="N792" s="900"/>
      <c r="O792" s="900"/>
      <c r="P792" s="900"/>
    </row>
    <row r="793" spans="3:16" ht="14.25">
      <c r="C793" s="900"/>
      <c r="D793" s="900"/>
      <c r="E793" s="900"/>
      <c r="F793" s="900"/>
      <c r="G793" s="900"/>
      <c r="H793" s="900"/>
      <c r="I793" s="900"/>
      <c r="J793" s="900"/>
      <c r="K793" s="900"/>
      <c r="L793" s="900"/>
      <c r="M793" s="900"/>
      <c r="N793" s="900"/>
      <c r="O793" s="900"/>
      <c r="P793" s="900"/>
    </row>
    <row r="794" spans="3:16" ht="14.25">
      <c r="C794" s="900"/>
      <c r="D794" s="900"/>
      <c r="E794" s="900"/>
      <c r="F794" s="900"/>
      <c r="G794" s="900"/>
      <c r="H794" s="900"/>
      <c r="I794" s="900"/>
      <c r="J794" s="900"/>
      <c r="K794" s="900"/>
      <c r="L794" s="900"/>
      <c r="M794" s="900"/>
      <c r="N794" s="900"/>
      <c r="O794" s="900"/>
      <c r="P794" s="900"/>
    </row>
    <row r="795" spans="3:16" ht="14.25">
      <c r="C795" s="900"/>
      <c r="D795" s="900"/>
      <c r="E795" s="900"/>
      <c r="F795" s="900"/>
      <c r="G795" s="900"/>
      <c r="H795" s="900"/>
      <c r="I795" s="900"/>
      <c r="J795" s="900"/>
      <c r="K795" s="900"/>
      <c r="L795" s="900"/>
      <c r="M795" s="900"/>
      <c r="N795" s="900"/>
      <c r="O795" s="900"/>
      <c r="P795" s="900"/>
    </row>
    <row r="796" spans="3:16" ht="14.25">
      <c r="C796" s="900"/>
      <c r="D796" s="900"/>
      <c r="E796" s="900"/>
      <c r="F796" s="900"/>
      <c r="G796" s="900"/>
      <c r="H796" s="900"/>
      <c r="I796" s="900"/>
      <c r="J796" s="900"/>
      <c r="K796" s="900"/>
      <c r="L796" s="900"/>
      <c r="M796" s="900"/>
      <c r="N796" s="900"/>
      <c r="O796" s="900"/>
      <c r="P796" s="900"/>
    </row>
    <row r="797" spans="3:16" ht="14.25">
      <c r="C797" s="900"/>
      <c r="D797" s="900"/>
      <c r="E797" s="900"/>
      <c r="F797" s="900"/>
      <c r="G797" s="900"/>
      <c r="H797" s="900"/>
      <c r="I797" s="900"/>
      <c r="J797" s="900"/>
      <c r="K797" s="900"/>
      <c r="L797" s="900"/>
      <c r="M797" s="900"/>
      <c r="N797" s="900"/>
      <c r="O797" s="900"/>
      <c r="P797" s="900"/>
    </row>
    <row r="798" spans="3:16" ht="14.25">
      <c r="C798" s="900"/>
      <c r="D798" s="900"/>
      <c r="E798" s="900"/>
      <c r="F798" s="900"/>
      <c r="G798" s="900"/>
      <c r="H798" s="900"/>
      <c r="I798" s="900"/>
      <c r="J798" s="900"/>
      <c r="K798" s="900"/>
      <c r="L798" s="900"/>
      <c r="M798" s="900"/>
      <c r="N798" s="900"/>
      <c r="O798" s="900"/>
      <c r="P798" s="900"/>
    </row>
    <row r="799" spans="3:16" ht="14.25">
      <c r="C799" s="900"/>
      <c r="D799" s="900"/>
      <c r="E799" s="900"/>
      <c r="F799" s="900"/>
      <c r="G799" s="900"/>
      <c r="H799" s="900"/>
      <c r="I799" s="900"/>
      <c r="J799" s="900"/>
      <c r="K799" s="900"/>
      <c r="L799" s="900"/>
      <c r="M799" s="900"/>
      <c r="N799" s="900"/>
      <c r="O799" s="900"/>
      <c r="P799" s="900"/>
    </row>
    <row r="800" spans="3:16" ht="14.25">
      <c r="C800" s="900"/>
      <c r="D800" s="900"/>
      <c r="E800" s="900"/>
      <c r="F800" s="900"/>
      <c r="G800" s="900"/>
      <c r="H800" s="900"/>
      <c r="I800" s="900"/>
      <c r="J800" s="900"/>
      <c r="K800" s="900"/>
      <c r="L800" s="900"/>
      <c r="M800" s="900"/>
      <c r="N800" s="900"/>
      <c r="O800" s="900"/>
      <c r="P800" s="900"/>
    </row>
    <row r="801" spans="3:16" ht="14.25">
      <c r="C801" s="900"/>
      <c r="D801" s="900"/>
      <c r="E801" s="900"/>
      <c r="F801" s="900"/>
      <c r="G801" s="900"/>
      <c r="H801" s="900"/>
      <c r="I801" s="900"/>
      <c r="J801" s="900"/>
      <c r="K801" s="900"/>
      <c r="L801" s="900"/>
      <c r="M801" s="900"/>
      <c r="N801" s="900"/>
      <c r="O801" s="900"/>
      <c r="P801" s="900"/>
    </row>
    <row r="802" spans="3:16" ht="14.25">
      <c r="C802" s="900"/>
      <c r="D802" s="900"/>
      <c r="E802" s="900"/>
      <c r="F802" s="900"/>
      <c r="G802" s="900"/>
      <c r="H802" s="900"/>
      <c r="I802" s="900"/>
      <c r="J802" s="900"/>
      <c r="K802" s="900"/>
      <c r="L802" s="900"/>
      <c r="M802" s="900"/>
      <c r="N802" s="900"/>
      <c r="O802" s="900"/>
      <c r="P802" s="900"/>
    </row>
    <row r="803" spans="3:16" ht="14.25">
      <c r="C803" s="900"/>
      <c r="D803" s="900"/>
      <c r="E803" s="900"/>
      <c r="F803" s="900"/>
      <c r="G803" s="900"/>
      <c r="H803" s="900"/>
      <c r="I803" s="900"/>
      <c r="J803" s="900"/>
      <c r="K803" s="900"/>
      <c r="L803" s="900"/>
      <c r="M803" s="900"/>
      <c r="N803" s="900"/>
      <c r="O803" s="900"/>
      <c r="P803" s="900"/>
    </row>
    <row r="804" spans="3:16" ht="14.25">
      <c r="C804" s="900"/>
      <c r="D804" s="900"/>
      <c r="E804" s="900"/>
      <c r="F804" s="900"/>
      <c r="G804" s="900"/>
      <c r="H804" s="900"/>
      <c r="I804" s="900"/>
      <c r="J804" s="900"/>
      <c r="K804" s="900"/>
      <c r="L804" s="900"/>
      <c r="M804" s="900"/>
      <c r="N804" s="900"/>
      <c r="O804" s="900"/>
      <c r="P804" s="900"/>
    </row>
    <row r="805" spans="3:16" ht="14.25">
      <c r="C805" s="900"/>
      <c r="D805" s="900"/>
      <c r="E805" s="900"/>
      <c r="F805" s="900"/>
      <c r="G805" s="900"/>
      <c r="H805" s="900"/>
      <c r="I805" s="900"/>
      <c r="J805" s="900"/>
      <c r="K805" s="900"/>
      <c r="L805" s="900"/>
      <c r="M805" s="900"/>
      <c r="N805" s="900"/>
      <c r="O805" s="900"/>
      <c r="P805" s="900"/>
    </row>
    <row r="806" spans="3:16" ht="14.25">
      <c r="C806" s="900"/>
      <c r="D806" s="900"/>
      <c r="E806" s="900"/>
      <c r="F806" s="900"/>
      <c r="G806" s="900"/>
      <c r="H806" s="900"/>
      <c r="I806" s="900"/>
      <c r="J806" s="900"/>
      <c r="K806" s="900"/>
      <c r="L806" s="900"/>
      <c r="M806" s="900"/>
      <c r="N806" s="900"/>
      <c r="O806" s="900"/>
      <c r="P806" s="900"/>
    </row>
    <row r="807" spans="3:16" ht="14.25">
      <c r="C807" s="900"/>
      <c r="D807" s="900"/>
      <c r="E807" s="900"/>
      <c r="F807" s="900"/>
      <c r="G807" s="900"/>
      <c r="H807" s="900"/>
      <c r="I807" s="900"/>
      <c r="J807" s="900"/>
      <c r="K807" s="900"/>
      <c r="L807" s="900"/>
      <c r="M807" s="900"/>
      <c r="N807" s="900"/>
      <c r="O807" s="900"/>
      <c r="P807" s="900"/>
    </row>
    <row r="808" spans="3:16" ht="14.25">
      <c r="C808" s="900"/>
      <c r="D808" s="900"/>
      <c r="E808" s="900"/>
      <c r="F808" s="900"/>
      <c r="G808" s="900"/>
      <c r="H808" s="900"/>
      <c r="I808" s="900"/>
      <c r="J808" s="900"/>
      <c r="K808" s="900"/>
      <c r="L808" s="900"/>
      <c r="M808" s="900"/>
      <c r="N808" s="900"/>
      <c r="O808" s="900"/>
      <c r="P808" s="900"/>
    </row>
    <row r="809" spans="3:16" ht="14.25">
      <c r="C809" s="900"/>
      <c r="D809" s="900"/>
      <c r="E809" s="900"/>
      <c r="F809" s="900"/>
      <c r="G809" s="900"/>
      <c r="H809" s="900"/>
      <c r="I809" s="900"/>
      <c r="J809" s="900"/>
      <c r="K809" s="900"/>
      <c r="L809" s="900"/>
      <c r="M809" s="900"/>
      <c r="N809" s="900"/>
      <c r="O809" s="900"/>
      <c r="P809" s="900"/>
    </row>
    <row r="810" spans="3:16" ht="14.25">
      <c r="C810" s="900"/>
      <c r="D810" s="900"/>
      <c r="E810" s="900"/>
      <c r="F810" s="900"/>
      <c r="G810" s="900"/>
      <c r="H810" s="900"/>
      <c r="I810" s="900"/>
      <c r="J810" s="900"/>
      <c r="K810" s="900"/>
      <c r="L810" s="900"/>
      <c r="M810" s="900"/>
      <c r="N810" s="900"/>
      <c r="O810" s="900"/>
      <c r="P810" s="900"/>
    </row>
    <row r="811" spans="3:16" ht="14.25">
      <c r="C811" s="900"/>
      <c r="D811" s="900"/>
      <c r="E811" s="900"/>
      <c r="F811" s="900"/>
      <c r="G811" s="900"/>
      <c r="H811" s="900"/>
      <c r="I811" s="900"/>
      <c r="J811" s="900"/>
      <c r="K811" s="900"/>
      <c r="L811" s="900"/>
      <c r="M811" s="900"/>
      <c r="N811" s="900"/>
      <c r="O811" s="900"/>
      <c r="P811" s="900"/>
    </row>
    <row r="812" spans="3:16" ht="14.25">
      <c r="C812" s="900"/>
      <c r="D812" s="900"/>
      <c r="E812" s="900"/>
      <c r="F812" s="900"/>
      <c r="G812" s="900"/>
      <c r="H812" s="900"/>
      <c r="I812" s="900"/>
      <c r="J812" s="900"/>
      <c r="K812" s="900"/>
      <c r="L812" s="900"/>
      <c r="M812" s="900"/>
      <c r="N812" s="900"/>
      <c r="O812" s="900"/>
      <c r="P812" s="900"/>
    </row>
    <row r="813" spans="3:16" ht="14.25">
      <c r="C813" s="900"/>
      <c r="D813" s="900"/>
      <c r="E813" s="900"/>
      <c r="F813" s="900"/>
      <c r="G813" s="900"/>
      <c r="H813" s="900"/>
      <c r="I813" s="900"/>
      <c r="J813" s="900"/>
      <c r="K813" s="900"/>
      <c r="L813" s="900"/>
      <c r="M813" s="900"/>
      <c r="N813" s="900"/>
      <c r="O813" s="900"/>
      <c r="P813" s="900"/>
    </row>
    <row r="814" spans="3:16" ht="14.25">
      <c r="C814" s="900"/>
      <c r="D814" s="900"/>
      <c r="E814" s="900"/>
      <c r="F814" s="900"/>
      <c r="G814" s="900"/>
      <c r="H814" s="900"/>
      <c r="I814" s="900"/>
      <c r="J814" s="900"/>
      <c r="K814" s="900"/>
      <c r="L814" s="900"/>
      <c r="M814" s="900"/>
      <c r="N814" s="900"/>
      <c r="O814" s="900"/>
      <c r="P814" s="900"/>
    </row>
    <row r="815" spans="3:16" ht="14.25">
      <c r="C815" s="900"/>
      <c r="D815" s="900"/>
      <c r="E815" s="900"/>
      <c r="F815" s="900"/>
      <c r="G815" s="900"/>
      <c r="H815" s="900"/>
      <c r="I815" s="900"/>
      <c r="J815" s="900"/>
      <c r="K815" s="900"/>
      <c r="L815" s="900"/>
      <c r="M815" s="900"/>
      <c r="N815" s="900"/>
      <c r="O815" s="900"/>
      <c r="P815" s="900"/>
    </row>
    <row r="816" spans="3:16" ht="14.25">
      <c r="C816" s="900"/>
      <c r="D816" s="900"/>
      <c r="E816" s="900"/>
      <c r="F816" s="900"/>
      <c r="G816" s="900"/>
      <c r="H816" s="900"/>
      <c r="I816" s="900"/>
      <c r="J816" s="900"/>
      <c r="K816" s="900"/>
      <c r="L816" s="900"/>
      <c r="M816" s="900"/>
      <c r="N816" s="900"/>
      <c r="O816" s="900"/>
      <c r="P816" s="900"/>
    </row>
    <row r="817" spans="3:16" ht="14.25">
      <c r="C817" s="900"/>
      <c r="D817" s="900"/>
      <c r="E817" s="900"/>
      <c r="F817" s="900"/>
      <c r="G817" s="900"/>
      <c r="H817" s="900"/>
      <c r="I817" s="900"/>
      <c r="J817" s="900"/>
      <c r="K817" s="900"/>
      <c r="L817" s="900"/>
      <c r="M817" s="900"/>
      <c r="N817" s="900"/>
      <c r="O817" s="900"/>
      <c r="P817" s="900"/>
    </row>
    <row r="818" spans="3:16" ht="14.25">
      <c r="C818" s="900"/>
      <c r="D818" s="900"/>
      <c r="E818" s="900"/>
      <c r="F818" s="900"/>
      <c r="G818" s="900"/>
      <c r="H818" s="900"/>
      <c r="I818" s="900"/>
      <c r="J818" s="900"/>
      <c r="K818" s="900"/>
      <c r="L818" s="900"/>
      <c r="M818" s="900"/>
      <c r="N818" s="900"/>
      <c r="O818" s="900"/>
      <c r="P818" s="900"/>
    </row>
    <row r="819" spans="3:16" ht="14.25">
      <c r="C819" s="900"/>
      <c r="D819" s="900"/>
      <c r="E819" s="900"/>
      <c r="F819" s="900"/>
      <c r="G819" s="900"/>
      <c r="H819" s="900"/>
      <c r="I819" s="900"/>
      <c r="J819" s="900"/>
      <c r="K819" s="900"/>
      <c r="L819" s="900"/>
      <c r="M819" s="900"/>
      <c r="N819" s="900"/>
      <c r="O819" s="900"/>
      <c r="P819" s="900"/>
    </row>
    <row r="820" spans="3:16" ht="14.25">
      <c r="C820" s="900"/>
      <c r="D820" s="900"/>
      <c r="E820" s="900"/>
      <c r="F820" s="900"/>
      <c r="G820" s="900"/>
      <c r="H820" s="900"/>
      <c r="I820" s="900"/>
      <c r="J820" s="900"/>
      <c r="K820" s="900"/>
      <c r="L820" s="900"/>
      <c r="M820" s="900"/>
      <c r="N820" s="900"/>
      <c r="O820" s="900"/>
      <c r="P820" s="900"/>
    </row>
    <row r="821" spans="3:16" ht="14.25">
      <c r="C821" s="900"/>
      <c r="D821" s="900"/>
      <c r="E821" s="900"/>
      <c r="F821" s="900"/>
      <c r="G821" s="900"/>
      <c r="H821" s="900"/>
      <c r="I821" s="900"/>
      <c r="J821" s="900"/>
      <c r="K821" s="900"/>
      <c r="L821" s="900"/>
      <c r="M821" s="900"/>
      <c r="N821" s="900"/>
      <c r="O821" s="900"/>
      <c r="P821" s="900"/>
    </row>
    <row r="822" spans="3:16" ht="14.25">
      <c r="C822" s="900"/>
      <c r="D822" s="900"/>
      <c r="E822" s="900"/>
      <c r="F822" s="900"/>
      <c r="G822" s="900"/>
      <c r="H822" s="900"/>
      <c r="I822" s="900"/>
      <c r="J822" s="900"/>
      <c r="K822" s="900"/>
      <c r="L822" s="900"/>
      <c r="M822" s="900"/>
      <c r="N822" s="900"/>
      <c r="O822" s="900"/>
      <c r="P822" s="900"/>
    </row>
    <row r="823" spans="3:16" ht="14.25">
      <c r="C823" s="900"/>
      <c r="D823" s="900"/>
      <c r="E823" s="900"/>
      <c r="F823" s="900"/>
      <c r="G823" s="900"/>
      <c r="H823" s="900"/>
      <c r="I823" s="900"/>
      <c r="J823" s="900"/>
      <c r="K823" s="900"/>
      <c r="L823" s="900"/>
      <c r="M823" s="900"/>
      <c r="N823" s="900"/>
      <c r="O823" s="900"/>
      <c r="P823" s="900"/>
    </row>
    <row r="824" spans="3:16" ht="14.25">
      <c r="C824" s="900"/>
      <c r="D824" s="900"/>
      <c r="E824" s="900"/>
      <c r="F824" s="900"/>
      <c r="G824" s="900"/>
      <c r="H824" s="900"/>
      <c r="I824" s="900"/>
      <c r="J824" s="900"/>
      <c r="K824" s="900"/>
      <c r="L824" s="900"/>
      <c r="M824" s="900"/>
      <c r="N824" s="900"/>
      <c r="O824" s="900"/>
      <c r="P824" s="900"/>
    </row>
    <row r="825" spans="3:16" ht="14.25">
      <c r="C825" s="900"/>
      <c r="D825" s="900"/>
      <c r="E825" s="900"/>
      <c r="F825" s="900"/>
      <c r="G825" s="900"/>
      <c r="H825" s="900"/>
      <c r="I825" s="900"/>
      <c r="J825" s="900"/>
      <c r="K825" s="900"/>
      <c r="L825" s="900"/>
      <c r="M825" s="900"/>
      <c r="N825" s="900"/>
      <c r="O825" s="900"/>
      <c r="P825" s="900"/>
    </row>
    <row r="826" spans="3:16" ht="14.25">
      <c r="C826" s="900"/>
      <c r="D826" s="900"/>
      <c r="E826" s="900"/>
      <c r="F826" s="900"/>
      <c r="G826" s="900"/>
      <c r="H826" s="900"/>
      <c r="I826" s="900"/>
      <c r="J826" s="900"/>
      <c r="K826" s="900"/>
      <c r="L826" s="900"/>
      <c r="M826" s="900"/>
      <c r="N826" s="900"/>
      <c r="O826" s="900"/>
      <c r="P826" s="900"/>
    </row>
    <row r="827" spans="3:16" ht="14.25">
      <c r="C827" s="900"/>
      <c r="D827" s="900"/>
      <c r="E827" s="900"/>
      <c r="F827" s="900"/>
      <c r="G827" s="900"/>
      <c r="H827" s="900"/>
      <c r="I827" s="900"/>
      <c r="J827" s="900"/>
      <c r="K827" s="900"/>
      <c r="L827" s="900"/>
      <c r="M827" s="900"/>
      <c r="N827" s="900"/>
      <c r="O827" s="900"/>
      <c r="P827" s="900"/>
    </row>
    <row r="828" spans="3:16" ht="14.25">
      <c r="C828" s="900"/>
      <c r="D828" s="900"/>
      <c r="E828" s="900"/>
      <c r="F828" s="900"/>
      <c r="G828" s="900"/>
      <c r="H828" s="900"/>
      <c r="I828" s="900"/>
      <c r="J828" s="900"/>
      <c r="K828" s="900"/>
      <c r="L828" s="900"/>
      <c r="M828" s="900"/>
      <c r="N828" s="900"/>
      <c r="O828" s="900"/>
      <c r="P828" s="900"/>
    </row>
    <row r="829" spans="3:16" ht="14.25">
      <c r="C829" s="900"/>
      <c r="D829" s="900"/>
      <c r="E829" s="900"/>
      <c r="F829" s="900"/>
      <c r="G829" s="900"/>
      <c r="H829" s="900"/>
      <c r="I829" s="900"/>
      <c r="J829" s="900"/>
      <c r="K829" s="900"/>
      <c r="L829" s="900"/>
      <c r="M829" s="900"/>
      <c r="N829" s="900"/>
      <c r="O829" s="900"/>
      <c r="P829" s="900"/>
    </row>
    <row r="830" spans="3:16" ht="14.25">
      <c r="C830" s="900"/>
      <c r="D830" s="900"/>
      <c r="E830" s="900"/>
      <c r="F830" s="900"/>
      <c r="G830" s="900"/>
      <c r="H830" s="900"/>
      <c r="I830" s="900"/>
      <c r="J830" s="900"/>
      <c r="K830" s="900"/>
      <c r="L830" s="900"/>
      <c r="M830" s="900"/>
      <c r="N830" s="900"/>
      <c r="O830" s="900"/>
      <c r="P830" s="900"/>
    </row>
    <row r="831" spans="3:16" ht="14.25">
      <c r="C831" s="900"/>
      <c r="D831" s="900"/>
      <c r="E831" s="900"/>
      <c r="F831" s="900"/>
      <c r="G831" s="900"/>
      <c r="H831" s="900"/>
      <c r="I831" s="900"/>
      <c r="J831" s="900"/>
      <c r="K831" s="900"/>
      <c r="L831" s="900"/>
      <c r="M831" s="900"/>
      <c r="N831" s="900"/>
      <c r="O831" s="900"/>
      <c r="P831" s="900"/>
    </row>
    <row r="832" spans="3:16" ht="14.25">
      <c r="C832" s="900"/>
      <c r="D832" s="900"/>
      <c r="E832" s="900"/>
      <c r="F832" s="900"/>
      <c r="G832" s="900"/>
      <c r="H832" s="900"/>
      <c r="I832" s="900"/>
      <c r="J832" s="900"/>
      <c r="K832" s="900"/>
      <c r="L832" s="900"/>
      <c r="M832" s="900"/>
      <c r="N832" s="900"/>
      <c r="O832" s="900"/>
      <c r="P832" s="900"/>
    </row>
    <row r="833" spans="3:16" ht="14.25">
      <c r="C833" s="900"/>
      <c r="D833" s="900"/>
      <c r="E833" s="900"/>
      <c r="F833" s="900"/>
      <c r="G833" s="900"/>
      <c r="H833" s="900"/>
      <c r="I833" s="900"/>
      <c r="J833" s="900"/>
      <c r="K833" s="900"/>
      <c r="L833" s="900"/>
      <c r="M833" s="900"/>
      <c r="N833" s="900"/>
      <c r="O833" s="900"/>
      <c r="P833" s="900"/>
    </row>
    <row r="834" spans="3:16" ht="14.25">
      <c r="C834" s="900"/>
      <c r="D834" s="900"/>
      <c r="E834" s="900"/>
      <c r="F834" s="900"/>
      <c r="G834" s="900"/>
      <c r="H834" s="900"/>
      <c r="I834" s="900"/>
      <c r="J834" s="900"/>
      <c r="K834" s="900"/>
      <c r="L834" s="900"/>
      <c r="M834" s="900"/>
      <c r="N834" s="900"/>
      <c r="O834" s="900"/>
      <c r="P834" s="900"/>
    </row>
    <row r="835" spans="3:16" ht="14.25">
      <c r="C835" s="900"/>
      <c r="D835" s="900"/>
      <c r="E835" s="900"/>
      <c r="F835" s="900"/>
      <c r="G835" s="900"/>
      <c r="H835" s="900"/>
      <c r="I835" s="900"/>
      <c r="J835" s="900"/>
      <c r="K835" s="900"/>
      <c r="L835" s="900"/>
      <c r="M835" s="900"/>
      <c r="N835" s="900"/>
      <c r="O835" s="900"/>
      <c r="P835" s="900"/>
    </row>
    <row r="836" spans="3:16" ht="14.25">
      <c r="C836" s="900"/>
      <c r="D836" s="900"/>
      <c r="E836" s="900"/>
      <c r="F836" s="900"/>
      <c r="G836" s="900"/>
      <c r="H836" s="900"/>
      <c r="I836" s="900"/>
      <c r="J836" s="900"/>
      <c r="K836" s="900"/>
      <c r="L836" s="900"/>
      <c r="M836" s="900"/>
      <c r="N836" s="900"/>
      <c r="O836" s="900"/>
      <c r="P836" s="900"/>
    </row>
    <row r="837" spans="3:16" ht="14.25">
      <c r="C837" s="900"/>
      <c r="D837" s="900"/>
      <c r="E837" s="900"/>
      <c r="F837" s="900"/>
      <c r="G837" s="900"/>
      <c r="H837" s="900"/>
      <c r="I837" s="900"/>
      <c r="J837" s="900"/>
      <c r="K837" s="900"/>
      <c r="L837" s="900"/>
      <c r="M837" s="900"/>
      <c r="N837" s="900"/>
      <c r="O837" s="900"/>
      <c r="P837" s="900"/>
    </row>
    <row r="838" spans="3:16" ht="14.25">
      <c r="C838" s="900"/>
      <c r="D838" s="900"/>
      <c r="E838" s="900"/>
      <c r="F838" s="900"/>
      <c r="G838" s="900"/>
      <c r="H838" s="900"/>
      <c r="I838" s="900"/>
      <c r="J838" s="900"/>
      <c r="K838" s="900"/>
      <c r="L838" s="900"/>
      <c r="M838" s="900"/>
      <c r="N838" s="900"/>
      <c r="O838" s="900"/>
      <c r="P838" s="900"/>
    </row>
    <row r="839" spans="3:16" ht="14.25">
      <c r="C839" s="900"/>
      <c r="D839" s="900"/>
      <c r="E839" s="900"/>
      <c r="F839" s="900"/>
      <c r="G839" s="900"/>
      <c r="H839" s="900"/>
      <c r="I839" s="900"/>
      <c r="J839" s="900"/>
      <c r="K839" s="900"/>
      <c r="L839" s="900"/>
      <c r="M839" s="900"/>
      <c r="N839" s="900"/>
      <c r="O839" s="900"/>
      <c r="P839" s="900"/>
    </row>
    <row r="840" spans="3:16" ht="14.25">
      <c r="C840" s="900"/>
      <c r="D840" s="900"/>
      <c r="E840" s="900"/>
      <c r="F840" s="900"/>
      <c r="G840" s="900"/>
      <c r="H840" s="900"/>
      <c r="I840" s="900"/>
      <c r="J840" s="900"/>
      <c r="K840" s="900"/>
      <c r="L840" s="900"/>
      <c r="M840" s="900"/>
      <c r="N840" s="900"/>
      <c r="O840" s="900"/>
      <c r="P840" s="900"/>
    </row>
    <row r="841" spans="3:16" ht="14.25">
      <c r="C841" s="900"/>
      <c r="D841" s="900"/>
      <c r="E841" s="900"/>
      <c r="F841" s="900"/>
      <c r="G841" s="900"/>
      <c r="H841" s="900"/>
      <c r="I841" s="900"/>
      <c r="J841" s="900"/>
      <c r="K841" s="900"/>
      <c r="L841" s="900"/>
      <c r="M841" s="900"/>
      <c r="N841" s="900"/>
      <c r="O841" s="900"/>
      <c r="P841" s="900"/>
    </row>
    <row r="842" spans="3:16" ht="14.25">
      <c r="C842" s="900"/>
      <c r="D842" s="900"/>
      <c r="E842" s="900"/>
      <c r="F842" s="900"/>
      <c r="G842" s="900"/>
      <c r="H842" s="900"/>
      <c r="I842" s="900"/>
      <c r="J842" s="900"/>
      <c r="K842" s="900"/>
      <c r="L842" s="900"/>
      <c r="M842" s="900"/>
      <c r="N842" s="900"/>
      <c r="O842" s="900"/>
      <c r="P842" s="900"/>
    </row>
    <row r="843" spans="3:16" ht="14.25">
      <c r="C843" s="900"/>
      <c r="D843" s="900"/>
      <c r="E843" s="900"/>
      <c r="F843" s="900"/>
      <c r="G843" s="900"/>
      <c r="H843" s="900"/>
      <c r="I843" s="900"/>
      <c r="J843" s="900"/>
      <c r="K843" s="900"/>
      <c r="L843" s="900"/>
      <c r="M843" s="900"/>
      <c r="N843" s="900"/>
      <c r="O843" s="900"/>
      <c r="P843" s="900"/>
    </row>
    <row r="844" spans="3:16" ht="14.25">
      <c r="C844" s="900"/>
      <c r="D844" s="900"/>
      <c r="E844" s="900"/>
      <c r="F844" s="900"/>
      <c r="G844" s="900"/>
      <c r="H844" s="900"/>
      <c r="I844" s="900"/>
      <c r="J844" s="900"/>
      <c r="K844" s="900"/>
      <c r="L844" s="900"/>
      <c r="M844" s="900"/>
      <c r="N844" s="900"/>
      <c r="O844" s="900"/>
      <c r="P844" s="900"/>
    </row>
    <row r="845" spans="3:16" ht="14.25">
      <c r="C845" s="900"/>
      <c r="D845" s="900"/>
      <c r="E845" s="900"/>
      <c r="F845" s="900"/>
      <c r="G845" s="900"/>
      <c r="H845" s="900"/>
      <c r="I845" s="900"/>
      <c r="J845" s="900"/>
      <c r="K845" s="900"/>
      <c r="L845" s="900"/>
      <c r="M845" s="900"/>
      <c r="N845" s="900"/>
      <c r="O845" s="900"/>
      <c r="P845" s="900"/>
    </row>
    <row r="846" spans="3:16" ht="14.25">
      <c r="C846" s="900"/>
      <c r="D846" s="900"/>
      <c r="E846" s="900"/>
      <c r="F846" s="900"/>
      <c r="G846" s="900"/>
      <c r="H846" s="900"/>
      <c r="I846" s="900"/>
      <c r="J846" s="900"/>
      <c r="K846" s="900"/>
      <c r="L846" s="900"/>
      <c r="M846" s="900"/>
      <c r="N846" s="900"/>
      <c r="O846" s="900"/>
      <c r="P846" s="900"/>
    </row>
    <row r="847" spans="3:16" ht="14.25">
      <c r="C847" s="900"/>
      <c r="D847" s="900"/>
      <c r="E847" s="900"/>
      <c r="F847" s="900"/>
      <c r="G847" s="900"/>
      <c r="H847" s="900"/>
      <c r="I847" s="900"/>
      <c r="J847" s="900"/>
      <c r="K847" s="900"/>
      <c r="L847" s="900"/>
      <c r="M847" s="900"/>
      <c r="N847" s="900"/>
      <c r="O847" s="900"/>
      <c r="P847" s="900"/>
    </row>
    <row r="848" spans="3:16" ht="14.25">
      <c r="C848" s="900"/>
      <c r="D848" s="900"/>
      <c r="E848" s="900"/>
      <c r="F848" s="900"/>
      <c r="G848" s="900"/>
      <c r="H848" s="900"/>
      <c r="I848" s="900"/>
      <c r="J848" s="900"/>
      <c r="K848" s="900"/>
      <c r="L848" s="900"/>
      <c r="M848" s="900"/>
      <c r="N848" s="900"/>
      <c r="O848" s="900"/>
      <c r="P848" s="900"/>
    </row>
    <row r="849" spans="3:16" ht="14.25">
      <c r="C849" s="900"/>
      <c r="D849" s="900"/>
      <c r="E849" s="900"/>
      <c r="F849" s="900"/>
      <c r="G849" s="900"/>
      <c r="H849" s="900"/>
      <c r="I849" s="900"/>
      <c r="J849" s="900"/>
      <c r="K849" s="900"/>
      <c r="L849" s="900"/>
      <c r="M849" s="900"/>
      <c r="N849" s="900"/>
      <c r="O849" s="900"/>
      <c r="P849" s="900"/>
    </row>
    <row r="850" spans="3:16" ht="14.25">
      <c r="C850" s="900"/>
      <c r="D850" s="900"/>
      <c r="E850" s="900"/>
      <c r="F850" s="900"/>
      <c r="G850" s="900"/>
      <c r="H850" s="900"/>
      <c r="I850" s="900"/>
      <c r="J850" s="900"/>
      <c r="K850" s="900"/>
      <c r="L850" s="900"/>
      <c r="M850" s="900"/>
      <c r="N850" s="900"/>
      <c r="O850" s="900"/>
      <c r="P850" s="900"/>
    </row>
    <row r="851" spans="3:16" ht="14.25">
      <c r="C851" s="900"/>
      <c r="D851" s="900"/>
      <c r="E851" s="900"/>
      <c r="F851" s="900"/>
      <c r="G851" s="900"/>
      <c r="H851" s="900"/>
      <c r="I851" s="900"/>
      <c r="J851" s="900"/>
      <c r="K851" s="900"/>
      <c r="L851" s="900"/>
      <c r="M851" s="900"/>
      <c r="N851" s="900"/>
      <c r="O851" s="900"/>
      <c r="P851" s="900"/>
    </row>
    <row r="852" spans="3:16" ht="14.25">
      <c r="C852" s="900"/>
      <c r="D852" s="900"/>
      <c r="E852" s="900"/>
      <c r="F852" s="900"/>
      <c r="G852" s="900"/>
      <c r="H852" s="900"/>
      <c r="I852" s="900"/>
      <c r="J852" s="900"/>
      <c r="K852" s="900"/>
      <c r="L852" s="900"/>
      <c r="M852" s="900"/>
      <c r="N852" s="900"/>
      <c r="O852" s="900"/>
      <c r="P852" s="900"/>
    </row>
    <row r="853" spans="3:16" ht="14.25">
      <c r="C853" s="900"/>
      <c r="D853" s="900"/>
      <c r="E853" s="900"/>
      <c r="F853" s="900"/>
      <c r="G853" s="900"/>
      <c r="H853" s="900"/>
      <c r="I853" s="900"/>
      <c r="J853" s="900"/>
      <c r="K853" s="900"/>
      <c r="L853" s="900"/>
      <c r="M853" s="900"/>
      <c r="N853" s="900"/>
      <c r="O853" s="900"/>
      <c r="P853" s="900"/>
    </row>
    <row r="854" spans="3:16" ht="14.25">
      <c r="C854" s="900"/>
      <c r="D854" s="900"/>
      <c r="E854" s="900"/>
      <c r="F854" s="900"/>
      <c r="G854" s="900"/>
      <c r="H854" s="900"/>
      <c r="I854" s="900"/>
      <c r="J854" s="900"/>
      <c r="K854" s="900"/>
      <c r="L854" s="900"/>
      <c r="M854" s="900"/>
      <c r="N854" s="900"/>
      <c r="O854" s="900"/>
      <c r="P854" s="900"/>
    </row>
    <row r="855" spans="3:16" ht="14.25">
      <c r="C855" s="900"/>
      <c r="D855" s="900"/>
      <c r="E855" s="900"/>
      <c r="F855" s="900"/>
      <c r="G855" s="900"/>
      <c r="H855" s="900"/>
      <c r="I855" s="900"/>
      <c r="J855" s="900"/>
      <c r="K855" s="900"/>
      <c r="L855" s="900"/>
      <c r="M855" s="900"/>
      <c r="N855" s="900"/>
      <c r="O855" s="900"/>
      <c r="P855" s="900"/>
    </row>
    <row r="856" spans="3:16" ht="14.25">
      <c r="C856" s="900"/>
      <c r="D856" s="900"/>
      <c r="E856" s="900"/>
      <c r="F856" s="900"/>
      <c r="G856" s="900"/>
      <c r="H856" s="900"/>
      <c r="I856" s="900"/>
      <c r="J856" s="900"/>
      <c r="K856" s="900"/>
      <c r="L856" s="900"/>
      <c r="M856" s="900"/>
      <c r="N856" s="900"/>
      <c r="O856" s="900"/>
      <c r="P856" s="900"/>
    </row>
    <row r="857" spans="3:16" ht="14.25">
      <c r="C857" s="900"/>
      <c r="D857" s="900"/>
      <c r="E857" s="900"/>
      <c r="F857" s="900"/>
      <c r="G857" s="900"/>
      <c r="H857" s="900"/>
      <c r="I857" s="900"/>
      <c r="J857" s="900"/>
      <c r="K857" s="900"/>
      <c r="L857" s="900"/>
      <c r="M857" s="900"/>
      <c r="N857" s="900"/>
      <c r="O857" s="900"/>
      <c r="P857" s="900"/>
    </row>
    <row r="858" spans="3:16" ht="14.25">
      <c r="C858" s="900"/>
      <c r="D858" s="900"/>
      <c r="E858" s="900"/>
      <c r="F858" s="900"/>
      <c r="G858" s="900"/>
      <c r="H858" s="900"/>
      <c r="I858" s="900"/>
      <c r="J858" s="900"/>
      <c r="K858" s="900"/>
      <c r="L858" s="900"/>
      <c r="M858" s="900"/>
      <c r="N858" s="900"/>
      <c r="O858" s="900"/>
      <c r="P858" s="900"/>
    </row>
    <row r="859" spans="3:16" ht="14.25">
      <c r="C859" s="900"/>
      <c r="D859" s="900"/>
      <c r="E859" s="900"/>
      <c r="F859" s="900"/>
      <c r="G859" s="900"/>
      <c r="H859" s="900"/>
      <c r="I859" s="900"/>
      <c r="J859" s="900"/>
      <c r="K859" s="900"/>
      <c r="L859" s="900"/>
      <c r="M859" s="900"/>
      <c r="N859" s="900"/>
      <c r="O859" s="900"/>
      <c r="P859" s="900"/>
    </row>
    <row r="860" spans="3:16" ht="14.25">
      <c r="C860" s="900"/>
      <c r="D860" s="900"/>
      <c r="E860" s="900"/>
      <c r="F860" s="900"/>
      <c r="G860" s="900"/>
      <c r="H860" s="900"/>
      <c r="I860" s="900"/>
      <c r="J860" s="900"/>
      <c r="K860" s="900"/>
      <c r="L860" s="900"/>
      <c r="M860" s="900"/>
      <c r="N860" s="900"/>
      <c r="O860" s="900"/>
      <c r="P860" s="900"/>
    </row>
    <row r="861" spans="3:16" ht="14.25">
      <c r="C861" s="900"/>
      <c r="D861" s="900"/>
      <c r="E861" s="900"/>
      <c r="F861" s="900"/>
      <c r="G861" s="900"/>
      <c r="H861" s="900"/>
      <c r="I861" s="900"/>
      <c r="J861" s="900"/>
      <c r="K861" s="900"/>
      <c r="L861" s="900"/>
      <c r="M861" s="900"/>
      <c r="N861" s="900"/>
      <c r="O861" s="900"/>
      <c r="P861" s="900"/>
    </row>
    <row r="862" spans="3:16" ht="14.25">
      <c r="C862" s="900"/>
      <c r="D862" s="900"/>
      <c r="E862" s="900"/>
      <c r="F862" s="900"/>
      <c r="G862" s="900"/>
      <c r="H862" s="900"/>
      <c r="I862" s="900"/>
      <c r="J862" s="900"/>
      <c r="K862" s="900"/>
      <c r="L862" s="900"/>
      <c r="M862" s="900"/>
      <c r="N862" s="900"/>
      <c r="O862" s="900"/>
      <c r="P862" s="900"/>
    </row>
    <row r="863" spans="3:16" ht="14.25">
      <c r="C863" s="900"/>
      <c r="D863" s="900"/>
      <c r="E863" s="900"/>
      <c r="F863" s="900"/>
      <c r="G863" s="900"/>
      <c r="H863" s="900"/>
      <c r="I863" s="900"/>
      <c r="J863" s="900"/>
      <c r="K863" s="900"/>
      <c r="L863" s="900"/>
      <c r="M863" s="900"/>
      <c r="N863" s="900"/>
      <c r="O863" s="900"/>
      <c r="P863" s="900"/>
    </row>
    <row r="864" spans="3:16" ht="14.25">
      <c r="C864" s="900"/>
      <c r="D864" s="900"/>
      <c r="E864" s="900"/>
      <c r="F864" s="900"/>
      <c r="G864" s="900"/>
      <c r="H864" s="900"/>
      <c r="I864" s="900"/>
      <c r="J864" s="900"/>
      <c r="K864" s="900"/>
      <c r="L864" s="900"/>
      <c r="M864" s="900"/>
      <c r="N864" s="900"/>
      <c r="O864" s="900"/>
      <c r="P864" s="900"/>
    </row>
    <row r="865" spans="3:16" ht="14.25">
      <c r="C865" s="900"/>
      <c r="D865" s="900"/>
      <c r="E865" s="900"/>
      <c r="F865" s="900"/>
      <c r="G865" s="900"/>
      <c r="H865" s="900"/>
      <c r="I865" s="900"/>
      <c r="J865" s="900"/>
      <c r="K865" s="900"/>
      <c r="L865" s="900"/>
      <c r="M865" s="900"/>
      <c r="N865" s="900"/>
      <c r="O865" s="900"/>
      <c r="P865" s="900"/>
    </row>
    <row r="866" spans="3:16" ht="14.25">
      <c r="C866" s="900"/>
      <c r="D866" s="900"/>
      <c r="E866" s="900"/>
      <c r="F866" s="900"/>
      <c r="G866" s="900"/>
      <c r="H866" s="900"/>
      <c r="I866" s="900"/>
      <c r="J866" s="900"/>
      <c r="K866" s="900"/>
      <c r="L866" s="900"/>
      <c r="M866" s="900"/>
      <c r="N866" s="900"/>
      <c r="O866" s="900"/>
      <c r="P866" s="900"/>
    </row>
    <row r="867" spans="3:16" ht="14.25">
      <c r="C867" s="900"/>
      <c r="D867" s="900"/>
      <c r="E867" s="900"/>
      <c r="F867" s="900"/>
      <c r="G867" s="900"/>
      <c r="H867" s="900"/>
      <c r="I867" s="900"/>
      <c r="J867" s="900"/>
      <c r="K867" s="900"/>
      <c r="L867" s="900"/>
      <c r="M867" s="900"/>
      <c r="N867" s="900"/>
      <c r="O867" s="900"/>
      <c r="P867" s="900"/>
    </row>
    <row r="868" spans="3:16" ht="14.25">
      <c r="C868" s="900"/>
      <c r="D868" s="900"/>
      <c r="E868" s="900"/>
      <c r="F868" s="900"/>
      <c r="G868" s="900"/>
      <c r="H868" s="900"/>
      <c r="I868" s="900"/>
      <c r="J868" s="900"/>
      <c r="K868" s="900"/>
      <c r="L868" s="900"/>
      <c r="M868" s="900"/>
      <c r="N868" s="900"/>
      <c r="O868" s="900"/>
      <c r="P868" s="900"/>
    </row>
    <row r="869" spans="3:16" ht="14.25">
      <c r="C869" s="900"/>
      <c r="D869" s="900"/>
      <c r="E869" s="900"/>
      <c r="F869" s="900"/>
      <c r="G869" s="900"/>
      <c r="H869" s="900"/>
      <c r="I869" s="900"/>
      <c r="J869" s="900"/>
      <c r="K869" s="900"/>
      <c r="L869" s="900"/>
      <c r="M869" s="900"/>
      <c r="N869" s="900"/>
      <c r="O869" s="900"/>
      <c r="P869" s="900"/>
    </row>
    <row r="870" spans="3:16" ht="14.25">
      <c r="C870" s="900"/>
      <c r="D870" s="900"/>
      <c r="E870" s="900"/>
      <c r="F870" s="900"/>
      <c r="G870" s="900"/>
      <c r="H870" s="900"/>
      <c r="I870" s="900"/>
      <c r="J870" s="900"/>
      <c r="K870" s="900"/>
      <c r="L870" s="900"/>
      <c r="M870" s="900"/>
      <c r="N870" s="900"/>
      <c r="O870" s="900"/>
      <c r="P870" s="900"/>
    </row>
    <row r="871" spans="3:16" ht="14.25">
      <c r="C871" s="900"/>
      <c r="D871" s="900"/>
      <c r="E871" s="900"/>
      <c r="F871" s="900"/>
      <c r="G871" s="900"/>
      <c r="H871" s="900"/>
      <c r="I871" s="900"/>
      <c r="J871" s="900"/>
      <c r="K871" s="900"/>
      <c r="L871" s="900"/>
      <c r="M871" s="900"/>
      <c r="N871" s="900"/>
      <c r="O871" s="900"/>
      <c r="P871" s="900"/>
    </row>
    <row r="872" spans="3:16" ht="14.25">
      <c r="C872" s="900"/>
      <c r="D872" s="900"/>
      <c r="E872" s="900"/>
      <c r="F872" s="900"/>
      <c r="G872" s="900"/>
      <c r="H872" s="900"/>
      <c r="I872" s="900"/>
      <c r="J872" s="900"/>
      <c r="K872" s="900"/>
      <c r="L872" s="900"/>
      <c r="M872" s="900"/>
      <c r="N872" s="900"/>
      <c r="O872" s="900"/>
      <c r="P872" s="900"/>
    </row>
    <row r="873" spans="3:16" ht="14.25">
      <c r="C873" s="900"/>
      <c r="D873" s="900"/>
      <c r="E873" s="900"/>
      <c r="F873" s="900"/>
      <c r="G873" s="900"/>
      <c r="H873" s="900"/>
      <c r="I873" s="900"/>
      <c r="J873" s="900"/>
      <c r="K873" s="900"/>
      <c r="L873" s="900"/>
      <c r="M873" s="900"/>
      <c r="N873" s="900"/>
      <c r="O873" s="900"/>
      <c r="P873" s="900"/>
    </row>
    <row r="874" spans="3:16" ht="14.25">
      <c r="C874" s="900"/>
      <c r="D874" s="900"/>
      <c r="E874" s="900"/>
      <c r="F874" s="900"/>
      <c r="G874" s="900"/>
      <c r="H874" s="900"/>
      <c r="I874" s="900"/>
      <c r="J874" s="900"/>
      <c r="K874" s="900"/>
      <c r="L874" s="900"/>
      <c r="M874" s="900"/>
      <c r="N874" s="900"/>
      <c r="O874" s="900"/>
      <c r="P874" s="900"/>
    </row>
    <row r="875" spans="3:16" ht="14.25">
      <c r="C875" s="900"/>
      <c r="D875" s="900"/>
      <c r="E875" s="900"/>
      <c r="F875" s="900"/>
      <c r="G875" s="900"/>
      <c r="H875" s="900"/>
      <c r="I875" s="900"/>
      <c r="J875" s="900"/>
      <c r="K875" s="900"/>
      <c r="L875" s="900"/>
      <c r="M875" s="900"/>
      <c r="N875" s="900"/>
      <c r="O875" s="900"/>
      <c r="P875" s="900"/>
    </row>
    <row r="876" spans="3:16" ht="14.25">
      <c r="C876" s="900"/>
      <c r="D876" s="900"/>
      <c r="E876" s="900"/>
      <c r="F876" s="900"/>
      <c r="G876" s="900"/>
      <c r="H876" s="900"/>
      <c r="I876" s="900"/>
      <c r="J876" s="900"/>
      <c r="K876" s="900"/>
      <c r="L876" s="900"/>
      <c r="M876" s="900"/>
      <c r="N876" s="900"/>
      <c r="O876" s="900"/>
      <c r="P876" s="900"/>
    </row>
    <row r="877" spans="3:16" ht="14.25">
      <c r="C877" s="900"/>
      <c r="D877" s="900"/>
      <c r="E877" s="900"/>
      <c r="F877" s="900"/>
      <c r="G877" s="900"/>
      <c r="H877" s="900"/>
      <c r="I877" s="900"/>
      <c r="J877" s="900"/>
      <c r="K877" s="900"/>
      <c r="L877" s="900"/>
      <c r="M877" s="900"/>
      <c r="N877" s="900"/>
      <c r="O877" s="900"/>
      <c r="P877" s="900"/>
    </row>
    <row r="878" spans="3:16" ht="14.25">
      <c r="C878" s="900"/>
      <c r="D878" s="900"/>
      <c r="E878" s="900"/>
      <c r="F878" s="900"/>
      <c r="G878" s="900"/>
      <c r="H878" s="900"/>
      <c r="I878" s="900"/>
      <c r="J878" s="900"/>
      <c r="K878" s="900"/>
      <c r="L878" s="900"/>
      <c r="M878" s="900"/>
      <c r="N878" s="900"/>
      <c r="O878" s="900"/>
      <c r="P878" s="900"/>
    </row>
    <row r="879" spans="3:16" ht="14.25">
      <c r="C879" s="900"/>
      <c r="D879" s="900"/>
      <c r="E879" s="900"/>
      <c r="F879" s="900"/>
      <c r="G879" s="900"/>
      <c r="H879" s="900"/>
      <c r="I879" s="900"/>
      <c r="J879" s="900"/>
      <c r="K879" s="900"/>
      <c r="L879" s="900"/>
      <c r="M879" s="900"/>
      <c r="N879" s="900"/>
      <c r="O879" s="900"/>
      <c r="P879" s="900"/>
    </row>
    <row r="880" spans="3:16" ht="14.25">
      <c r="C880" s="900"/>
      <c r="D880" s="900"/>
      <c r="E880" s="900"/>
      <c r="F880" s="900"/>
      <c r="G880" s="900"/>
      <c r="H880" s="900"/>
      <c r="I880" s="900"/>
      <c r="J880" s="900"/>
      <c r="K880" s="900"/>
      <c r="L880" s="900"/>
      <c r="M880" s="900"/>
      <c r="N880" s="900"/>
      <c r="O880" s="900"/>
      <c r="P880" s="900"/>
    </row>
    <row r="881" spans="3:16" ht="14.25">
      <c r="C881" s="900"/>
      <c r="D881" s="900"/>
      <c r="E881" s="900"/>
      <c r="F881" s="900"/>
      <c r="G881" s="900"/>
      <c r="H881" s="900"/>
      <c r="I881" s="900"/>
      <c r="J881" s="900"/>
      <c r="K881" s="900"/>
      <c r="L881" s="900"/>
      <c r="M881" s="900"/>
      <c r="N881" s="900"/>
      <c r="O881" s="900"/>
      <c r="P881" s="900"/>
    </row>
    <row r="882" spans="3:16" ht="14.25">
      <c r="C882" s="900"/>
      <c r="D882" s="900"/>
      <c r="E882" s="900"/>
      <c r="F882" s="900"/>
      <c r="G882" s="900"/>
      <c r="H882" s="900"/>
      <c r="I882" s="900"/>
      <c r="J882" s="900"/>
      <c r="K882" s="900"/>
      <c r="L882" s="900"/>
      <c r="M882" s="900"/>
      <c r="N882" s="900"/>
      <c r="O882" s="900"/>
      <c r="P882" s="900"/>
    </row>
    <row r="883" spans="3:16" ht="14.25">
      <c r="C883" s="900"/>
      <c r="D883" s="900"/>
      <c r="E883" s="900"/>
      <c r="F883" s="900"/>
      <c r="G883" s="900"/>
      <c r="H883" s="900"/>
      <c r="I883" s="900"/>
      <c r="J883" s="900"/>
      <c r="K883" s="900"/>
      <c r="L883" s="900"/>
      <c r="M883" s="900"/>
      <c r="N883" s="900"/>
      <c r="O883" s="900"/>
      <c r="P883" s="900"/>
    </row>
    <row r="884" spans="3:16" ht="14.25">
      <c r="C884" s="900"/>
      <c r="D884" s="900"/>
      <c r="E884" s="900"/>
      <c r="F884" s="900"/>
      <c r="G884" s="900"/>
      <c r="H884" s="900"/>
      <c r="I884" s="900"/>
      <c r="J884" s="900"/>
      <c r="K884" s="900"/>
      <c r="L884" s="900"/>
      <c r="M884" s="900"/>
      <c r="N884" s="900"/>
      <c r="O884" s="900"/>
      <c r="P884" s="900"/>
    </row>
    <row r="885" spans="3:16" ht="14.25">
      <c r="C885" s="900"/>
      <c r="D885" s="900"/>
      <c r="E885" s="900"/>
      <c r="F885" s="900"/>
      <c r="G885" s="900"/>
      <c r="H885" s="900"/>
      <c r="I885" s="900"/>
      <c r="J885" s="900"/>
      <c r="K885" s="900"/>
      <c r="L885" s="900"/>
      <c r="M885" s="900"/>
      <c r="N885" s="900"/>
      <c r="O885" s="900"/>
      <c r="P885" s="900"/>
    </row>
    <row r="886" spans="3:16" ht="14.25">
      <c r="C886" s="900"/>
      <c r="D886" s="900"/>
      <c r="E886" s="900"/>
      <c r="F886" s="900"/>
      <c r="G886" s="900"/>
      <c r="H886" s="900"/>
      <c r="I886" s="900"/>
      <c r="J886" s="900"/>
      <c r="K886" s="900"/>
      <c r="L886" s="900"/>
      <c r="M886" s="900"/>
      <c r="N886" s="900"/>
      <c r="O886" s="900"/>
      <c r="P886" s="900"/>
    </row>
    <row r="887" spans="3:16" ht="14.25">
      <c r="C887" s="900"/>
      <c r="D887" s="900"/>
      <c r="E887" s="900"/>
      <c r="F887" s="900"/>
      <c r="G887" s="900"/>
      <c r="H887" s="900"/>
      <c r="I887" s="900"/>
      <c r="J887" s="900"/>
      <c r="K887" s="900"/>
      <c r="L887" s="900"/>
      <c r="M887" s="900"/>
      <c r="N887" s="900"/>
      <c r="O887" s="900"/>
      <c r="P887" s="900"/>
    </row>
    <row r="888" spans="3:16" ht="14.25">
      <c r="C888" s="900"/>
      <c r="D888" s="900"/>
      <c r="E888" s="900"/>
      <c r="F888" s="900"/>
      <c r="G888" s="900"/>
      <c r="H888" s="900"/>
      <c r="I888" s="900"/>
      <c r="J888" s="900"/>
      <c r="K888" s="900"/>
      <c r="L888" s="900"/>
      <c r="M888" s="900"/>
      <c r="N888" s="900"/>
      <c r="O888" s="900"/>
      <c r="P888" s="900"/>
    </row>
    <row r="889" spans="3:16" ht="14.25">
      <c r="C889" s="900"/>
      <c r="D889" s="900"/>
      <c r="E889" s="900"/>
      <c r="F889" s="900"/>
      <c r="G889" s="900"/>
      <c r="H889" s="900"/>
      <c r="I889" s="900"/>
      <c r="J889" s="900"/>
      <c r="K889" s="900"/>
      <c r="L889" s="900"/>
      <c r="M889" s="900"/>
      <c r="N889" s="900"/>
      <c r="O889" s="900"/>
      <c r="P889" s="900"/>
    </row>
    <row r="890" spans="3:16" ht="14.25">
      <c r="C890" s="900"/>
      <c r="D890" s="900"/>
      <c r="E890" s="900"/>
      <c r="F890" s="900"/>
      <c r="G890" s="900"/>
      <c r="H890" s="900"/>
      <c r="I890" s="900"/>
      <c r="J890" s="900"/>
      <c r="K890" s="900"/>
      <c r="L890" s="900"/>
      <c r="M890" s="900"/>
      <c r="N890" s="900"/>
      <c r="O890" s="900"/>
      <c r="P890" s="900"/>
    </row>
    <row r="891" spans="3:16" ht="14.25">
      <c r="C891" s="900"/>
      <c r="D891" s="900"/>
      <c r="E891" s="900"/>
      <c r="F891" s="900"/>
      <c r="G891" s="900"/>
      <c r="H891" s="900"/>
      <c r="I891" s="900"/>
      <c r="J891" s="900"/>
      <c r="K891" s="900"/>
      <c r="L891" s="900"/>
      <c r="M891" s="900"/>
      <c r="N891" s="900"/>
      <c r="O891" s="900"/>
      <c r="P891" s="900"/>
    </row>
    <row r="892" spans="3:16" ht="14.25">
      <c r="C892" s="900"/>
      <c r="D892" s="900"/>
      <c r="E892" s="900"/>
      <c r="F892" s="900"/>
      <c r="G892" s="900"/>
      <c r="H892" s="900"/>
      <c r="I892" s="900"/>
      <c r="J892" s="900"/>
      <c r="K892" s="900"/>
      <c r="L892" s="900"/>
      <c r="M892" s="900"/>
      <c r="N892" s="900"/>
      <c r="O892" s="900"/>
      <c r="P892" s="900"/>
    </row>
    <row r="893" spans="3:16" ht="14.25">
      <c r="C893" s="900"/>
      <c r="D893" s="900"/>
      <c r="E893" s="900"/>
      <c r="F893" s="900"/>
      <c r="G893" s="900"/>
      <c r="H893" s="900"/>
      <c r="I893" s="900"/>
      <c r="J893" s="900"/>
      <c r="K893" s="900"/>
      <c r="L893" s="900"/>
      <c r="M893" s="900"/>
      <c r="N893" s="900"/>
      <c r="O893" s="900"/>
      <c r="P893" s="900"/>
    </row>
    <row r="894" spans="3:16" ht="14.25">
      <c r="C894" s="900"/>
      <c r="D894" s="900"/>
      <c r="E894" s="900"/>
      <c r="F894" s="900"/>
      <c r="G894" s="900"/>
      <c r="H894" s="900"/>
      <c r="I894" s="900"/>
      <c r="J894" s="900"/>
      <c r="K894" s="900"/>
      <c r="L894" s="900"/>
      <c r="M894" s="900"/>
      <c r="N894" s="900"/>
      <c r="O894" s="900"/>
      <c r="P894" s="900"/>
    </row>
    <row r="895" spans="3:16" ht="14.25">
      <c r="C895" s="900"/>
      <c r="D895" s="900"/>
      <c r="E895" s="900"/>
      <c r="F895" s="900"/>
      <c r="G895" s="900"/>
      <c r="H895" s="900"/>
      <c r="I895" s="900"/>
      <c r="J895" s="900"/>
      <c r="K895" s="900"/>
      <c r="L895" s="900"/>
      <c r="M895" s="900"/>
      <c r="N895" s="900"/>
      <c r="O895" s="900"/>
      <c r="P895" s="900"/>
    </row>
    <row r="896" spans="3:16" ht="14.25">
      <c r="C896" s="900"/>
      <c r="D896" s="900"/>
      <c r="E896" s="900"/>
      <c r="F896" s="900"/>
      <c r="G896" s="900"/>
      <c r="H896" s="900"/>
      <c r="I896" s="900"/>
      <c r="J896" s="900"/>
      <c r="K896" s="900"/>
      <c r="L896" s="900"/>
      <c r="M896" s="900"/>
      <c r="N896" s="900"/>
      <c r="O896" s="900"/>
      <c r="P896" s="900"/>
    </row>
    <row r="897" spans="3:16" ht="14.25">
      <c r="C897" s="900"/>
      <c r="D897" s="900"/>
      <c r="E897" s="900"/>
      <c r="F897" s="900"/>
      <c r="G897" s="900"/>
      <c r="H897" s="900"/>
      <c r="I897" s="900"/>
      <c r="J897" s="900"/>
      <c r="K897" s="900"/>
      <c r="L897" s="900"/>
      <c r="M897" s="900"/>
      <c r="N897" s="900"/>
      <c r="O897" s="900"/>
      <c r="P897" s="900"/>
    </row>
    <row r="898" spans="3:16" ht="14.25">
      <c r="C898" s="900"/>
      <c r="D898" s="900"/>
      <c r="E898" s="900"/>
      <c r="F898" s="900"/>
      <c r="G898" s="900"/>
      <c r="H898" s="900"/>
      <c r="I898" s="900"/>
      <c r="J898" s="900"/>
      <c r="K898" s="900"/>
      <c r="L898" s="900"/>
      <c r="M898" s="900"/>
      <c r="N898" s="900"/>
      <c r="O898" s="900"/>
      <c r="P898" s="900"/>
    </row>
    <row r="899" spans="3:16" ht="14.25">
      <c r="C899" s="900"/>
      <c r="D899" s="900"/>
      <c r="E899" s="900"/>
      <c r="F899" s="900"/>
      <c r="G899" s="900"/>
      <c r="H899" s="900"/>
      <c r="I899" s="900"/>
      <c r="J899" s="900"/>
      <c r="K899" s="900"/>
      <c r="L899" s="900"/>
      <c r="M899" s="900"/>
      <c r="N899" s="900"/>
      <c r="O899" s="900"/>
      <c r="P899" s="900"/>
    </row>
    <row r="900" spans="3:16" ht="14.25">
      <c r="C900" s="900"/>
      <c r="D900" s="900"/>
      <c r="E900" s="900"/>
      <c r="F900" s="900"/>
      <c r="G900" s="900"/>
      <c r="H900" s="900"/>
      <c r="I900" s="900"/>
      <c r="J900" s="900"/>
      <c r="K900" s="900"/>
      <c r="L900" s="900"/>
      <c r="M900" s="900"/>
      <c r="N900" s="900"/>
      <c r="O900" s="900"/>
      <c r="P900" s="900"/>
    </row>
    <row r="901" spans="3:16" ht="14.25">
      <c r="C901" s="900"/>
      <c r="D901" s="900"/>
      <c r="E901" s="900"/>
      <c r="F901" s="900"/>
      <c r="G901" s="900"/>
      <c r="H901" s="900"/>
      <c r="I901" s="900"/>
      <c r="J901" s="900"/>
      <c r="K901" s="900"/>
      <c r="L901" s="900"/>
      <c r="M901" s="900"/>
      <c r="N901" s="900"/>
      <c r="O901" s="900"/>
      <c r="P901" s="900"/>
    </row>
    <row r="902" spans="3:16" ht="14.25">
      <c r="C902" s="900"/>
      <c r="D902" s="900"/>
      <c r="E902" s="900"/>
      <c r="F902" s="900"/>
      <c r="G902" s="900"/>
      <c r="H902" s="900"/>
      <c r="I902" s="900"/>
      <c r="J902" s="900"/>
      <c r="K902" s="900"/>
      <c r="L902" s="900"/>
      <c r="M902" s="900"/>
      <c r="N902" s="900"/>
      <c r="O902" s="900"/>
      <c r="P902" s="900"/>
    </row>
    <row r="903" spans="3:16" ht="14.25">
      <c r="C903" s="900"/>
      <c r="D903" s="900"/>
      <c r="E903" s="900"/>
      <c r="F903" s="900"/>
      <c r="G903" s="900"/>
      <c r="H903" s="900"/>
      <c r="I903" s="900"/>
      <c r="J903" s="900"/>
      <c r="K903" s="900"/>
      <c r="L903" s="900"/>
      <c r="M903" s="900"/>
      <c r="N903" s="900"/>
      <c r="O903" s="900"/>
      <c r="P903" s="900"/>
    </row>
    <row r="904" spans="3:16" ht="14.25">
      <c r="C904" s="900"/>
      <c r="D904" s="900"/>
      <c r="E904" s="900"/>
      <c r="F904" s="900"/>
      <c r="G904" s="900"/>
      <c r="H904" s="900"/>
      <c r="I904" s="900"/>
      <c r="J904" s="900"/>
      <c r="K904" s="900"/>
      <c r="L904" s="900"/>
      <c r="M904" s="900"/>
      <c r="N904" s="900"/>
      <c r="O904" s="900"/>
      <c r="P904" s="900"/>
    </row>
    <row r="905" spans="3:16" ht="14.25">
      <c r="C905" s="900"/>
      <c r="D905" s="900"/>
      <c r="E905" s="900"/>
      <c r="F905" s="900"/>
      <c r="G905" s="900"/>
      <c r="H905" s="900"/>
      <c r="I905" s="900"/>
      <c r="J905" s="900"/>
      <c r="K905" s="900"/>
      <c r="L905" s="900"/>
      <c r="M905" s="900"/>
      <c r="N905" s="900"/>
      <c r="O905" s="900"/>
      <c r="P905" s="900"/>
    </row>
    <row r="906" spans="3:16" ht="14.25">
      <c r="C906" s="900"/>
      <c r="D906" s="900"/>
      <c r="E906" s="900"/>
      <c r="F906" s="900"/>
      <c r="G906" s="900"/>
      <c r="H906" s="900"/>
      <c r="I906" s="900"/>
      <c r="J906" s="900"/>
      <c r="K906" s="900"/>
      <c r="L906" s="900"/>
      <c r="M906" s="900"/>
      <c r="N906" s="900"/>
      <c r="O906" s="900"/>
      <c r="P906" s="900"/>
    </row>
    <row r="907" spans="3:16" ht="14.25">
      <c r="C907" s="900"/>
      <c r="D907" s="900"/>
      <c r="E907" s="900"/>
      <c r="F907" s="900"/>
      <c r="G907" s="900"/>
      <c r="H907" s="900"/>
      <c r="I907" s="900"/>
      <c r="J907" s="900"/>
      <c r="K907" s="900"/>
      <c r="L907" s="900"/>
      <c r="M907" s="900"/>
      <c r="N907" s="900"/>
      <c r="O907" s="900"/>
      <c r="P907" s="900"/>
    </row>
    <row r="908" spans="3:16" ht="14.25">
      <c r="C908" s="900"/>
      <c r="D908" s="900"/>
      <c r="E908" s="900"/>
      <c r="F908" s="900"/>
      <c r="G908" s="900"/>
      <c r="H908" s="900"/>
      <c r="I908" s="900"/>
      <c r="J908" s="900"/>
      <c r="K908" s="900"/>
      <c r="L908" s="900"/>
      <c r="M908" s="900"/>
      <c r="N908" s="900"/>
      <c r="O908" s="900"/>
      <c r="P908" s="900"/>
    </row>
    <row r="909" spans="3:16" ht="14.25">
      <c r="C909" s="900"/>
      <c r="D909" s="900"/>
      <c r="E909" s="900"/>
      <c r="F909" s="900"/>
      <c r="G909" s="900"/>
      <c r="H909" s="900"/>
      <c r="I909" s="900"/>
      <c r="J909" s="900"/>
      <c r="K909" s="900"/>
      <c r="L909" s="900"/>
      <c r="M909" s="900"/>
      <c r="N909" s="900"/>
      <c r="O909" s="900"/>
      <c r="P909" s="900"/>
    </row>
    <row r="910" spans="3:16" ht="14.25">
      <c r="C910" s="900"/>
      <c r="D910" s="900"/>
      <c r="E910" s="900"/>
      <c r="F910" s="900"/>
      <c r="G910" s="900"/>
      <c r="H910" s="900"/>
      <c r="I910" s="900"/>
      <c r="J910" s="900"/>
      <c r="K910" s="900"/>
      <c r="L910" s="900"/>
      <c r="M910" s="900"/>
      <c r="N910" s="900"/>
      <c r="O910" s="900"/>
      <c r="P910" s="900"/>
    </row>
    <row r="911" spans="3:16" ht="14.25">
      <c r="C911" s="900"/>
      <c r="D911" s="900"/>
      <c r="E911" s="900"/>
      <c r="F911" s="900"/>
      <c r="G911" s="900"/>
      <c r="H911" s="900"/>
      <c r="I911" s="900"/>
      <c r="J911" s="900"/>
      <c r="K911" s="900"/>
      <c r="L911" s="900"/>
      <c r="M911" s="900"/>
      <c r="N911" s="900"/>
      <c r="O911" s="900"/>
      <c r="P911" s="900"/>
    </row>
    <row r="912" spans="3:16" ht="14.25">
      <c r="C912" s="900"/>
      <c r="D912" s="900"/>
      <c r="E912" s="900"/>
      <c r="F912" s="900"/>
      <c r="G912" s="900"/>
      <c r="H912" s="900"/>
      <c r="I912" s="900"/>
      <c r="J912" s="900"/>
      <c r="K912" s="900"/>
      <c r="L912" s="900"/>
      <c r="M912" s="900"/>
      <c r="N912" s="900"/>
      <c r="O912" s="900"/>
      <c r="P912" s="900"/>
    </row>
    <row r="913" spans="3:16" ht="14.25">
      <c r="C913" s="900"/>
      <c r="D913" s="900"/>
      <c r="E913" s="900"/>
      <c r="F913" s="900"/>
      <c r="G913" s="900"/>
      <c r="H913" s="900"/>
      <c r="I913" s="900"/>
      <c r="J913" s="900"/>
      <c r="K913" s="900"/>
      <c r="L913" s="900"/>
      <c r="M913" s="900"/>
      <c r="N913" s="900"/>
      <c r="O913" s="900"/>
      <c r="P913" s="900"/>
    </row>
    <row r="914" spans="3:16" ht="14.25">
      <c r="C914" s="900"/>
      <c r="D914" s="900"/>
      <c r="E914" s="900"/>
      <c r="F914" s="900"/>
      <c r="G914" s="900"/>
      <c r="H914" s="900"/>
      <c r="I914" s="900"/>
      <c r="J914" s="900"/>
      <c r="K914" s="900"/>
      <c r="L914" s="900"/>
      <c r="M914" s="900"/>
      <c r="N914" s="900"/>
      <c r="O914" s="900"/>
      <c r="P914" s="900"/>
    </row>
    <row r="915" spans="3:16" ht="14.25">
      <c r="C915" s="900"/>
      <c r="D915" s="900"/>
      <c r="E915" s="900"/>
      <c r="F915" s="900"/>
      <c r="G915" s="900"/>
      <c r="H915" s="900"/>
      <c r="I915" s="900"/>
      <c r="J915" s="900"/>
      <c r="K915" s="900"/>
      <c r="L915" s="900"/>
      <c r="M915" s="900"/>
      <c r="N915" s="900"/>
      <c r="O915" s="900"/>
      <c r="P915" s="900"/>
    </row>
    <row r="916" spans="3:16" ht="14.25">
      <c r="C916" s="900"/>
      <c r="D916" s="900"/>
      <c r="E916" s="900"/>
      <c r="F916" s="900"/>
      <c r="G916" s="900"/>
      <c r="H916" s="900"/>
      <c r="I916" s="900"/>
      <c r="J916" s="900"/>
      <c r="K916" s="900"/>
      <c r="L916" s="900"/>
      <c r="M916" s="900"/>
      <c r="N916" s="900"/>
      <c r="O916" s="900"/>
      <c r="P916" s="900"/>
    </row>
    <row r="917" spans="3:16" ht="14.25">
      <c r="C917" s="900"/>
      <c r="D917" s="900"/>
      <c r="E917" s="900"/>
      <c r="F917" s="900"/>
      <c r="G917" s="900"/>
      <c r="H917" s="900"/>
      <c r="I917" s="900"/>
      <c r="J917" s="900"/>
      <c r="K917" s="900"/>
      <c r="L917" s="900"/>
      <c r="M917" s="900"/>
      <c r="N917" s="900"/>
      <c r="O917" s="900"/>
      <c r="P917" s="900"/>
    </row>
    <row r="918" spans="3:16" ht="14.25">
      <c r="C918" s="900"/>
      <c r="D918" s="900"/>
      <c r="E918" s="900"/>
      <c r="F918" s="900"/>
      <c r="G918" s="900"/>
      <c r="H918" s="900"/>
      <c r="I918" s="900"/>
      <c r="J918" s="900"/>
      <c r="K918" s="900"/>
      <c r="L918" s="900"/>
      <c r="M918" s="900"/>
      <c r="N918" s="900"/>
      <c r="O918" s="900"/>
      <c r="P918" s="900"/>
    </row>
    <row r="919" spans="3:16" ht="14.25">
      <c r="C919" s="900"/>
      <c r="D919" s="900"/>
      <c r="E919" s="900"/>
      <c r="F919" s="900"/>
      <c r="G919" s="900"/>
      <c r="H919" s="900"/>
      <c r="I919" s="900"/>
      <c r="J919" s="900"/>
      <c r="K919" s="900"/>
      <c r="L919" s="900"/>
      <c r="M919" s="900"/>
      <c r="N919" s="900"/>
      <c r="O919" s="900"/>
      <c r="P919" s="900"/>
    </row>
    <row r="920" spans="3:16" ht="14.25">
      <c r="C920" s="900"/>
      <c r="D920" s="900"/>
      <c r="E920" s="900"/>
      <c r="F920" s="900"/>
      <c r="G920" s="900"/>
      <c r="H920" s="900"/>
      <c r="I920" s="900"/>
      <c r="J920" s="900"/>
      <c r="K920" s="900"/>
      <c r="L920" s="900"/>
      <c r="M920" s="900"/>
      <c r="N920" s="900"/>
      <c r="O920" s="900"/>
      <c r="P920" s="900"/>
    </row>
    <row r="921" spans="3:16" ht="14.25">
      <c r="C921" s="900"/>
      <c r="D921" s="900"/>
      <c r="E921" s="900"/>
      <c r="F921" s="900"/>
      <c r="G921" s="900"/>
      <c r="H921" s="900"/>
      <c r="I921" s="900"/>
      <c r="J921" s="900"/>
      <c r="K921" s="900"/>
      <c r="L921" s="900"/>
      <c r="M921" s="900"/>
      <c r="N921" s="900"/>
      <c r="O921" s="900"/>
      <c r="P921" s="900"/>
    </row>
    <row r="922" spans="3:16" ht="14.25">
      <c r="C922" s="900"/>
      <c r="D922" s="900"/>
      <c r="E922" s="900"/>
      <c r="F922" s="900"/>
      <c r="G922" s="900"/>
      <c r="H922" s="900"/>
      <c r="I922" s="900"/>
      <c r="J922" s="900"/>
      <c r="K922" s="900"/>
      <c r="L922" s="900"/>
      <c r="M922" s="900"/>
      <c r="N922" s="900"/>
      <c r="O922" s="900"/>
      <c r="P922" s="900"/>
    </row>
    <row r="923" spans="3:16" ht="14.25">
      <c r="C923" s="900"/>
      <c r="D923" s="900"/>
      <c r="E923" s="900"/>
      <c r="F923" s="900"/>
      <c r="G923" s="900"/>
      <c r="H923" s="900"/>
      <c r="I923" s="900"/>
      <c r="J923" s="900"/>
      <c r="K923" s="900"/>
      <c r="L923" s="900"/>
      <c r="M923" s="900"/>
      <c r="N923" s="900"/>
      <c r="O923" s="900"/>
      <c r="P923" s="900"/>
    </row>
    <row r="924" spans="3:16" ht="14.25">
      <c r="C924" s="900"/>
      <c r="D924" s="900"/>
      <c r="E924" s="900"/>
      <c r="F924" s="900"/>
      <c r="G924" s="900"/>
      <c r="H924" s="900"/>
      <c r="I924" s="900"/>
      <c r="J924" s="900"/>
      <c r="K924" s="900"/>
      <c r="L924" s="900"/>
      <c r="M924" s="900"/>
      <c r="N924" s="900"/>
      <c r="O924" s="900"/>
      <c r="P924" s="900"/>
    </row>
    <row r="925" spans="3:16" ht="14.25">
      <c r="C925" s="900"/>
      <c r="D925" s="900"/>
      <c r="E925" s="900"/>
      <c r="F925" s="900"/>
      <c r="G925" s="900"/>
      <c r="H925" s="900"/>
      <c r="I925" s="900"/>
      <c r="J925" s="900"/>
      <c r="K925" s="900"/>
      <c r="L925" s="900"/>
      <c r="M925" s="900"/>
      <c r="N925" s="900"/>
      <c r="O925" s="900"/>
      <c r="P925" s="900"/>
    </row>
    <row r="926" spans="3:16" ht="14.25">
      <c r="C926" s="900"/>
      <c r="D926" s="900"/>
      <c r="E926" s="900"/>
      <c r="F926" s="900"/>
      <c r="G926" s="900"/>
      <c r="H926" s="900"/>
      <c r="I926" s="900"/>
      <c r="J926" s="900"/>
      <c r="K926" s="900"/>
      <c r="L926" s="900"/>
      <c r="M926" s="900"/>
      <c r="N926" s="900"/>
      <c r="O926" s="900"/>
      <c r="P926" s="900"/>
    </row>
    <row r="927" spans="3:16" ht="14.25">
      <c r="C927" s="900"/>
      <c r="D927" s="900"/>
      <c r="E927" s="900"/>
      <c r="F927" s="900"/>
      <c r="G927" s="900"/>
      <c r="H927" s="900"/>
      <c r="I927" s="900"/>
      <c r="J927" s="900"/>
      <c r="K927" s="900"/>
      <c r="L927" s="900"/>
      <c r="M927" s="900"/>
      <c r="N927" s="900"/>
      <c r="O927" s="900"/>
      <c r="P927" s="900"/>
    </row>
    <row r="928" spans="3:16" ht="14.25">
      <c r="C928" s="900"/>
      <c r="D928" s="900"/>
      <c r="E928" s="900"/>
      <c r="F928" s="900"/>
      <c r="G928" s="900"/>
      <c r="H928" s="900"/>
      <c r="I928" s="900"/>
      <c r="J928" s="900"/>
      <c r="K928" s="900"/>
      <c r="L928" s="900"/>
      <c r="M928" s="900"/>
      <c r="N928" s="900"/>
      <c r="O928" s="900"/>
      <c r="P928" s="900"/>
    </row>
    <row r="929" spans="3:16" ht="14.25">
      <c r="C929" s="900"/>
      <c r="D929" s="900"/>
      <c r="E929" s="900"/>
      <c r="F929" s="900"/>
      <c r="G929" s="900"/>
      <c r="H929" s="900"/>
      <c r="I929" s="900"/>
      <c r="J929" s="900"/>
      <c r="K929" s="900"/>
      <c r="L929" s="900"/>
      <c r="M929" s="900"/>
      <c r="N929" s="900"/>
      <c r="O929" s="900"/>
      <c r="P929" s="900"/>
    </row>
    <row r="930" spans="3:16" ht="14.25">
      <c r="C930" s="900"/>
      <c r="D930" s="900"/>
      <c r="E930" s="900"/>
      <c r="F930" s="900"/>
      <c r="G930" s="900"/>
      <c r="H930" s="900"/>
      <c r="I930" s="900"/>
      <c r="J930" s="900"/>
      <c r="K930" s="900"/>
      <c r="L930" s="900"/>
      <c r="M930" s="900"/>
      <c r="N930" s="900"/>
      <c r="O930" s="900"/>
      <c r="P930" s="900"/>
    </row>
    <row r="931" spans="3:16" ht="14.25">
      <c r="C931" s="900"/>
      <c r="D931" s="900"/>
      <c r="E931" s="900"/>
      <c r="F931" s="900"/>
      <c r="G931" s="900"/>
      <c r="H931" s="900"/>
      <c r="I931" s="900"/>
      <c r="J931" s="900"/>
      <c r="K931" s="900"/>
      <c r="L931" s="900"/>
      <c r="M931" s="900"/>
      <c r="N931" s="900"/>
      <c r="O931" s="900"/>
      <c r="P931" s="900"/>
    </row>
    <row r="932" spans="3:16" ht="14.25">
      <c r="C932" s="900"/>
      <c r="D932" s="900"/>
      <c r="E932" s="900"/>
      <c r="F932" s="900"/>
      <c r="G932" s="900"/>
      <c r="H932" s="900"/>
      <c r="I932" s="900"/>
      <c r="J932" s="900"/>
      <c r="K932" s="900"/>
      <c r="L932" s="900"/>
      <c r="M932" s="900"/>
      <c r="N932" s="900"/>
      <c r="O932" s="900"/>
      <c r="P932" s="900"/>
    </row>
    <row r="933" spans="3:16" ht="14.25">
      <c r="C933" s="900"/>
      <c r="D933" s="900"/>
      <c r="E933" s="900"/>
      <c r="F933" s="900"/>
      <c r="G933" s="900"/>
      <c r="H933" s="900"/>
      <c r="I933" s="900"/>
      <c r="J933" s="900"/>
      <c r="K933" s="900"/>
      <c r="L933" s="900"/>
      <c r="M933" s="900"/>
      <c r="N933" s="900"/>
      <c r="O933" s="900"/>
      <c r="P933" s="900"/>
    </row>
    <row r="934" spans="3:16" ht="14.25">
      <c r="C934" s="900"/>
      <c r="D934" s="900"/>
      <c r="E934" s="900"/>
      <c r="F934" s="900"/>
      <c r="G934" s="900"/>
      <c r="H934" s="900"/>
      <c r="I934" s="900"/>
      <c r="J934" s="900"/>
      <c r="K934" s="900"/>
      <c r="L934" s="900"/>
      <c r="M934" s="900"/>
      <c r="N934" s="900"/>
      <c r="O934" s="900"/>
      <c r="P934" s="900"/>
    </row>
    <row r="935" spans="3:16" ht="14.25">
      <c r="C935" s="900"/>
      <c r="D935" s="900"/>
      <c r="E935" s="900"/>
      <c r="F935" s="900"/>
      <c r="G935" s="900"/>
      <c r="H935" s="900"/>
      <c r="I935" s="900"/>
      <c r="J935" s="900"/>
      <c r="K935" s="900"/>
      <c r="L935" s="900"/>
      <c r="M935" s="900"/>
      <c r="N935" s="900"/>
      <c r="O935" s="900"/>
      <c r="P935" s="900"/>
    </row>
    <row r="936" spans="3:16" ht="14.25">
      <c r="C936" s="900"/>
      <c r="D936" s="900"/>
      <c r="E936" s="900"/>
      <c r="F936" s="900"/>
      <c r="G936" s="900"/>
      <c r="H936" s="900"/>
      <c r="I936" s="900"/>
      <c r="J936" s="900"/>
      <c r="K936" s="900"/>
      <c r="L936" s="900"/>
      <c r="M936" s="900"/>
      <c r="N936" s="900"/>
      <c r="O936" s="900"/>
      <c r="P936" s="900"/>
    </row>
    <row r="937" spans="3:16" ht="14.25">
      <c r="C937" s="900"/>
      <c r="D937" s="900"/>
      <c r="E937" s="900"/>
      <c r="F937" s="900"/>
      <c r="G937" s="900"/>
      <c r="H937" s="900"/>
      <c r="I937" s="900"/>
      <c r="J937" s="900"/>
      <c r="K937" s="900"/>
      <c r="L937" s="900"/>
      <c r="M937" s="900"/>
      <c r="N937" s="900"/>
      <c r="O937" s="900"/>
      <c r="P937" s="900"/>
    </row>
    <row r="938" spans="3:16" ht="14.25">
      <c r="C938" s="900"/>
      <c r="D938" s="900"/>
      <c r="E938" s="900"/>
      <c r="F938" s="900"/>
      <c r="G938" s="900"/>
      <c r="H938" s="900"/>
      <c r="I938" s="900"/>
      <c r="J938" s="900"/>
      <c r="K938" s="900"/>
      <c r="L938" s="900"/>
      <c r="M938" s="900"/>
      <c r="N938" s="900"/>
      <c r="O938" s="900"/>
      <c r="P938" s="900"/>
    </row>
    <row r="939" spans="3:16" ht="14.25">
      <c r="C939" s="900"/>
      <c r="D939" s="900"/>
      <c r="E939" s="900"/>
      <c r="F939" s="900"/>
      <c r="G939" s="900"/>
      <c r="H939" s="900"/>
      <c r="I939" s="900"/>
      <c r="J939" s="900"/>
      <c r="K939" s="900"/>
      <c r="L939" s="900"/>
      <c r="M939" s="900"/>
      <c r="N939" s="900"/>
      <c r="O939" s="900"/>
      <c r="P939" s="900"/>
    </row>
    <row r="940" spans="3:16" ht="14.25">
      <c r="C940" s="900"/>
      <c r="D940" s="900"/>
      <c r="E940" s="900"/>
      <c r="F940" s="900"/>
      <c r="G940" s="900"/>
      <c r="H940" s="900"/>
      <c r="I940" s="900"/>
      <c r="J940" s="900"/>
      <c r="K940" s="900"/>
      <c r="L940" s="900"/>
      <c r="M940" s="900"/>
      <c r="N940" s="900"/>
      <c r="O940" s="900"/>
      <c r="P940" s="900"/>
    </row>
    <row r="941" spans="3:16" ht="14.25">
      <c r="C941" s="900"/>
      <c r="D941" s="900"/>
      <c r="E941" s="900"/>
      <c r="F941" s="900"/>
      <c r="G941" s="900"/>
      <c r="H941" s="900"/>
      <c r="I941" s="900"/>
      <c r="J941" s="900"/>
      <c r="K941" s="900"/>
      <c r="L941" s="900"/>
      <c r="M941" s="900"/>
      <c r="N941" s="900"/>
      <c r="O941" s="900"/>
      <c r="P941" s="900"/>
    </row>
    <row r="942" spans="3:16" ht="14.25">
      <c r="C942" s="900"/>
      <c r="D942" s="900"/>
      <c r="E942" s="900"/>
      <c r="F942" s="900"/>
      <c r="G942" s="900"/>
      <c r="H942" s="900"/>
      <c r="I942" s="900"/>
      <c r="J942" s="900"/>
      <c r="K942" s="900"/>
      <c r="L942" s="900"/>
      <c r="M942" s="900"/>
      <c r="N942" s="900"/>
      <c r="O942" s="900"/>
      <c r="P942" s="900"/>
    </row>
    <row r="943" spans="3:16" ht="14.25">
      <c r="C943" s="900"/>
      <c r="D943" s="900"/>
      <c r="E943" s="900"/>
      <c r="F943" s="900"/>
      <c r="G943" s="900"/>
      <c r="H943" s="900"/>
      <c r="I943" s="900"/>
      <c r="J943" s="900"/>
      <c r="K943" s="900"/>
      <c r="L943" s="900"/>
      <c r="M943" s="900"/>
      <c r="N943" s="900"/>
      <c r="O943" s="900"/>
      <c r="P943" s="900"/>
    </row>
    <row r="944" spans="3:16" ht="14.25">
      <c r="C944" s="900"/>
      <c r="D944" s="900"/>
      <c r="E944" s="900"/>
      <c r="F944" s="900"/>
      <c r="G944" s="900"/>
      <c r="H944" s="900"/>
      <c r="I944" s="900"/>
      <c r="J944" s="900"/>
      <c r="K944" s="900"/>
      <c r="L944" s="900"/>
      <c r="M944" s="900"/>
      <c r="N944" s="900"/>
      <c r="O944" s="900"/>
      <c r="P944" s="900"/>
    </row>
    <row r="945" spans="3:16" ht="14.25">
      <c r="C945" s="900"/>
      <c r="D945" s="900"/>
      <c r="E945" s="900"/>
      <c r="F945" s="900"/>
      <c r="G945" s="900"/>
      <c r="H945" s="900"/>
      <c r="I945" s="900"/>
      <c r="J945" s="900"/>
      <c r="K945" s="900"/>
      <c r="L945" s="900"/>
      <c r="M945" s="900"/>
      <c r="N945" s="900"/>
      <c r="O945" s="900"/>
      <c r="P945" s="900"/>
    </row>
    <row r="946" spans="3:16" ht="14.25">
      <c r="C946" s="900"/>
      <c r="D946" s="900"/>
      <c r="E946" s="900"/>
      <c r="F946" s="900"/>
      <c r="G946" s="900"/>
      <c r="H946" s="900"/>
      <c r="I946" s="900"/>
      <c r="J946" s="900"/>
      <c r="K946" s="900"/>
      <c r="L946" s="900"/>
      <c r="M946" s="900"/>
      <c r="N946" s="900"/>
      <c r="O946" s="900"/>
      <c r="P946" s="900"/>
    </row>
    <row r="947" spans="3:16" ht="14.25">
      <c r="C947" s="900"/>
      <c r="D947" s="900"/>
      <c r="E947" s="900"/>
      <c r="F947" s="900"/>
      <c r="G947" s="900"/>
      <c r="H947" s="900"/>
      <c r="I947" s="900"/>
      <c r="J947" s="900"/>
      <c r="K947" s="900"/>
      <c r="L947" s="900"/>
      <c r="M947" s="900"/>
      <c r="N947" s="900"/>
      <c r="O947" s="900"/>
      <c r="P947" s="900"/>
    </row>
    <row r="948" spans="3:16" ht="14.25">
      <c r="C948" s="900"/>
      <c r="D948" s="900"/>
      <c r="E948" s="900"/>
      <c r="F948" s="900"/>
      <c r="G948" s="900"/>
      <c r="H948" s="900"/>
      <c r="I948" s="900"/>
      <c r="J948" s="900"/>
      <c r="K948" s="900"/>
      <c r="L948" s="900"/>
      <c r="M948" s="900"/>
      <c r="N948" s="900"/>
      <c r="O948" s="900"/>
      <c r="P948" s="900"/>
    </row>
    <row r="949" spans="3:16" ht="14.25">
      <c r="C949" s="900"/>
      <c r="D949" s="900"/>
      <c r="E949" s="900"/>
      <c r="F949" s="900"/>
      <c r="G949" s="900"/>
      <c r="H949" s="900"/>
      <c r="I949" s="900"/>
      <c r="J949" s="900"/>
      <c r="K949" s="900"/>
      <c r="L949" s="900"/>
      <c r="M949" s="900"/>
      <c r="N949" s="900"/>
      <c r="O949" s="900"/>
      <c r="P949" s="900"/>
    </row>
    <row r="950" spans="3:16" ht="14.25">
      <c r="C950" s="900"/>
      <c r="D950" s="900"/>
      <c r="E950" s="900"/>
      <c r="F950" s="900"/>
      <c r="G950" s="900"/>
      <c r="H950" s="900"/>
      <c r="I950" s="900"/>
      <c r="J950" s="900"/>
      <c r="K950" s="900"/>
      <c r="L950" s="900"/>
      <c r="M950" s="900"/>
      <c r="N950" s="900"/>
      <c r="O950" s="900"/>
      <c r="P950" s="900"/>
    </row>
    <row r="951" spans="3:16" ht="14.25">
      <c r="C951" s="900"/>
      <c r="D951" s="900"/>
      <c r="E951" s="900"/>
      <c r="F951" s="900"/>
      <c r="G951" s="900"/>
      <c r="H951" s="900"/>
      <c r="I951" s="900"/>
      <c r="J951" s="900"/>
      <c r="K951" s="900"/>
      <c r="L951" s="900"/>
      <c r="M951" s="900"/>
      <c r="N951" s="900"/>
      <c r="O951" s="900"/>
      <c r="P951" s="900"/>
    </row>
    <row r="952" spans="3:16" ht="14.25">
      <c r="C952" s="900"/>
      <c r="D952" s="900"/>
      <c r="E952" s="900"/>
      <c r="F952" s="900"/>
      <c r="G952" s="900"/>
      <c r="H952" s="900"/>
      <c r="I952" s="900"/>
      <c r="J952" s="900"/>
      <c r="K952" s="900"/>
      <c r="L952" s="900"/>
      <c r="M952" s="900"/>
      <c r="N952" s="900"/>
      <c r="O952" s="900"/>
      <c r="P952" s="900"/>
    </row>
    <row r="953" spans="3:16" ht="14.25">
      <c r="C953" s="900"/>
      <c r="D953" s="900"/>
      <c r="E953" s="900"/>
      <c r="F953" s="900"/>
      <c r="G953" s="900"/>
      <c r="H953" s="900"/>
      <c r="I953" s="900"/>
      <c r="J953" s="900"/>
      <c r="K953" s="900"/>
      <c r="L953" s="900"/>
      <c r="M953" s="900"/>
      <c r="N953" s="900"/>
      <c r="O953" s="900"/>
      <c r="P953" s="900"/>
    </row>
    <row r="954" spans="3:16" ht="14.25">
      <c r="C954" s="900"/>
      <c r="D954" s="900"/>
      <c r="E954" s="900"/>
      <c r="F954" s="900"/>
      <c r="G954" s="900"/>
      <c r="H954" s="900"/>
      <c r="I954" s="900"/>
      <c r="J954" s="900"/>
      <c r="K954" s="900"/>
      <c r="L954" s="900"/>
      <c r="M954" s="900"/>
      <c r="N954" s="900"/>
      <c r="O954" s="900"/>
      <c r="P954" s="900"/>
    </row>
    <row r="955" spans="3:16" ht="14.25">
      <c r="C955" s="900"/>
      <c r="D955" s="900"/>
      <c r="E955" s="900"/>
      <c r="F955" s="900"/>
      <c r="G955" s="900"/>
      <c r="H955" s="900"/>
      <c r="I955" s="900"/>
      <c r="J955" s="900"/>
      <c r="K955" s="900"/>
      <c r="L955" s="900"/>
      <c r="M955" s="900"/>
      <c r="N955" s="900"/>
      <c r="O955" s="900"/>
      <c r="P955" s="900"/>
    </row>
    <row r="956" spans="3:16" ht="14.25">
      <c r="C956" s="900"/>
      <c r="D956" s="900"/>
      <c r="E956" s="900"/>
      <c r="F956" s="900"/>
      <c r="G956" s="900"/>
      <c r="H956" s="900"/>
      <c r="I956" s="900"/>
      <c r="J956" s="900"/>
      <c r="K956" s="900"/>
      <c r="L956" s="900"/>
      <c r="M956" s="900"/>
      <c r="N956" s="900"/>
      <c r="O956" s="900"/>
      <c r="P956" s="900"/>
    </row>
    <row r="957" spans="3:16" ht="14.25">
      <c r="C957" s="900"/>
      <c r="D957" s="900"/>
      <c r="E957" s="900"/>
      <c r="F957" s="900"/>
      <c r="G957" s="900"/>
      <c r="H957" s="900"/>
      <c r="I957" s="900"/>
      <c r="J957" s="900"/>
      <c r="K957" s="900"/>
      <c r="L957" s="900"/>
      <c r="M957" s="900"/>
      <c r="N957" s="900"/>
      <c r="O957" s="900"/>
      <c r="P957" s="900"/>
    </row>
    <row r="958" spans="3:16" ht="14.25">
      <c r="C958" s="900"/>
      <c r="D958" s="900"/>
      <c r="E958" s="900"/>
      <c r="F958" s="900"/>
      <c r="G958" s="900"/>
      <c r="H958" s="900"/>
      <c r="I958" s="900"/>
      <c r="J958" s="900"/>
      <c r="K958" s="900"/>
      <c r="L958" s="900"/>
      <c r="M958" s="900"/>
      <c r="N958" s="900"/>
      <c r="O958" s="900"/>
      <c r="P958" s="900"/>
    </row>
    <row r="959" spans="3:16" ht="14.25">
      <c r="C959" s="900"/>
      <c r="D959" s="900"/>
      <c r="E959" s="900"/>
      <c r="F959" s="900"/>
      <c r="G959" s="900"/>
      <c r="H959" s="900"/>
      <c r="I959" s="900"/>
      <c r="J959" s="900"/>
      <c r="K959" s="900"/>
      <c r="L959" s="900"/>
      <c r="M959" s="900"/>
      <c r="N959" s="900"/>
      <c r="O959" s="900"/>
      <c r="P959" s="900"/>
    </row>
    <row r="960" spans="3:16" ht="14.25">
      <c r="C960" s="900"/>
      <c r="D960" s="900"/>
      <c r="E960" s="900"/>
      <c r="F960" s="900"/>
      <c r="G960" s="900"/>
      <c r="H960" s="900"/>
      <c r="I960" s="900"/>
      <c r="J960" s="900"/>
      <c r="K960" s="900"/>
      <c r="L960" s="900"/>
      <c r="M960" s="900"/>
      <c r="N960" s="900"/>
      <c r="O960" s="900"/>
      <c r="P960" s="900"/>
    </row>
    <row r="961" spans="3:16" ht="14.25">
      <c r="C961" s="900"/>
      <c r="D961" s="900"/>
      <c r="E961" s="900"/>
      <c r="F961" s="900"/>
      <c r="G961" s="900"/>
      <c r="H961" s="900"/>
      <c r="I961" s="900"/>
      <c r="J961" s="900"/>
      <c r="K961" s="900"/>
      <c r="L961" s="900"/>
      <c r="M961" s="900"/>
      <c r="N961" s="900"/>
      <c r="O961" s="900"/>
      <c r="P961" s="900"/>
    </row>
    <row r="962" spans="3:16" ht="14.25">
      <c r="C962" s="900"/>
      <c r="D962" s="900"/>
      <c r="E962" s="900"/>
      <c r="F962" s="900"/>
      <c r="G962" s="900"/>
      <c r="H962" s="900"/>
      <c r="I962" s="900"/>
      <c r="J962" s="900"/>
      <c r="K962" s="900"/>
      <c r="L962" s="900"/>
      <c r="M962" s="900"/>
      <c r="N962" s="900"/>
      <c r="O962" s="900"/>
      <c r="P962" s="900"/>
    </row>
    <row r="963" spans="3:16" ht="14.25">
      <c r="C963" s="900"/>
      <c r="D963" s="900"/>
      <c r="E963" s="900"/>
      <c r="F963" s="900"/>
      <c r="G963" s="900"/>
      <c r="H963" s="900"/>
      <c r="I963" s="900"/>
      <c r="J963" s="900"/>
      <c r="K963" s="900"/>
      <c r="L963" s="900"/>
      <c r="M963" s="900"/>
      <c r="N963" s="900"/>
      <c r="O963" s="900"/>
      <c r="P963" s="900"/>
    </row>
    <row r="964" spans="3:16" ht="14.25">
      <c r="C964" s="900"/>
      <c r="D964" s="900"/>
      <c r="E964" s="900"/>
      <c r="F964" s="900"/>
      <c r="G964" s="900"/>
      <c r="H964" s="900"/>
      <c r="I964" s="900"/>
      <c r="J964" s="900"/>
      <c r="K964" s="900"/>
      <c r="L964" s="900"/>
      <c r="M964" s="900"/>
      <c r="N964" s="900"/>
      <c r="O964" s="900"/>
      <c r="P964" s="900"/>
    </row>
    <row r="965" spans="3:16" ht="14.25">
      <c r="C965" s="900"/>
      <c r="D965" s="900"/>
      <c r="E965" s="900"/>
      <c r="F965" s="900"/>
      <c r="G965" s="900"/>
      <c r="H965" s="900"/>
      <c r="I965" s="900"/>
      <c r="J965" s="900"/>
      <c r="K965" s="900"/>
      <c r="L965" s="900"/>
      <c r="M965" s="900"/>
      <c r="N965" s="900"/>
      <c r="O965" s="900"/>
      <c r="P965" s="900"/>
    </row>
    <row r="966" spans="3:16" ht="14.25">
      <c r="C966" s="900"/>
      <c r="D966" s="900"/>
      <c r="E966" s="900"/>
      <c r="F966" s="900"/>
      <c r="G966" s="900"/>
      <c r="H966" s="900"/>
      <c r="I966" s="900"/>
      <c r="J966" s="900"/>
      <c r="K966" s="900"/>
      <c r="L966" s="900"/>
      <c r="M966" s="900"/>
      <c r="N966" s="900"/>
      <c r="O966" s="900"/>
      <c r="P966" s="900"/>
    </row>
    <row r="967" spans="3:16" ht="14.25">
      <c r="C967" s="900"/>
      <c r="D967" s="900"/>
      <c r="E967" s="900"/>
      <c r="F967" s="900"/>
      <c r="G967" s="900"/>
      <c r="H967" s="900"/>
      <c r="I967" s="900"/>
      <c r="J967" s="900"/>
      <c r="K967" s="900"/>
      <c r="L967" s="900"/>
      <c r="M967" s="900"/>
      <c r="N967" s="900"/>
      <c r="O967" s="900"/>
      <c r="P967" s="900"/>
    </row>
    <row r="968" spans="3:16" ht="14.25">
      <c r="C968" s="900"/>
      <c r="D968" s="900"/>
      <c r="E968" s="900"/>
      <c r="F968" s="900"/>
      <c r="G968" s="900"/>
      <c r="H968" s="900"/>
      <c r="I968" s="900"/>
      <c r="J968" s="900"/>
      <c r="K968" s="900"/>
      <c r="L968" s="900"/>
      <c r="M968" s="900"/>
      <c r="N968" s="900"/>
      <c r="O968" s="900"/>
      <c r="P968" s="900"/>
    </row>
    <row r="969" spans="3:16" ht="14.25">
      <c r="C969" s="900"/>
      <c r="D969" s="900"/>
      <c r="E969" s="900"/>
      <c r="F969" s="900"/>
      <c r="G969" s="900"/>
      <c r="H969" s="900"/>
      <c r="I969" s="900"/>
      <c r="J969" s="900"/>
      <c r="K969" s="900"/>
      <c r="L969" s="900"/>
      <c r="M969" s="900"/>
      <c r="N969" s="900"/>
      <c r="O969" s="900"/>
      <c r="P969" s="900"/>
    </row>
    <row r="970" spans="3:16" ht="14.25">
      <c r="C970" s="900"/>
      <c r="D970" s="900"/>
      <c r="E970" s="900"/>
      <c r="F970" s="900"/>
      <c r="G970" s="900"/>
      <c r="H970" s="900"/>
      <c r="I970" s="900"/>
      <c r="J970" s="900"/>
      <c r="K970" s="900"/>
      <c r="L970" s="900"/>
      <c r="M970" s="900"/>
      <c r="N970" s="900"/>
      <c r="O970" s="900"/>
      <c r="P970" s="900"/>
    </row>
    <row r="971" spans="3:16" ht="14.25">
      <c r="C971" s="900"/>
      <c r="D971" s="900"/>
      <c r="E971" s="900"/>
      <c r="F971" s="900"/>
      <c r="G971" s="900"/>
      <c r="H971" s="900"/>
      <c r="I971" s="900"/>
      <c r="J971" s="900"/>
      <c r="K971" s="900"/>
      <c r="L971" s="900"/>
      <c r="M971" s="900"/>
      <c r="N971" s="900"/>
      <c r="O971" s="900"/>
      <c r="P971" s="900"/>
    </row>
    <row r="972" spans="3:16" ht="14.25">
      <c r="C972" s="900"/>
      <c r="D972" s="900"/>
      <c r="E972" s="900"/>
      <c r="F972" s="900"/>
      <c r="G972" s="900"/>
      <c r="H972" s="900"/>
      <c r="I972" s="900"/>
      <c r="J972" s="900"/>
      <c r="K972" s="900"/>
      <c r="L972" s="900"/>
      <c r="M972" s="900"/>
      <c r="N972" s="900"/>
      <c r="O972" s="900"/>
      <c r="P972" s="900"/>
    </row>
    <row r="973" spans="3:16" ht="14.25">
      <c r="C973" s="900"/>
      <c r="D973" s="900"/>
      <c r="E973" s="900"/>
      <c r="F973" s="900"/>
      <c r="G973" s="900"/>
      <c r="H973" s="900"/>
      <c r="I973" s="900"/>
      <c r="J973" s="900"/>
      <c r="K973" s="900"/>
      <c r="L973" s="900"/>
      <c r="M973" s="900"/>
      <c r="N973" s="900"/>
      <c r="O973" s="900"/>
      <c r="P973" s="900"/>
    </row>
    <row r="974" spans="3:16" ht="14.25">
      <c r="C974" s="900"/>
      <c r="D974" s="900"/>
      <c r="E974" s="900"/>
      <c r="F974" s="900"/>
      <c r="G974" s="900"/>
      <c r="H974" s="900"/>
      <c r="I974" s="900"/>
      <c r="J974" s="900"/>
      <c r="K974" s="900"/>
      <c r="L974" s="900"/>
      <c r="M974" s="900"/>
      <c r="N974" s="900"/>
      <c r="O974" s="900"/>
      <c r="P974" s="900"/>
    </row>
    <row r="975" spans="3:16" ht="14.25">
      <c r="C975" s="900"/>
      <c r="D975" s="900"/>
      <c r="E975" s="900"/>
      <c r="F975" s="900"/>
      <c r="G975" s="900"/>
      <c r="H975" s="900"/>
      <c r="I975" s="900"/>
      <c r="J975" s="900"/>
      <c r="K975" s="900"/>
      <c r="L975" s="900"/>
      <c r="M975" s="900"/>
      <c r="N975" s="900"/>
      <c r="O975" s="900"/>
      <c r="P975" s="900"/>
    </row>
    <row r="976" spans="3:16" ht="14.25">
      <c r="C976" s="900"/>
      <c r="D976" s="900"/>
      <c r="E976" s="900"/>
      <c r="F976" s="900"/>
      <c r="G976" s="900"/>
      <c r="H976" s="900"/>
      <c r="I976" s="900"/>
      <c r="J976" s="900"/>
      <c r="K976" s="900"/>
      <c r="L976" s="900"/>
      <c r="M976" s="900"/>
      <c r="N976" s="900"/>
      <c r="O976" s="900"/>
      <c r="P976" s="900"/>
    </row>
    <row r="977" spans="3:16" ht="14.25">
      <c r="C977" s="900"/>
      <c r="D977" s="900"/>
      <c r="E977" s="900"/>
      <c r="F977" s="900"/>
      <c r="G977" s="900"/>
      <c r="H977" s="900"/>
      <c r="I977" s="900"/>
      <c r="J977" s="900"/>
      <c r="K977" s="900"/>
      <c r="L977" s="900"/>
      <c r="M977" s="900"/>
      <c r="N977" s="900"/>
      <c r="O977" s="900"/>
      <c r="P977" s="900"/>
    </row>
    <row r="978" spans="3:16" ht="14.25">
      <c r="C978" s="900"/>
      <c r="D978" s="900"/>
      <c r="E978" s="900"/>
      <c r="F978" s="900"/>
      <c r="G978" s="900"/>
      <c r="H978" s="900"/>
      <c r="I978" s="900"/>
      <c r="J978" s="900"/>
      <c r="K978" s="900"/>
      <c r="L978" s="900"/>
      <c r="M978" s="900"/>
      <c r="N978" s="900"/>
      <c r="O978" s="900"/>
      <c r="P978" s="900"/>
    </row>
    <row r="979" spans="3:16" ht="14.25">
      <c r="C979" s="900"/>
      <c r="D979" s="900"/>
      <c r="E979" s="900"/>
      <c r="F979" s="900"/>
      <c r="G979" s="900"/>
      <c r="H979" s="900"/>
      <c r="I979" s="900"/>
      <c r="J979" s="900"/>
      <c r="K979" s="900"/>
      <c r="L979" s="900"/>
      <c r="M979" s="900"/>
      <c r="N979" s="900"/>
      <c r="O979" s="900"/>
      <c r="P979" s="900"/>
    </row>
    <row r="980" spans="3:16" ht="14.25">
      <c r="C980" s="900"/>
      <c r="D980" s="900"/>
      <c r="E980" s="900"/>
      <c r="F980" s="900"/>
      <c r="G980" s="900"/>
      <c r="H980" s="900"/>
      <c r="I980" s="900"/>
      <c r="J980" s="900"/>
      <c r="K980" s="900"/>
      <c r="L980" s="900"/>
      <c r="M980" s="900"/>
      <c r="N980" s="900"/>
      <c r="O980" s="900"/>
      <c r="P980" s="900"/>
    </row>
    <row r="981" spans="3:16" ht="14.25">
      <c r="C981" s="900"/>
      <c r="D981" s="900"/>
      <c r="E981" s="900"/>
      <c r="F981" s="900"/>
      <c r="G981" s="900"/>
      <c r="H981" s="900"/>
      <c r="I981" s="900"/>
      <c r="J981" s="900"/>
      <c r="K981" s="900"/>
      <c r="L981" s="900"/>
      <c r="M981" s="900"/>
      <c r="N981" s="900"/>
      <c r="O981" s="900"/>
      <c r="P981" s="900"/>
    </row>
    <row r="982" spans="3:16" ht="14.25">
      <c r="C982" s="900"/>
      <c r="D982" s="900"/>
      <c r="E982" s="900"/>
      <c r="F982" s="900"/>
      <c r="G982" s="900"/>
      <c r="H982" s="900"/>
      <c r="I982" s="900"/>
      <c r="J982" s="900"/>
      <c r="K982" s="900"/>
      <c r="L982" s="900"/>
      <c r="M982" s="900"/>
      <c r="N982" s="900"/>
      <c r="O982" s="900"/>
      <c r="P982" s="900"/>
    </row>
    <row r="983" spans="3:16" ht="14.25">
      <c r="C983" s="900"/>
      <c r="D983" s="900"/>
      <c r="E983" s="900"/>
      <c r="F983" s="900"/>
      <c r="G983" s="900"/>
      <c r="H983" s="900"/>
      <c r="I983" s="900"/>
      <c r="J983" s="900"/>
      <c r="K983" s="900"/>
      <c r="L983" s="900"/>
      <c r="M983" s="900"/>
      <c r="N983" s="900"/>
      <c r="O983" s="900"/>
      <c r="P983" s="900"/>
    </row>
    <row r="984" spans="3:16" ht="14.25">
      <c r="C984" s="900"/>
      <c r="D984" s="900"/>
      <c r="E984" s="900"/>
      <c r="F984" s="900"/>
      <c r="G984" s="900"/>
      <c r="H984" s="900"/>
      <c r="I984" s="900"/>
      <c r="J984" s="900"/>
      <c r="K984" s="900"/>
      <c r="L984" s="900"/>
      <c r="M984" s="900"/>
      <c r="N984" s="900"/>
      <c r="O984" s="900"/>
      <c r="P984" s="900"/>
    </row>
    <row r="985" spans="3:16" ht="14.25">
      <c r="C985" s="900"/>
      <c r="D985" s="900"/>
      <c r="E985" s="900"/>
      <c r="F985" s="900"/>
      <c r="G985" s="900"/>
      <c r="H985" s="900"/>
      <c r="I985" s="900"/>
      <c r="J985" s="900"/>
      <c r="K985" s="900"/>
      <c r="L985" s="900"/>
      <c r="M985" s="900"/>
      <c r="N985" s="900"/>
      <c r="O985" s="900"/>
      <c r="P985" s="900"/>
    </row>
    <row r="986" spans="3:16" ht="14.25">
      <c r="C986" s="900"/>
      <c r="D986" s="900"/>
      <c r="E986" s="900"/>
      <c r="F986" s="900"/>
      <c r="G986" s="900"/>
      <c r="H986" s="900"/>
      <c r="I986" s="900"/>
      <c r="J986" s="900"/>
      <c r="K986" s="900"/>
      <c r="L986" s="900"/>
      <c r="M986" s="900"/>
      <c r="N986" s="900"/>
      <c r="O986" s="900"/>
      <c r="P986" s="900"/>
    </row>
    <row r="987" spans="3:16" ht="14.25">
      <c r="C987" s="900"/>
      <c r="D987" s="900"/>
      <c r="E987" s="900"/>
      <c r="F987" s="900"/>
      <c r="G987" s="900"/>
      <c r="H987" s="900"/>
      <c r="I987" s="900"/>
      <c r="J987" s="900"/>
      <c r="K987" s="900"/>
      <c r="L987" s="900"/>
      <c r="M987" s="900"/>
      <c r="N987" s="900"/>
      <c r="O987" s="900"/>
      <c r="P987" s="900"/>
    </row>
    <row r="988" spans="3:16" ht="14.25">
      <c r="C988" s="900"/>
      <c r="D988" s="900"/>
      <c r="E988" s="900"/>
      <c r="F988" s="900"/>
      <c r="G988" s="900"/>
      <c r="H988" s="900"/>
      <c r="I988" s="900"/>
      <c r="J988" s="900"/>
      <c r="K988" s="900"/>
      <c r="L988" s="900"/>
      <c r="M988" s="900"/>
      <c r="N988" s="900"/>
      <c r="O988" s="900"/>
      <c r="P988" s="900"/>
    </row>
    <row r="989" spans="3:16" ht="14.25">
      <c r="C989" s="900"/>
      <c r="D989" s="900"/>
      <c r="E989" s="900"/>
      <c r="F989" s="900"/>
      <c r="G989" s="900"/>
      <c r="H989" s="900"/>
      <c r="I989" s="900"/>
      <c r="J989" s="900"/>
      <c r="K989" s="900"/>
      <c r="L989" s="900"/>
      <c r="M989" s="900"/>
      <c r="N989" s="900"/>
      <c r="O989" s="900"/>
      <c r="P989" s="900"/>
    </row>
    <row r="990" spans="3:16" ht="14.25">
      <c r="C990" s="900"/>
      <c r="D990" s="900"/>
      <c r="E990" s="900"/>
      <c r="F990" s="900"/>
      <c r="G990" s="900"/>
      <c r="H990" s="900"/>
      <c r="I990" s="900"/>
      <c r="J990" s="900"/>
      <c r="K990" s="900"/>
      <c r="L990" s="900"/>
      <c r="M990" s="900"/>
      <c r="N990" s="900"/>
      <c r="O990" s="900"/>
      <c r="P990" s="900"/>
    </row>
    <row r="991" spans="3:16" ht="14.25">
      <c r="C991" s="900"/>
      <c r="D991" s="900"/>
      <c r="E991" s="900"/>
      <c r="F991" s="900"/>
      <c r="G991" s="900"/>
      <c r="H991" s="900"/>
      <c r="I991" s="900"/>
      <c r="J991" s="900"/>
      <c r="K991" s="900"/>
      <c r="L991" s="900"/>
      <c r="M991" s="900"/>
      <c r="N991" s="900"/>
      <c r="O991" s="900"/>
      <c r="P991" s="900"/>
    </row>
    <row r="992" spans="3:16" ht="14.25">
      <c r="C992" s="900"/>
      <c r="D992" s="900"/>
      <c r="E992" s="900"/>
      <c r="F992" s="900"/>
      <c r="G992" s="900"/>
      <c r="H992" s="900"/>
      <c r="I992" s="900"/>
      <c r="J992" s="900"/>
      <c r="K992" s="900"/>
      <c r="L992" s="900"/>
      <c r="M992" s="900"/>
      <c r="N992" s="900"/>
      <c r="O992" s="900"/>
      <c r="P992" s="900"/>
    </row>
    <row r="993" spans="3:16" ht="14.25">
      <c r="C993" s="900"/>
      <c r="D993" s="900"/>
      <c r="E993" s="900"/>
      <c r="F993" s="900"/>
      <c r="G993" s="900"/>
      <c r="H993" s="900"/>
      <c r="I993" s="900"/>
      <c r="J993" s="900"/>
      <c r="K993" s="900"/>
      <c r="L993" s="900"/>
      <c r="M993" s="900"/>
      <c r="N993" s="900"/>
      <c r="O993" s="900"/>
      <c r="P993" s="900"/>
    </row>
    <row r="994" spans="3:16" ht="14.25">
      <c r="C994" s="900"/>
      <c r="D994" s="900"/>
      <c r="E994" s="900"/>
      <c r="F994" s="900"/>
      <c r="G994" s="900"/>
      <c r="H994" s="900"/>
      <c r="I994" s="900"/>
      <c r="J994" s="900"/>
      <c r="K994" s="900"/>
      <c r="L994" s="900"/>
      <c r="M994" s="900"/>
      <c r="N994" s="900"/>
      <c r="O994" s="900"/>
      <c r="P994" s="900"/>
    </row>
    <row r="995" spans="3:16" ht="14.25">
      <c r="C995" s="900"/>
      <c r="D995" s="900"/>
      <c r="E995" s="900"/>
      <c r="F995" s="900"/>
      <c r="G995" s="900"/>
      <c r="H995" s="900"/>
      <c r="I995" s="900"/>
      <c r="J995" s="900"/>
      <c r="K995" s="900"/>
      <c r="L995" s="900"/>
      <c r="M995" s="900"/>
      <c r="N995" s="900"/>
      <c r="O995" s="900"/>
      <c r="P995" s="900"/>
    </row>
    <row r="996" spans="3:16" ht="14.25">
      <c r="C996" s="900"/>
      <c r="D996" s="900"/>
      <c r="E996" s="900"/>
      <c r="F996" s="900"/>
      <c r="G996" s="900"/>
      <c r="H996" s="900"/>
      <c r="I996" s="900"/>
      <c r="J996" s="900"/>
      <c r="K996" s="900"/>
      <c r="L996" s="900"/>
      <c r="M996" s="900"/>
      <c r="N996" s="900"/>
      <c r="O996" s="900"/>
      <c r="P996" s="900"/>
    </row>
    <row r="997" spans="3:16" ht="14.25">
      <c r="C997" s="900"/>
      <c r="D997" s="900"/>
      <c r="E997" s="900"/>
      <c r="F997" s="900"/>
      <c r="G997" s="900"/>
      <c r="H997" s="900"/>
      <c r="I997" s="900"/>
      <c r="J997" s="900"/>
      <c r="K997" s="900"/>
      <c r="L997" s="900"/>
      <c r="M997" s="900"/>
      <c r="N997" s="900"/>
      <c r="O997" s="900"/>
      <c r="P997" s="900"/>
    </row>
    <row r="998" spans="3:16" ht="14.25">
      <c r="C998" s="900"/>
      <c r="D998" s="900"/>
      <c r="E998" s="900"/>
      <c r="F998" s="900"/>
      <c r="G998" s="900"/>
      <c r="H998" s="900"/>
      <c r="I998" s="900"/>
      <c r="J998" s="900"/>
      <c r="K998" s="900"/>
      <c r="L998" s="900"/>
      <c r="M998" s="900"/>
      <c r="N998" s="900"/>
      <c r="O998" s="900"/>
      <c r="P998" s="900"/>
    </row>
    <row r="999" spans="3:16" ht="14.25">
      <c r="C999" s="900"/>
      <c r="D999" s="900"/>
      <c r="E999" s="900"/>
      <c r="F999" s="900"/>
      <c r="G999" s="900"/>
      <c r="H999" s="900"/>
      <c r="I999" s="900"/>
      <c r="J999" s="900"/>
      <c r="K999" s="900"/>
      <c r="L999" s="900"/>
      <c r="M999" s="900"/>
      <c r="N999" s="900"/>
      <c r="O999" s="900"/>
      <c r="P999" s="900"/>
    </row>
    <row r="1000" spans="3:16" ht="14.25">
      <c r="C1000" s="900"/>
      <c r="D1000" s="900"/>
      <c r="E1000" s="900"/>
      <c r="F1000" s="900"/>
      <c r="G1000" s="900"/>
      <c r="H1000" s="900"/>
      <c r="I1000" s="900"/>
      <c r="J1000" s="900"/>
      <c r="K1000" s="900"/>
      <c r="L1000" s="900"/>
      <c r="M1000" s="900"/>
      <c r="N1000" s="900"/>
      <c r="O1000" s="900"/>
      <c r="P1000" s="900"/>
    </row>
    <row r="1001" spans="3:16" ht="14.25">
      <c r="C1001" s="900"/>
      <c r="D1001" s="900"/>
      <c r="E1001" s="900"/>
      <c r="F1001" s="900"/>
      <c r="G1001" s="900"/>
      <c r="H1001" s="900"/>
      <c r="I1001" s="900"/>
      <c r="J1001" s="900"/>
      <c r="K1001" s="900"/>
      <c r="L1001" s="900"/>
      <c r="M1001" s="900"/>
      <c r="N1001" s="900"/>
      <c r="O1001" s="900"/>
      <c r="P1001" s="900"/>
    </row>
    <row r="1002" spans="3:16" ht="14.25">
      <c r="C1002" s="900"/>
      <c r="D1002" s="900"/>
      <c r="E1002" s="900"/>
      <c r="F1002" s="900"/>
      <c r="G1002" s="900"/>
      <c r="H1002" s="900"/>
      <c r="I1002" s="900"/>
      <c r="J1002" s="900"/>
      <c r="K1002" s="900"/>
      <c r="L1002" s="900"/>
      <c r="M1002" s="900"/>
      <c r="N1002" s="900"/>
      <c r="O1002" s="900"/>
      <c r="P1002" s="900"/>
    </row>
    <row r="1003" spans="3:16" ht="14.25">
      <c r="C1003" s="900"/>
      <c r="D1003" s="900"/>
      <c r="E1003" s="900"/>
      <c r="F1003" s="900"/>
      <c r="G1003" s="900"/>
      <c r="H1003" s="900"/>
      <c r="I1003" s="900"/>
      <c r="J1003" s="900"/>
      <c r="K1003" s="900"/>
      <c r="L1003" s="900"/>
      <c r="M1003" s="900"/>
      <c r="N1003" s="900"/>
      <c r="O1003" s="900"/>
      <c r="P1003" s="900"/>
    </row>
    <row r="1004" spans="3:16" ht="14.25">
      <c r="C1004" s="900"/>
      <c r="D1004" s="900"/>
      <c r="E1004" s="900"/>
      <c r="F1004" s="900"/>
      <c r="G1004" s="900"/>
      <c r="H1004" s="900"/>
      <c r="I1004" s="900"/>
      <c r="J1004" s="900"/>
      <c r="K1004" s="900"/>
      <c r="L1004" s="900"/>
      <c r="M1004" s="900"/>
      <c r="N1004" s="900"/>
      <c r="O1004" s="900"/>
      <c r="P1004" s="900"/>
    </row>
    <row r="1005" spans="3:16" ht="14.25">
      <c r="C1005" s="900"/>
      <c r="D1005" s="900"/>
      <c r="E1005" s="900"/>
      <c r="F1005" s="900"/>
      <c r="G1005" s="900"/>
      <c r="H1005" s="900"/>
      <c r="I1005" s="900"/>
      <c r="J1005" s="900"/>
      <c r="K1005" s="900"/>
      <c r="L1005" s="900"/>
      <c r="M1005" s="900"/>
      <c r="N1005" s="900"/>
      <c r="O1005" s="900"/>
      <c r="P1005" s="900"/>
    </row>
    <row r="1006" spans="3:16" ht="14.25">
      <c r="C1006" s="900"/>
      <c r="D1006" s="900"/>
      <c r="E1006" s="900"/>
      <c r="F1006" s="900"/>
      <c r="G1006" s="900"/>
      <c r="H1006" s="900"/>
      <c r="I1006" s="900"/>
      <c r="J1006" s="900"/>
      <c r="K1006" s="900"/>
      <c r="L1006" s="900"/>
      <c r="M1006" s="900"/>
      <c r="N1006" s="900"/>
      <c r="O1006" s="900"/>
      <c r="P1006" s="900"/>
    </row>
    <row r="1007" spans="3:16" ht="14.25">
      <c r="C1007" s="900"/>
      <c r="D1007" s="900"/>
      <c r="E1007" s="900"/>
      <c r="F1007" s="900"/>
      <c r="G1007" s="900"/>
      <c r="H1007" s="900"/>
      <c r="I1007" s="900"/>
      <c r="J1007" s="900"/>
      <c r="K1007" s="900"/>
      <c r="L1007" s="900"/>
      <c r="M1007" s="900"/>
      <c r="N1007" s="900"/>
      <c r="O1007" s="900"/>
      <c r="P1007" s="900"/>
    </row>
    <row r="1008" spans="3:16" ht="14.25">
      <c r="C1008" s="900"/>
      <c r="D1008" s="900"/>
      <c r="E1008" s="900"/>
      <c r="F1008" s="900"/>
      <c r="G1008" s="900"/>
      <c r="H1008" s="900"/>
      <c r="I1008" s="900"/>
      <c r="J1008" s="900"/>
      <c r="K1008" s="900"/>
      <c r="L1008" s="900"/>
      <c r="M1008" s="900"/>
      <c r="N1008" s="900"/>
      <c r="O1008" s="900"/>
      <c r="P1008" s="900"/>
    </row>
    <row r="1009" spans="3:16" ht="14.25">
      <c r="C1009" s="900"/>
      <c r="D1009" s="900"/>
      <c r="E1009" s="900"/>
      <c r="F1009" s="900"/>
      <c r="G1009" s="900"/>
      <c r="H1009" s="900"/>
      <c r="I1009" s="900"/>
      <c r="J1009" s="900"/>
      <c r="K1009" s="900"/>
      <c r="L1009" s="900"/>
      <c r="M1009" s="900"/>
      <c r="N1009" s="900"/>
      <c r="O1009" s="900"/>
      <c r="P1009" s="900"/>
    </row>
    <row r="1010" spans="3:16" ht="14.25">
      <c r="C1010" s="900"/>
      <c r="D1010" s="900"/>
      <c r="E1010" s="900"/>
      <c r="F1010" s="900"/>
      <c r="G1010" s="900"/>
      <c r="H1010" s="900"/>
      <c r="I1010" s="900"/>
      <c r="J1010" s="900"/>
      <c r="K1010" s="900"/>
      <c r="L1010" s="900"/>
      <c r="M1010" s="900"/>
      <c r="N1010" s="900"/>
      <c r="O1010" s="900"/>
      <c r="P1010" s="900"/>
    </row>
    <row r="1011" spans="3:16" ht="14.25">
      <c r="C1011" s="900"/>
      <c r="D1011" s="900"/>
      <c r="E1011" s="900"/>
      <c r="F1011" s="900"/>
      <c r="G1011" s="900"/>
      <c r="H1011" s="900"/>
      <c r="I1011" s="900"/>
      <c r="J1011" s="900"/>
      <c r="K1011" s="900"/>
      <c r="L1011" s="900"/>
      <c r="M1011" s="900"/>
      <c r="N1011" s="900"/>
      <c r="O1011" s="900"/>
      <c r="P1011" s="900"/>
    </row>
    <row r="1012" spans="3:16" ht="14.25">
      <c r="C1012" s="900"/>
      <c r="D1012" s="900"/>
      <c r="E1012" s="900"/>
      <c r="F1012" s="900"/>
      <c r="G1012" s="900"/>
      <c r="H1012" s="900"/>
      <c r="I1012" s="900"/>
      <c r="J1012" s="900"/>
      <c r="K1012" s="900"/>
      <c r="L1012" s="900"/>
      <c r="M1012" s="900"/>
      <c r="N1012" s="900"/>
      <c r="O1012" s="900"/>
      <c r="P1012" s="900"/>
    </row>
    <row r="1013" spans="3:16" ht="14.25">
      <c r="C1013" s="900"/>
      <c r="D1013" s="900"/>
      <c r="E1013" s="900"/>
      <c r="F1013" s="900"/>
      <c r="G1013" s="900"/>
      <c r="H1013" s="900"/>
      <c r="I1013" s="900"/>
      <c r="J1013" s="900"/>
      <c r="K1013" s="900"/>
      <c r="L1013" s="900"/>
      <c r="M1013" s="900"/>
      <c r="N1013" s="900"/>
      <c r="O1013" s="900"/>
      <c r="P1013" s="900"/>
    </row>
    <row r="1014" spans="3:16" ht="14.25">
      <c r="C1014" s="900"/>
      <c r="D1014" s="900"/>
      <c r="E1014" s="900"/>
      <c r="F1014" s="900"/>
      <c r="G1014" s="900"/>
      <c r="H1014" s="900"/>
      <c r="I1014" s="900"/>
      <c r="J1014" s="900"/>
      <c r="K1014" s="900"/>
      <c r="L1014" s="900"/>
      <c r="M1014" s="900"/>
      <c r="N1014" s="900"/>
      <c r="O1014" s="900"/>
      <c r="P1014" s="900"/>
    </row>
    <row r="1015" spans="3:16" ht="14.25">
      <c r="C1015" s="900"/>
      <c r="D1015" s="900"/>
      <c r="E1015" s="900"/>
      <c r="F1015" s="900"/>
      <c r="G1015" s="900"/>
      <c r="H1015" s="900"/>
      <c r="I1015" s="900"/>
      <c r="J1015" s="900"/>
      <c r="K1015" s="900"/>
      <c r="L1015" s="900"/>
      <c r="M1015" s="900"/>
      <c r="N1015" s="900"/>
      <c r="O1015" s="900"/>
      <c r="P1015" s="900"/>
    </row>
    <row r="1016" spans="3:16" ht="14.25">
      <c r="C1016" s="900"/>
      <c r="D1016" s="900"/>
      <c r="E1016" s="900"/>
      <c r="F1016" s="900"/>
      <c r="G1016" s="900"/>
      <c r="H1016" s="900"/>
      <c r="I1016" s="900"/>
      <c r="J1016" s="900"/>
      <c r="K1016" s="900"/>
      <c r="L1016" s="900"/>
      <c r="M1016" s="900"/>
      <c r="N1016" s="900"/>
      <c r="O1016" s="900"/>
      <c r="P1016" s="900"/>
    </row>
    <row r="1017" spans="3:16" ht="14.25">
      <c r="C1017" s="900"/>
      <c r="D1017" s="900"/>
      <c r="E1017" s="900"/>
      <c r="F1017" s="900"/>
      <c r="G1017" s="900"/>
      <c r="H1017" s="900"/>
      <c r="I1017" s="900"/>
      <c r="J1017" s="900"/>
      <c r="K1017" s="900"/>
      <c r="L1017" s="900"/>
      <c r="M1017" s="900"/>
      <c r="N1017" s="900"/>
      <c r="O1017" s="900"/>
      <c r="P1017" s="900"/>
    </row>
    <row r="1018" spans="3:16" ht="14.25">
      <c r="C1018" s="900"/>
      <c r="D1018" s="900"/>
      <c r="E1018" s="900"/>
      <c r="F1018" s="900"/>
      <c r="G1018" s="900"/>
      <c r="H1018" s="900"/>
      <c r="I1018" s="900"/>
      <c r="J1018" s="900"/>
      <c r="K1018" s="900"/>
      <c r="L1018" s="900"/>
      <c r="M1018" s="900"/>
      <c r="N1018" s="900"/>
      <c r="O1018" s="900"/>
      <c r="P1018" s="900"/>
    </row>
    <row r="1019" spans="3:16" ht="14.25">
      <c r="C1019" s="900"/>
      <c r="D1019" s="900"/>
      <c r="E1019" s="900"/>
      <c r="F1019" s="900"/>
      <c r="G1019" s="900"/>
      <c r="H1019" s="900"/>
      <c r="I1019" s="900"/>
      <c r="J1019" s="900"/>
      <c r="K1019" s="900"/>
      <c r="L1019" s="900"/>
      <c r="M1019" s="900"/>
      <c r="N1019" s="900"/>
      <c r="O1019" s="900"/>
      <c r="P1019" s="900"/>
    </row>
    <row r="1020" spans="3:16" ht="14.25">
      <c r="C1020" s="900"/>
      <c r="D1020" s="900"/>
      <c r="E1020" s="900"/>
      <c r="F1020" s="900"/>
      <c r="G1020" s="900"/>
      <c r="H1020" s="900"/>
      <c r="I1020" s="900"/>
      <c r="J1020" s="900"/>
      <c r="K1020" s="900"/>
      <c r="L1020" s="900"/>
      <c r="M1020" s="900"/>
      <c r="N1020" s="900"/>
      <c r="O1020" s="900"/>
      <c r="P1020" s="900"/>
    </row>
    <row r="1021" spans="3:16" ht="14.25">
      <c r="C1021" s="900"/>
      <c r="D1021" s="900"/>
      <c r="E1021" s="900"/>
      <c r="F1021" s="900"/>
      <c r="G1021" s="900"/>
      <c r="H1021" s="900"/>
      <c r="I1021" s="900"/>
      <c r="J1021" s="900"/>
      <c r="K1021" s="900"/>
      <c r="L1021" s="900"/>
      <c r="M1021" s="900"/>
      <c r="N1021" s="900"/>
      <c r="O1021" s="900"/>
      <c r="P1021" s="900"/>
    </row>
    <row r="1022" spans="3:16" ht="14.25">
      <c r="C1022" s="900"/>
      <c r="D1022" s="900"/>
      <c r="E1022" s="900"/>
      <c r="F1022" s="900"/>
      <c r="G1022" s="900"/>
      <c r="H1022" s="900"/>
      <c r="I1022" s="900"/>
      <c r="J1022" s="900"/>
      <c r="K1022" s="900"/>
      <c r="L1022" s="900"/>
      <c r="M1022" s="900"/>
      <c r="N1022" s="900"/>
      <c r="O1022" s="900"/>
      <c r="P1022" s="900"/>
    </row>
    <row r="1023" spans="3:16" ht="14.25">
      <c r="C1023" s="900"/>
      <c r="D1023" s="900"/>
      <c r="E1023" s="900"/>
      <c r="F1023" s="900"/>
      <c r="G1023" s="900"/>
      <c r="H1023" s="900"/>
      <c r="I1023" s="900"/>
      <c r="J1023" s="900"/>
      <c r="K1023" s="900"/>
      <c r="L1023" s="900"/>
      <c r="M1023" s="900"/>
      <c r="N1023" s="900"/>
      <c r="O1023" s="900"/>
      <c r="P1023" s="900"/>
    </row>
    <row r="1024" spans="3:16" ht="14.25">
      <c r="C1024" s="900"/>
      <c r="D1024" s="900"/>
      <c r="E1024" s="900"/>
      <c r="F1024" s="900"/>
      <c r="G1024" s="900"/>
      <c r="H1024" s="900"/>
      <c r="I1024" s="900"/>
      <c r="J1024" s="900"/>
      <c r="K1024" s="900"/>
      <c r="L1024" s="900"/>
      <c r="M1024" s="900"/>
      <c r="N1024" s="900"/>
      <c r="O1024" s="900"/>
      <c r="P1024" s="900"/>
    </row>
    <row r="1025" spans="3:16" ht="14.25">
      <c r="C1025" s="900"/>
      <c r="D1025" s="900"/>
      <c r="E1025" s="900"/>
      <c r="F1025" s="900"/>
      <c r="G1025" s="900"/>
      <c r="H1025" s="900"/>
      <c r="I1025" s="900"/>
      <c r="J1025" s="900"/>
      <c r="K1025" s="900"/>
      <c r="L1025" s="900"/>
      <c r="M1025" s="900"/>
      <c r="N1025" s="900"/>
      <c r="O1025" s="900"/>
      <c r="P1025" s="900"/>
    </row>
    <row r="1026" spans="3:16" ht="14.25">
      <c r="C1026" s="900"/>
      <c r="D1026" s="900"/>
      <c r="E1026" s="900"/>
      <c r="F1026" s="900"/>
      <c r="G1026" s="900"/>
      <c r="H1026" s="900"/>
      <c r="I1026" s="900"/>
      <c r="J1026" s="900"/>
      <c r="K1026" s="900"/>
      <c r="L1026" s="900"/>
      <c r="M1026" s="900"/>
      <c r="N1026" s="900"/>
      <c r="O1026" s="900"/>
      <c r="P1026" s="900"/>
    </row>
    <row r="1027" spans="3:16" ht="14.25">
      <c r="C1027" s="900"/>
      <c r="D1027" s="900"/>
      <c r="E1027" s="900"/>
      <c r="F1027" s="900"/>
      <c r="G1027" s="900"/>
      <c r="H1027" s="900"/>
      <c r="I1027" s="900"/>
      <c r="J1027" s="900"/>
      <c r="K1027" s="900"/>
      <c r="L1027" s="900"/>
      <c r="M1027" s="900"/>
      <c r="N1027" s="900"/>
      <c r="O1027" s="900"/>
      <c r="P1027" s="900"/>
    </row>
    <row r="1028" spans="3:16" ht="14.25">
      <c r="C1028" s="900"/>
      <c r="D1028" s="900"/>
      <c r="E1028" s="900"/>
      <c r="F1028" s="900"/>
      <c r="G1028" s="900"/>
      <c r="H1028" s="900"/>
      <c r="I1028" s="900"/>
      <c r="J1028" s="900"/>
      <c r="K1028" s="900"/>
      <c r="L1028" s="900"/>
      <c r="M1028" s="900"/>
      <c r="N1028" s="900"/>
      <c r="O1028" s="900"/>
      <c r="P1028" s="900"/>
    </row>
    <row r="1029" spans="3:16" ht="14.25">
      <c r="C1029" s="900"/>
      <c r="D1029" s="900"/>
      <c r="E1029" s="900"/>
      <c r="F1029" s="900"/>
      <c r="G1029" s="900"/>
      <c r="H1029" s="900"/>
      <c r="I1029" s="900"/>
      <c r="J1029" s="900"/>
      <c r="K1029" s="900"/>
      <c r="L1029" s="900"/>
      <c r="M1029" s="900"/>
      <c r="N1029" s="900"/>
      <c r="O1029" s="900"/>
      <c r="P1029" s="900"/>
    </row>
    <row r="1030" spans="3:16" ht="14.25">
      <c r="C1030" s="900"/>
      <c r="D1030" s="900"/>
      <c r="E1030" s="900"/>
      <c r="F1030" s="900"/>
      <c r="G1030" s="900"/>
      <c r="H1030" s="900"/>
      <c r="I1030" s="900"/>
      <c r="J1030" s="900"/>
      <c r="K1030" s="900"/>
      <c r="L1030" s="900"/>
      <c r="M1030" s="900"/>
      <c r="N1030" s="900"/>
      <c r="O1030" s="900"/>
      <c r="P1030" s="900"/>
    </row>
    <row r="1031" spans="3:16" ht="14.25">
      <c r="C1031" s="900"/>
      <c r="D1031" s="900"/>
      <c r="E1031" s="900"/>
      <c r="F1031" s="900"/>
      <c r="G1031" s="900"/>
      <c r="H1031" s="900"/>
      <c r="I1031" s="900"/>
      <c r="J1031" s="900"/>
      <c r="K1031" s="900"/>
      <c r="L1031" s="900"/>
      <c r="M1031" s="900"/>
      <c r="N1031" s="900"/>
      <c r="O1031" s="900"/>
      <c r="P1031" s="900"/>
    </row>
    <row r="1032" spans="3:16" ht="14.25">
      <c r="C1032" s="900"/>
      <c r="D1032" s="900"/>
      <c r="E1032" s="900"/>
      <c r="F1032" s="900"/>
      <c r="G1032" s="900"/>
      <c r="H1032" s="900"/>
      <c r="I1032" s="900"/>
      <c r="J1032" s="900"/>
      <c r="K1032" s="900"/>
      <c r="L1032" s="900"/>
      <c r="M1032" s="900"/>
      <c r="N1032" s="900"/>
      <c r="O1032" s="900"/>
      <c r="P1032" s="900"/>
    </row>
    <row r="1033" spans="3:16" ht="14.25">
      <c r="C1033" s="900"/>
      <c r="D1033" s="900"/>
      <c r="E1033" s="900"/>
      <c r="F1033" s="900"/>
      <c r="G1033" s="900"/>
      <c r="H1033" s="900"/>
      <c r="I1033" s="900"/>
      <c r="J1033" s="900"/>
      <c r="K1033" s="900"/>
      <c r="L1033" s="900"/>
      <c r="M1033" s="900"/>
      <c r="N1033" s="900"/>
      <c r="O1033" s="900"/>
      <c r="P1033" s="900"/>
    </row>
    <row r="1034" spans="3:16" ht="14.25">
      <c r="C1034" s="900"/>
      <c r="D1034" s="900"/>
      <c r="E1034" s="900"/>
      <c r="F1034" s="900"/>
      <c r="G1034" s="900"/>
      <c r="H1034" s="900"/>
      <c r="I1034" s="900"/>
      <c r="J1034" s="900"/>
      <c r="K1034" s="900"/>
      <c r="L1034" s="900"/>
      <c r="M1034" s="900"/>
      <c r="N1034" s="900"/>
      <c r="O1034" s="900"/>
      <c r="P1034" s="900"/>
    </row>
    <row r="1035" spans="3:16" ht="14.25">
      <c r="C1035" s="900"/>
      <c r="D1035" s="900"/>
      <c r="E1035" s="900"/>
      <c r="F1035" s="900"/>
      <c r="G1035" s="900"/>
      <c r="H1035" s="900"/>
      <c r="I1035" s="900"/>
      <c r="J1035" s="900"/>
      <c r="K1035" s="900"/>
      <c r="L1035" s="900"/>
      <c r="M1035" s="900"/>
      <c r="N1035" s="900"/>
      <c r="O1035" s="900"/>
      <c r="P1035" s="900"/>
    </row>
    <row r="1036" spans="3:16" ht="14.25">
      <c r="C1036" s="900"/>
      <c r="D1036" s="900"/>
      <c r="E1036" s="900"/>
      <c r="F1036" s="900"/>
      <c r="G1036" s="900"/>
      <c r="H1036" s="900"/>
      <c r="I1036" s="900"/>
      <c r="J1036" s="900"/>
      <c r="K1036" s="900"/>
      <c r="L1036" s="900"/>
      <c r="M1036" s="900"/>
      <c r="N1036" s="900"/>
      <c r="O1036" s="900"/>
      <c r="P1036" s="900"/>
    </row>
    <row r="1037" spans="3:16" ht="14.25">
      <c r="C1037" s="900"/>
      <c r="D1037" s="900"/>
      <c r="E1037" s="900"/>
      <c r="F1037" s="900"/>
      <c r="G1037" s="900"/>
      <c r="H1037" s="900"/>
      <c r="I1037" s="900"/>
      <c r="J1037" s="900"/>
      <c r="K1037" s="900"/>
      <c r="L1037" s="900"/>
      <c r="M1037" s="900"/>
      <c r="N1037" s="900"/>
      <c r="O1037" s="900"/>
      <c r="P1037" s="900"/>
    </row>
    <row r="1038" spans="3:16" ht="14.25">
      <c r="C1038" s="900"/>
      <c r="D1038" s="900"/>
      <c r="E1038" s="900"/>
      <c r="F1038" s="900"/>
      <c r="G1038" s="900"/>
      <c r="H1038" s="900"/>
      <c r="I1038" s="900"/>
      <c r="J1038" s="900"/>
      <c r="K1038" s="900"/>
      <c r="L1038" s="900"/>
      <c r="M1038" s="900"/>
      <c r="N1038" s="900"/>
      <c r="O1038" s="900"/>
      <c r="P1038" s="900"/>
    </row>
    <row r="1039" spans="3:16" ht="14.25">
      <c r="C1039" s="900"/>
      <c r="D1039" s="900"/>
      <c r="E1039" s="900"/>
      <c r="F1039" s="900"/>
      <c r="G1039" s="900"/>
      <c r="H1039" s="900"/>
      <c r="I1039" s="900"/>
      <c r="J1039" s="900"/>
      <c r="K1039" s="900"/>
      <c r="L1039" s="900"/>
      <c r="M1039" s="900"/>
      <c r="N1039" s="900"/>
      <c r="O1039" s="900"/>
      <c r="P1039" s="900"/>
    </row>
    <row r="1040" spans="3:16" ht="14.25">
      <c r="C1040" s="900"/>
      <c r="D1040" s="900"/>
      <c r="E1040" s="900"/>
      <c r="F1040" s="900"/>
      <c r="G1040" s="900"/>
      <c r="H1040" s="900"/>
      <c r="I1040" s="900"/>
      <c r="J1040" s="900"/>
      <c r="K1040" s="900"/>
      <c r="L1040" s="900"/>
      <c r="M1040" s="900"/>
      <c r="N1040" s="900"/>
      <c r="O1040" s="900"/>
      <c r="P1040" s="900"/>
    </row>
    <row r="1041" spans="3:16" ht="14.25">
      <c r="C1041" s="900"/>
      <c r="D1041" s="900"/>
      <c r="E1041" s="900"/>
      <c r="F1041" s="900"/>
      <c r="G1041" s="900"/>
      <c r="H1041" s="900"/>
      <c r="I1041" s="900"/>
      <c r="J1041" s="900"/>
      <c r="K1041" s="900"/>
      <c r="L1041" s="900"/>
      <c r="M1041" s="900"/>
      <c r="N1041" s="900"/>
      <c r="O1041" s="900"/>
      <c r="P1041" s="900"/>
    </row>
    <row r="1042" spans="3:16" ht="14.25">
      <c r="C1042" s="900"/>
      <c r="D1042" s="900"/>
      <c r="E1042" s="900"/>
      <c r="F1042" s="900"/>
      <c r="G1042" s="900"/>
      <c r="H1042" s="900"/>
      <c r="I1042" s="900"/>
      <c r="J1042" s="900"/>
      <c r="K1042" s="900"/>
      <c r="L1042" s="900"/>
      <c r="M1042" s="900"/>
      <c r="N1042" s="900"/>
      <c r="O1042" s="900"/>
      <c r="P1042" s="900"/>
    </row>
    <row r="1043" spans="3:16" ht="14.25">
      <c r="C1043" s="900"/>
      <c r="D1043" s="900"/>
      <c r="E1043" s="900"/>
      <c r="F1043" s="900"/>
      <c r="G1043" s="900"/>
      <c r="H1043" s="900"/>
      <c r="I1043" s="900"/>
      <c r="J1043" s="900"/>
      <c r="K1043" s="900"/>
      <c r="L1043" s="900"/>
      <c r="M1043" s="900"/>
      <c r="N1043" s="900"/>
      <c r="O1043" s="900"/>
      <c r="P1043" s="900"/>
    </row>
    <row r="1044" spans="3:16" ht="14.25">
      <c r="C1044" s="900"/>
      <c r="D1044" s="900"/>
      <c r="E1044" s="900"/>
      <c r="F1044" s="900"/>
      <c r="G1044" s="900"/>
      <c r="H1044" s="900"/>
      <c r="I1044" s="900"/>
      <c r="J1044" s="900"/>
      <c r="K1044" s="900"/>
      <c r="L1044" s="900"/>
      <c r="M1044" s="900"/>
      <c r="N1044" s="900"/>
      <c r="O1044" s="900"/>
      <c r="P1044" s="900"/>
    </row>
    <row r="1045" spans="3:16" ht="14.25">
      <c r="C1045" s="900"/>
      <c r="D1045" s="900"/>
      <c r="E1045" s="900"/>
      <c r="F1045" s="900"/>
      <c r="G1045" s="900"/>
      <c r="H1045" s="900"/>
      <c r="I1045" s="900"/>
      <c r="J1045" s="900"/>
      <c r="K1045" s="900"/>
      <c r="L1045" s="900"/>
      <c r="M1045" s="900"/>
      <c r="N1045" s="900"/>
      <c r="O1045" s="900"/>
      <c r="P1045" s="900"/>
    </row>
    <row r="1046" spans="3:16" ht="14.25">
      <c r="C1046" s="900"/>
      <c r="D1046" s="900"/>
      <c r="E1046" s="900"/>
      <c r="F1046" s="900"/>
      <c r="G1046" s="900"/>
      <c r="H1046" s="900"/>
      <c r="I1046" s="900"/>
      <c r="J1046" s="900"/>
      <c r="K1046" s="900"/>
      <c r="L1046" s="900"/>
      <c r="M1046" s="900"/>
      <c r="N1046" s="900"/>
      <c r="O1046" s="900"/>
      <c r="P1046" s="900"/>
    </row>
    <row r="1047" spans="3:16" ht="14.25">
      <c r="C1047" s="900"/>
      <c r="D1047" s="900"/>
      <c r="E1047" s="900"/>
      <c r="F1047" s="900"/>
      <c r="G1047" s="900"/>
      <c r="H1047" s="900"/>
      <c r="I1047" s="900"/>
      <c r="J1047" s="900"/>
      <c r="K1047" s="900"/>
      <c r="L1047" s="900"/>
      <c r="M1047" s="900"/>
      <c r="N1047" s="900"/>
      <c r="O1047" s="900"/>
      <c r="P1047" s="900"/>
    </row>
    <row r="1048" spans="3:16" ht="14.25">
      <c r="C1048" s="900"/>
      <c r="D1048" s="900"/>
      <c r="E1048" s="900"/>
      <c r="F1048" s="900"/>
      <c r="G1048" s="900"/>
      <c r="H1048" s="900"/>
      <c r="I1048" s="900"/>
      <c r="J1048" s="900"/>
      <c r="K1048" s="900"/>
      <c r="L1048" s="900"/>
      <c r="M1048" s="900"/>
      <c r="N1048" s="900"/>
      <c r="O1048" s="900"/>
      <c r="P1048" s="900"/>
    </row>
    <row r="1049" spans="3:16" ht="14.25">
      <c r="C1049" s="900"/>
      <c r="D1049" s="900"/>
      <c r="E1049" s="900"/>
      <c r="F1049" s="900"/>
      <c r="G1049" s="900"/>
      <c r="H1049" s="900"/>
      <c r="I1049" s="900"/>
      <c r="J1049" s="900"/>
      <c r="K1049" s="900"/>
      <c r="L1049" s="900"/>
      <c r="M1049" s="900"/>
      <c r="N1049" s="900"/>
      <c r="O1049" s="900"/>
      <c r="P1049" s="900"/>
    </row>
    <row r="1050" spans="3:16" ht="14.25">
      <c r="C1050" s="900"/>
      <c r="D1050" s="900"/>
      <c r="E1050" s="900"/>
      <c r="F1050" s="900"/>
      <c r="G1050" s="900"/>
      <c r="H1050" s="900"/>
      <c r="I1050" s="900"/>
      <c r="J1050" s="900"/>
      <c r="K1050" s="900"/>
      <c r="L1050" s="900"/>
      <c r="M1050" s="900"/>
      <c r="N1050" s="900"/>
      <c r="O1050" s="900"/>
      <c r="P1050" s="900"/>
    </row>
    <row r="1051" spans="3:16" ht="14.25">
      <c r="C1051" s="900"/>
      <c r="D1051" s="900"/>
      <c r="E1051" s="900"/>
      <c r="F1051" s="900"/>
      <c r="G1051" s="900"/>
      <c r="H1051" s="900"/>
      <c r="I1051" s="900"/>
      <c r="J1051" s="900"/>
      <c r="K1051" s="900"/>
      <c r="L1051" s="900"/>
      <c r="M1051" s="900"/>
      <c r="N1051" s="900"/>
      <c r="O1051" s="900"/>
      <c r="P1051" s="900"/>
    </row>
    <row r="1052" spans="3:16" ht="14.25">
      <c r="C1052" s="900"/>
      <c r="D1052" s="900"/>
      <c r="E1052" s="900"/>
      <c r="F1052" s="900"/>
      <c r="G1052" s="900"/>
      <c r="H1052" s="900"/>
      <c r="I1052" s="900"/>
      <c r="J1052" s="900"/>
      <c r="K1052" s="900"/>
      <c r="L1052" s="900"/>
      <c r="M1052" s="900"/>
      <c r="N1052" s="900"/>
      <c r="O1052" s="900"/>
      <c r="P1052" s="900"/>
    </row>
    <row r="1053" spans="3:16" ht="14.25">
      <c r="C1053" s="900"/>
      <c r="D1053" s="900"/>
      <c r="E1053" s="900"/>
      <c r="F1053" s="900"/>
      <c r="G1053" s="900"/>
      <c r="H1053" s="900"/>
      <c r="I1053" s="900"/>
      <c r="J1053" s="900"/>
      <c r="K1053" s="900"/>
      <c r="L1053" s="900"/>
      <c r="M1053" s="900"/>
      <c r="N1053" s="900"/>
      <c r="O1053" s="900"/>
      <c r="P1053" s="900"/>
    </row>
    <row r="1054" spans="3:16" ht="14.25">
      <c r="C1054" s="900"/>
      <c r="D1054" s="900"/>
      <c r="E1054" s="900"/>
      <c r="F1054" s="900"/>
      <c r="G1054" s="900"/>
      <c r="H1054" s="900"/>
      <c r="I1054" s="900"/>
      <c r="J1054" s="900"/>
      <c r="K1054" s="900"/>
      <c r="L1054" s="900"/>
      <c r="M1054" s="900"/>
      <c r="N1054" s="900"/>
      <c r="O1054" s="900"/>
      <c r="P1054" s="900"/>
    </row>
    <row r="1055" spans="3:16" ht="14.25">
      <c r="C1055" s="900"/>
      <c r="D1055" s="900"/>
      <c r="E1055" s="900"/>
      <c r="F1055" s="900"/>
      <c r="G1055" s="900"/>
      <c r="H1055" s="900"/>
      <c r="I1055" s="900"/>
      <c r="J1055" s="900"/>
      <c r="K1055" s="900"/>
      <c r="L1055" s="900"/>
      <c r="M1055" s="900"/>
      <c r="N1055" s="900"/>
      <c r="O1055" s="900"/>
      <c r="P1055" s="900"/>
    </row>
    <row r="1056" spans="3:16" ht="14.25">
      <c r="C1056" s="900"/>
      <c r="D1056" s="900"/>
      <c r="E1056" s="900"/>
      <c r="F1056" s="900"/>
      <c r="G1056" s="900"/>
      <c r="H1056" s="900"/>
      <c r="I1056" s="900"/>
      <c r="J1056" s="900"/>
      <c r="K1056" s="900"/>
      <c r="L1056" s="900"/>
      <c r="M1056" s="900"/>
      <c r="N1056" s="900"/>
      <c r="O1056" s="900"/>
      <c r="P1056" s="900"/>
    </row>
    <row r="1057" spans="3:16" ht="14.25">
      <c r="C1057" s="900"/>
      <c r="D1057" s="900"/>
      <c r="E1057" s="900"/>
      <c r="F1057" s="900"/>
      <c r="G1057" s="900"/>
      <c r="H1057" s="900"/>
      <c r="I1057" s="900"/>
      <c r="J1057" s="900"/>
      <c r="K1057" s="900"/>
      <c r="L1057" s="900"/>
      <c r="M1057" s="900"/>
      <c r="N1057" s="900"/>
      <c r="O1057" s="900"/>
      <c r="P1057" s="900"/>
    </row>
    <row r="1058" spans="3:16" ht="14.25">
      <c r="C1058" s="900"/>
      <c r="D1058" s="900"/>
      <c r="E1058" s="900"/>
      <c r="F1058" s="900"/>
      <c r="G1058" s="900"/>
      <c r="H1058" s="900"/>
      <c r="I1058" s="900"/>
      <c r="J1058" s="900"/>
      <c r="K1058" s="900"/>
      <c r="L1058" s="900"/>
      <c r="M1058" s="900"/>
      <c r="N1058" s="900"/>
      <c r="O1058" s="900"/>
      <c r="P1058" s="900"/>
    </row>
    <row r="1059" spans="3:16" ht="14.25">
      <c r="C1059" s="900"/>
      <c r="D1059" s="900"/>
      <c r="E1059" s="900"/>
      <c r="F1059" s="900"/>
      <c r="G1059" s="900"/>
      <c r="H1059" s="900"/>
      <c r="I1059" s="900"/>
      <c r="J1059" s="900"/>
      <c r="K1059" s="900"/>
      <c r="L1059" s="900"/>
      <c r="M1059" s="900"/>
      <c r="N1059" s="900"/>
      <c r="O1059" s="900"/>
      <c r="P1059" s="900"/>
    </row>
    <row r="1060" spans="3:16" ht="14.25">
      <c r="C1060" s="900"/>
      <c r="D1060" s="900"/>
      <c r="E1060" s="900"/>
      <c r="F1060" s="900"/>
      <c r="G1060" s="900"/>
      <c r="H1060" s="900"/>
      <c r="I1060" s="900"/>
      <c r="J1060" s="900"/>
      <c r="K1060" s="900"/>
      <c r="L1060" s="900"/>
      <c r="M1060" s="900"/>
      <c r="N1060" s="900"/>
      <c r="O1060" s="900"/>
      <c r="P1060" s="900"/>
    </row>
    <row r="1061" spans="3:16" ht="14.25">
      <c r="C1061" s="900"/>
      <c r="D1061" s="900"/>
      <c r="E1061" s="900"/>
      <c r="F1061" s="900"/>
      <c r="G1061" s="900"/>
      <c r="H1061" s="900"/>
      <c r="I1061" s="900"/>
      <c r="J1061" s="900"/>
      <c r="K1061" s="900"/>
      <c r="L1061" s="900"/>
      <c r="M1061" s="900"/>
      <c r="N1061" s="900"/>
      <c r="O1061" s="900"/>
      <c r="P1061" s="900"/>
    </row>
    <row r="1062" spans="3:16" ht="14.25">
      <c r="C1062" s="900"/>
      <c r="D1062" s="900"/>
      <c r="E1062" s="900"/>
      <c r="F1062" s="900"/>
      <c r="G1062" s="900"/>
      <c r="H1062" s="900"/>
      <c r="I1062" s="900"/>
      <c r="J1062" s="900"/>
      <c r="K1062" s="900"/>
      <c r="L1062" s="900"/>
      <c r="M1062" s="900"/>
      <c r="N1062" s="900"/>
      <c r="O1062" s="900"/>
      <c r="P1062" s="900"/>
    </row>
    <row r="1063" spans="3:16" ht="14.25">
      <c r="C1063" s="900"/>
      <c r="D1063" s="900"/>
      <c r="E1063" s="900"/>
      <c r="F1063" s="900"/>
      <c r="G1063" s="900"/>
      <c r="H1063" s="900"/>
      <c r="I1063" s="900"/>
      <c r="J1063" s="900"/>
      <c r="K1063" s="900"/>
      <c r="L1063" s="900"/>
      <c r="M1063" s="900"/>
      <c r="N1063" s="900"/>
      <c r="O1063" s="900"/>
      <c r="P1063" s="900"/>
    </row>
    <row r="1064" spans="3:16" ht="14.25">
      <c r="C1064" s="900"/>
      <c r="D1064" s="900"/>
      <c r="E1064" s="900"/>
      <c r="F1064" s="900"/>
      <c r="G1064" s="900"/>
      <c r="H1064" s="900"/>
      <c r="I1064" s="900"/>
      <c r="J1064" s="900"/>
      <c r="K1064" s="900"/>
      <c r="L1064" s="900"/>
      <c r="M1064" s="900"/>
      <c r="N1064" s="900"/>
      <c r="O1064" s="900"/>
      <c r="P1064" s="900"/>
    </row>
    <row r="1065" spans="3:16" ht="14.25">
      <c r="C1065" s="900"/>
      <c r="D1065" s="900"/>
      <c r="E1065" s="900"/>
      <c r="F1065" s="900"/>
      <c r="G1065" s="900"/>
      <c r="H1065" s="900"/>
      <c r="I1065" s="900"/>
      <c r="J1065" s="900"/>
      <c r="K1065" s="900"/>
      <c r="L1065" s="900"/>
      <c r="M1065" s="900"/>
      <c r="N1065" s="900"/>
      <c r="O1065" s="900"/>
      <c r="P1065" s="900"/>
    </row>
    <row r="1066" spans="3:16" ht="14.25">
      <c r="C1066" s="900"/>
      <c r="D1066" s="900"/>
      <c r="E1066" s="900"/>
      <c r="F1066" s="900"/>
      <c r="G1066" s="900"/>
      <c r="H1066" s="900"/>
      <c r="I1066" s="900"/>
      <c r="J1066" s="900"/>
      <c r="K1066" s="900"/>
      <c r="L1066" s="900"/>
      <c r="M1066" s="900"/>
      <c r="N1066" s="900"/>
      <c r="O1066" s="900"/>
      <c r="P1066" s="900"/>
    </row>
    <row r="1067" spans="3:16" ht="14.25">
      <c r="C1067" s="900"/>
      <c r="D1067" s="900"/>
      <c r="E1067" s="900"/>
      <c r="F1067" s="900"/>
      <c r="G1067" s="900"/>
      <c r="H1067" s="900"/>
      <c r="I1067" s="900"/>
      <c r="J1067" s="900"/>
      <c r="K1067" s="900"/>
      <c r="L1067" s="900"/>
      <c r="M1067" s="900"/>
      <c r="N1067" s="900"/>
      <c r="O1067" s="900"/>
      <c r="P1067" s="900"/>
    </row>
    <row r="1068" spans="3:16" ht="14.25">
      <c r="C1068" s="900"/>
      <c r="D1068" s="900"/>
      <c r="E1068" s="900"/>
      <c r="F1068" s="900"/>
      <c r="G1068" s="900"/>
      <c r="H1068" s="900"/>
      <c r="I1068" s="900"/>
      <c r="J1068" s="900"/>
      <c r="K1068" s="900"/>
      <c r="L1068" s="900"/>
      <c r="M1068" s="900"/>
      <c r="N1068" s="900"/>
      <c r="O1068" s="900"/>
      <c r="P1068" s="900"/>
    </row>
    <row r="1069" spans="3:16" ht="14.25">
      <c r="C1069" s="900"/>
      <c r="D1069" s="900"/>
      <c r="E1069" s="900"/>
      <c r="F1069" s="900"/>
      <c r="G1069" s="900"/>
      <c r="H1069" s="900"/>
      <c r="I1069" s="900"/>
      <c r="J1069" s="900"/>
      <c r="K1069" s="900"/>
      <c r="L1069" s="900"/>
      <c r="M1069" s="900"/>
      <c r="N1069" s="900"/>
      <c r="O1069" s="900"/>
      <c r="P1069" s="900"/>
    </row>
    <row r="1070" spans="3:16" ht="14.25">
      <c r="C1070" s="900"/>
      <c r="D1070" s="900"/>
      <c r="E1070" s="900"/>
      <c r="F1070" s="900"/>
      <c r="G1070" s="900"/>
      <c r="H1070" s="900"/>
      <c r="I1070" s="900"/>
      <c r="J1070" s="900"/>
      <c r="K1070" s="900"/>
      <c r="L1070" s="900"/>
      <c r="M1070" s="900"/>
      <c r="N1070" s="900"/>
      <c r="O1070" s="900"/>
      <c r="P1070" s="900"/>
    </row>
    <row r="1071" spans="3:16" ht="14.25">
      <c r="C1071" s="900"/>
      <c r="D1071" s="900"/>
      <c r="E1071" s="900"/>
      <c r="F1071" s="900"/>
      <c r="G1071" s="900"/>
      <c r="H1071" s="900"/>
      <c r="I1071" s="900"/>
      <c r="J1071" s="900"/>
      <c r="K1071" s="900"/>
      <c r="L1071" s="900"/>
      <c r="M1071" s="900"/>
      <c r="N1071" s="900"/>
      <c r="O1071" s="900"/>
      <c r="P1071" s="900"/>
    </row>
    <row r="1072" spans="3:16" ht="14.25">
      <c r="C1072" s="900"/>
      <c r="D1072" s="900"/>
      <c r="E1072" s="900"/>
      <c r="F1072" s="900"/>
      <c r="G1072" s="900"/>
      <c r="H1072" s="900"/>
      <c r="I1072" s="900"/>
      <c r="J1072" s="900"/>
      <c r="K1072" s="900"/>
      <c r="L1072" s="900"/>
      <c r="M1072" s="900"/>
      <c r="N1072" s="900"/>
      <c r="O1072" s="900"/>
      <c r="P1072" s="900"/>
    </row>
    <row r="1073" spans="3:16" ht="14.25">
      <c r="C1073" s="900"/>
      <c r="D1073" s="900"/>
      <c r="E1073" s="900"/>
      <c r="F1073" s="900"/>
      <c r="G1073" s="900"/>
      <c r="H1073" s="900"/>
      <c r="I1073" s="900"/>
      <c r="J1073" s="900"/>
      <c r="K1073" s="900"/>
      <c r="L1073" s="900"/>
      <c r="M1073" s="900"/>
      <c r="N1073" s="900"/>
      <c r="O1073" s="900"/>
      <c r="P1073" s="900"/>
    </row>
    <row r="1074" spans="3:16" ht="14.25">
      <c r="C1074" s="900"/>
      <c r="D1074" s="900"/>
      <c r="E1074" s="900"/>
      <c r="F1074" s="900"/>
      <c r="G1074" s="900"/>
      <c r="H1074" s="900"/>
      <c r="I1074" s="900"/>
      <c r="J1074" s="900"/>
      <c r="K1074" s="900"/>
      <c r="L1074" s="900"/>
      <c r="M1074" s="900"/>
      <c r="N1074" s="900"/>
      <c r="O1074" s="900"/>
      <c r="P1074" s="900"/>
    </row>
    <row r="1075" spans="3:16" ht="14.25">
      <c r="C1075" s="900"/>
      <c r="D1075" s="900"/>
      <c r="E1075" s="900"/>
      <c r="F1075" s="900"/>
      <c r="G1075" s="900"/>
      <c r="H1075" s="900"/>
      <c r="I1075" s="900"/>
      <c r="J1075" s="900"/>
      <c r="K1075" s="900"/>
      <c r="L1075" s="900"/>
      <c r="M1075" s="900"/>
      <c r="N1075" s="900"/>
      <c r="O1075" s="900"/>
      <c r="P1075" s="900"/>
    </row>
    <row r="1076" spans="3:16" ht="14.25">
      <c r="C1076" s="900"/>
      <c r="D1076" s="900"/>
      <c r="E1076" s="900"/>
      <c r="F1076" s="900"/>
      <c r="G1076" s="900"/>
      <c r="H1076" s="900"/>
      <c r="I1076" s="900"/>
      <c r="J1076" s="900"/>
      <c r="K1076" s="900"/>
      <c r="L1076" s="900"/>
      <c r="M1076" s="900"/>
      <c r="N1076" s="900"/>
      <c r="O1076" s="900"/>
      <c r="P1076" s="900"/>
    </row>
    <row r="1077" spans="3:16" ht="14.25">
      <c r="C1077" s="900"/>
      <c r="D1077" s="900"/>
      <c r="E1077" s="900"/>
      <c r="F1077" s="900"/>
      <c r="G1077" s="900"/>
      <c r="H1077" s="900"/>
      <c r="I1077" s="900"/>
      <c r="J1077" s="900"/>
      <c r="K1077" s="900"/>
      <c r="L1077" s="900"/>
      <c r="M1077" s="900"/>
      <c r="N1077" s="900"/>
      <c r="O1077" s="900"/>
      <c r="P1077" s="900"/>
    </row>
    <row r="1078" spans="3:16" ht="14.25">
      <c r="C1078" s="900"/>
      <c r="D1078" s="900"/>
      <c r="E1078" s="900"/>
      <c r="F1078" s="900"/>
      <c r="G1078" s="900"/>
      <c r="H1078" s="900"/>
      <c r="I1078" s="900"/>
      <c r="J1078" s="900"/>
      <c r="K1078" s="900"/>
      <c r="L1078" s="900"/>
      <c r="M1078" s="900"/>
      <c r="N1078" s="900"/>
      <c r="O1078" s="900"/>
      <c r="P1078" s="900"/>
    </row>
    <row r="1079" spans="3:16" ht="14.25">
      <c r="C1079" s="900"/>
      <c r="D1079" s="900"/>
      <c r="E1079" s="900"/>
      <c r="F1079" s="900"/>
      <c r="G1079" s="900"/>
      <c r="H1079" s="900"/>
      <c r="I1079" s="900"/>
      <c r="J1079" s="900"/>
      <c r="K1079" s="900"/>
      <c r="L1079" s="900"/>
      <c r="M1079" s="900"/>
      <c r="N1079" s="900"/>
      <c r="O1079" s="900"/>
      <c r="P1079" s="900"/>
    </row>
    <row r="1080" spans="3:16" ht="14.25">
      <c r="C1080" s="900"/>
      <c r="D1080" s="900"/>
      <c r="E1080" s="900"/>
      <c r="F1080" s="900"/>
      <c r="G1080" s="900"/>
      <c r="H1080" s="900"/>
      <c r="I1080" s="900"/>
      <c r="J1080" s="900"/>
      <c r="K1080" s="900"/>
      <c r="L1080" s="900"/>
      <c r="M1080" s="900"/>
      <c r="N1080" s="900"/>
      <c r="O1080" s="900"/>
      <c r="P1080" s="900"/>
    </row>
    <row r="1081" spans="3:16" ht="14.25">
      <c r="C1081" s="900"/>
      <c r="D1081" s="900"/>
      <c r="E1081" s="900"/>
      <c r="F1081" s="900"/>
      <c r="G1081" s="900"/>
      <c r="H1081" s="900"/>
      <c r="I1081" s="900"/>
      <c r="J1081" s="900"/>
      <c r="K1081" s="900"/>
      <c r="L1081" s="900"/>
      <c r="M1081" s="900"/>
      <c r="N1081" s="900"/>
      <c r="O1081" s="900"/>
      <c r="P1081" s="900"/>
    </row>
    <row r="1082" spans="3:16" ht="14.25">
      <c r="C1082" s="900"/>
      <c r="D1082" s="900"/>
      <c r="E1082" s="900"/>
      <c r="F1082" s="900"/>
      <c r="G1082" s="900"/>
      <c r="H1082" s="900"/>
      <c r="I1082" s="900"/>
      <c r="J1082" s="900"/>
      <c r="K1082" s="900"/>
      <c r="L1082" s="900"/>
      <c r="M1082" s="900"/>
      <c r="N1082" s="900"/>
      <c r="O1082" s="900"/>
      <c r="P1082" s="900"/>
    </row>
    <row r="1083" spans="3:16" ht="14.25">
      <c r="C1083" s="900"/>
      <c r="D1083" s="900"/>
      <c r="E1083" s="900"/>
      <c r="F1083" s="900"/>
      <c r="G1083" s="900"/>
      <c r="H1083" s="900"/>
      <c r="I1083" s="900"/>
      <c r="J1083" s="900"/>
      <c r="K1083" s="900"/>
      <c r="L1083" s="900"/>
      <c r="M1083" s="900"/>
      <c r="N1083" s="900"/>
      <c r="O1083" s="900"/>
      <c r="P1083" s="900"/>
    </row>
    <row r="1084" spans="3:16" ht="14.25">
      <c r="C1084" s="900"/>
      <c r="D1084" s="900"/>
      <c r="E1084" s="900"/>
      <c r="F1084" s="900"/>
      <c r="G1084" s="900"/>
      <c r="H1084" s="900"/>
      <c r="I1084" s="900"/>
      <c r="J1084" s="900"/>
      <c r="K1084" s="900"/>
      <c r="L1084" s="900"/>
      <c r="M1084" s="900"/>
      <c r="N1084" s="900"/>
      <c r="O1084" s="900"/>
      <c r="P1084" s="900"/>
    </row>
    <row r="1085" spans="3:16" ht="14.25">
      <c r="C1085" s="900"/>
      <c r="D1085" s="900"/>
      <c r="E1085" s="900"/>
      <c r="F1085" s="900"/>
      <c r="G1085" s="900"/>
      <c r="H1085" s="900"/>
      <c r="I1085" s="900"/>
      <c r="J1085" s="900"/>
      <c r="K1085" s="900"/>
      <c r="L1085" s="900"/>
      <c r="M1085" s="900"/>
      <c r="N1085" s="900"/>
      <c r="O1085" s="900"/>
      <c r="P1085" s="900"/>
    </row>
    <row r="1086" spans="3:16" ht="14.25">
      <c r="C1086" s="900"/>
      <c r="D1086" s="900"/>
      <c r="E1086" s="900"/>
      <c r="F1086" s="900"/>
      <c r="G1086" s="900"/>
      <c r="H1086" s="900"/>
      <c r="I1086" s="900"/>
      <c r="J1086" s="900"/>
      <c r="K1086" s="900"/>
      <c r="L1086" s="900"/>
      <c r="M1086" s="900"/>
      <c r="N1086" s="900"/>
      <c r="O1086" s="900"/>
      <c r="P1086" s="900"/>
    </row>
    <row r="1087" spans="3:16" ht="14.25">
      <c r="C1087" s="900"/>
      <c r="D1087" s="900"/>
      <c r="E1087" s="900"/>
      <c r="F1087" s="900"/>
      <c r="G1087" s="900"/>
      <c r="H1087" s="900"/>
      <c r="I1087" s="900"/>
      <c r="J1087" s="900"/>
      <c r="K1087" s="900"/>
      <c r="L1087" s="900"/>
      <c r="M1087" s="900"/>
      <c r="N1087" s="900"/>
      <c r="O1087" s="900"/>
      <c r="P1087" s="900"/>
    </row>
    <row r="1088" spans="3:16" ht="14.25">
      <c r="C1088" s="900"/>
      <c r="D1088" s="900"/>
      <c r="E1088" s="900"/>
      <c r="F1088" s="900"/>
      <c r="G1088" s="900"/>
      <c r="H1088" s="900"/>
      <c r="I1088" s="900"/>
      <c r="J1088" s="900"/>
      <c r="K1088" s="900"/>
      <c r="L1088" s="900"/>
      <c r="M1088" s="900"/>
      <c r="N1088" s="900"/>
      <c r="O1088" s="900"/>
      <c r="P1088" s="900"/>
    </row>
    <row r="1089" spans="3:16" ht="14.25">
      <c r="C1089" s="900"/>
      <c r="D1089" s="900"/>
      <c r="E1089" s="900"/>
      <c r="F1089" s="900"/>
      <c r="G1089" s="900"/>
      <c r="H1089" s="900"/>
      <c r="I1089" s="900"/>
      <c r="J1089" s="900"/>
      <c r="K1089" s="900"/>
      <c r="L1089" s="900"/>
      <c r="M1089" s="900"/>
      <c r="N1089" s="900"/>
      <c r="O1089" s="900"/>
      <c r="P1089" s="900"/>
    </row>
    <row r="1090" spans="3:16" ht="14.25">
      <c r="C1090" s="900"/>
      <c r="D1090" s="900"/>
      <c r="E1090" s="900"/>
      <c r="F1090" s="900"/>
      <c r="G1090" s="900"/>
      <c r="H1090" s="900"/>
      <c r="I1090" s="900"/>
      <c r="J1090" s="900"/>
      <c r="K1090" s="900"/>
      <c r="L1090" s="900"/>
      <c r="M1090" s="900"/>
      <c r="N1090" s="900"/>
      <c r="O1090" s="900"/>
      <c r="P1090" s="900"/>
    </row>
    <row r="1091" spans="3:16" ht="14.25">
      <c r="C1091" s="900"/>
      <c r="D1091" s="900"/>
      <c r="E1091" s="900"/>
      <c r="F1091" s="900"/>
      <c r="G1091" s="900"/>
      <c r="H1091" s="900"/>
      <c r="I1091" s="900"/>
      <c r="J1091" s="900"/>
      <c r="K1091" s="900"/>
      <c r="L1091" s="900"/>
      <c r="M1091" s="900"/>
      <c r="N1091" s="900"/>
      <c r="O1091" s="900"/>
      <c r="P1091" s="900"/>
    </row>
    <row r="1092" spans="3:16" ht="14.25">
      <c r="C1092" s="900"/>
      <c r="D1092" s="900"/>
      <c r="E1092" s="900"/>
      <c r="F1092" s="900"/>
      <c r="G1092" s="900"/>
      <c r="H1092" s="900"/>
      <c r="I1092" s="900"/>
      <c r="J1092" s="900"/>
      <c r="K1092" s="900"/>
      <c r="L1092" s="900"/>
      <c r="M1092" s="900"/>
      <c r="N1092" s="900"/>
      <c r="O1092" s="900"/>
      <c r="P1092" s="900"/>
    </row>
    <row r="1093" spans="3:16" ht="14.25">
      <c r="C1093" s="900"/>
      <c r="D1093" s="900"/>
      <c r="E1093" s="900"/>
      <c r="F1093" s="900"/>
      <c r="G1093" s="900"/>
      <c r="H1093" s="900"/>
      <c r="I1093" s="900"/>
      <c r="J1093" s="900"/>
      <c r="K1093" s="900"/>
      <c r="L1093" s="900"/>
      <c r="M1093" s="900"/>
      <c r="N1093" s="900"/>
      <c r="O1093" s="900"/>
      <c r="P1093" s="900"/>
    </row>
    <row r="1094" spans="3:16" ht="14.25">
      <c r="C1094" s="900"/>
      <c r="D1094" s="900"/>
      <c r="E1094" s="900"/>
      <c r="F1094" s="900"/>
      <c r="G1094" s="900"/>
      <c r="H1094" s="900"/>
      <c r="I1094" s="900"/>
      <c r="J1094" s="900"/>
      <c r="K1094" s="900"/>
      <c r="L1094" s="900"/>
      <c r="M1094" s="900"/>
      <c r="N1094" s="900"/>
      <c r="O1094" s="900"/>
      <c r="P1094" s="900"/>
    </row>
    <row r="1095" spans="3:16" ht="14.25">
      <c r="C1095" s="900"/>
      <c r="D1095" s="900"/>
      <c r="E1095" s="900"/>
      <c r="F1095" s="900"/>
      <c r="G1095" s="900"/>
      <c r="H1095" s="900"/>
      <c r="I1095" s="900"/>
      <c r="J1095" s="900"/>
      <c r="K1095" s="900"/>
      <c r="L1095" s="900"/>
      <c r="M1095" s="900"/>
      <c r="N1095" s="900"/>
      <c r="O1095" s="900"/>
      <c r="P1095" s="900"/>
    </row>
    <row r="1096" spans="3:16" ht="14.25">
      <c r="C1096" s="900"/>
      <c r="D1096" s="900"/>
      <c r="E1096" s="900"/>
      <c r="F1096" s="900"/>
      <c r="G1096" s="900"/>
      <c r="H1096" s="900"/>
      <c r="I1096" s="900"/>
      <c r="J1096" s="900"/>
      <c r="K1096" s="900"/>
      <c r="L1096" s="900"/>
      <c r="M1096" s="900"/>
      <c r="N1096" s="900"/>
      <c r="O1096" s="900"/>
      <c r="P1096" s="900"/>
    </row>
    <row r="1097" spans="3:16" ht="14.25">
      <c r="C1097" s="900"/>
      <c r="D1097" s="900"/>
      <c r="E1097" s="900"/>
      <c r="F1097" s="900"/>
      <c r="G1097" s="900"/>
      <c r="H1097" s="900"/>
      <c r="I1097" s="900"/>
      <c r="J1097" s="900"/>
      <c r="K1097" s="900"/>
      <c r="L1097" s="900"/>
      <c r="M1097" s="900"/>
      <c r="N1097" s="900"/>
      <c r="O1097" s="900"/>
      <c r="P1097" s="900"/>
    </row>
    <row r="1098" spans="3:16" ht="14.25">
      <c r="C1098" s="900"/>
      <c r="D1098" s="900"/>
      <c r="E1098" s="900"/>
      <c r="F1098" s="900"/>
      <c r="G1098" s="900"/>
      <c r="H1098" s="900"/>
      <c r="I1098" s="900"/>
      <c r="J1098" s="900"/>
      <c r="K1098" s="900"/>
      <c r="L1098" s="900"/>
      <c r="M1098" s="900"/>
      <c r="N1098" s="900"/>
      <c r="O1098" s="900"/>
      <c r="P1098" s="900"/>
    </row>
    <row r="1099" spans="3:16" ht="14.25">
      <c r="C1099" s="900"/>
      <c r="D1099" s="900"/>
      <c r="E1099" s="900"/>
      <c r="F1099" s="900"/>
      <c r="G1099" s="900"/>
      <c r="H1099" s="900"/>
      <c r="I1099" s="900"/>
      <c r="J1099" s="900"/>
      <c r="K1099" s="900"/>
      <c r="L1099" s="900"/>
      <c r="M1099" s="900"/>
      <c r="N1099" s="900"/>
      <c r="O1099" s="900"/>
      <c r="P1099" s="900"/>
    </row>
    <row r="1100" spans="3:16" ht="14.25">
      <c r="C1100" s="900"/>
      <c r="D1100" s="900"/>
      <c r="E1100" s="900"/>
      <c r="F1100" s="900"/>
      <c r="G1100" s="900"/>
      <c r="H1100" s="900"/>
      <c r="I1100" s="900"/>
      <c r="J1100" s="900"/>
      <c r="K1100" s="900"/>
      <c r="L1100" s="900"/>
      <c r="M1100" s="900"/>
      <c r="N1100" s="900"/>
      <c r="O1100" s="900"/>
      <c r="P1100" s="900"/>
    </row>
    <row r="1101" spans="3:16" ht="14.25">
      <c r="C1101" s="900"/>
      <c r="D1101" s="900"/>
      <c r="E1101" s="900"/>
      <c r="F1101" s="900"/>
      <c r="G1101" s="900"/>
      <c r="H1101" s="900"/>
      <c r="I1101" s="900"/>
      <c r="J1101" s="900"/>
      <c r="K1101" s="900"/>
      <c r="L1101" s="900"/>
      <c r="M1101" s="900"/>
      <c r="N1101" s="900"/>
      <c r="O1101" s="900"/>
      <c r="P1101" s="900"/>
    </row>
    <row r="1102" spans="3:16" ht="14.25">
      <c r="C1102" s="900"/>
      <c r="D1102" s="900"/>
      <c r="E1102" s="900"/>
      <c r="F1102" s="900"/>
      <c r="G1102" s="900"/>
      <c r="H1102" s="900"/>
      <c r="I1102" s="900"/>
      <c r="J1102" s="900"/>
      <c r="K1102" s="900"/>
      <c r="L1102" s="900"/>
      <c r="M1102" s="900"/>
      <c r="N1102" s="900"/>
      <c r="O1102" s="900"/>
      <c r="P1102" s="900"/>
    </row>
    <row r="1103" spans="3:16" ht="14.25">
      <c r="C1103" s="900"/>
      <c r="D1103" s="900"/>
      <c r="E1103" s="900"/>
      <c r="F1103" s="900"/>
      <c r="G1103" s="900"/>
      <c r="H1103" s="900"/>
      <c r="I1103" s="900"/>
      <c r="J1103" s="900"/>
      <c r="K1103" s="900"/>
      <c r="L1103" s="900"/>
      <c r="M1103" s="900"/>
      <c r="N1103" s="900"/>
      <c r="O1103" s="900"/>
      <c r="P1103" s="900"/>
    </row>
    <row r="1104" spans="3:16" ht="14.25">
      <c r="C1104" s="900"/>
      <c r="D1104" s="900"/>
      <c r="E1104" s="900"/>
      <c r="F1104" s="900"/>
      <c r="G1104" s="900"/>
      <c r="H1104" s="900"/>
      <c r="I1104" s="900"/>
      <c r="J1104" s="900"/>
      <c r="K1104" s="900"/>
      <c r="L1104" s="900"/>
      <c r="M1104" s="900"/>
      <c r="N1104" s="900"/>
      <c r="O1104" s="900"/>
      <c r="P1104" s="900"/>
    </row>
    <row r="1105" spans="3:16" ht="14.25">
      <c r="C1105" s="900"/>
      <c r="D1105" s="900"/>
      <c r="E1105" s="900"/>
      <c r="F1105" s="900"/>
      <c r="G1105" s="900"/>
      <c r="H1105" s="900"/>
      <c r="I1105" s="900"/>
      <c r="J1105" s="900"/>
      <c r="K1105" s="900"/>
      <c r="L1105" s="900"/>
      <c r="M1105" s="900"/>
      <c r="N1105" s="900"/>
      <c r="O1105" s="900"/>
      <c r="P1105" s="900"/>
    </row>
    <row r="1106" spans="3:16" ht="14.25">
      <c r="C1106" s="900"/>
      <c r="D1106" s="900"/>
      <c r="E1106" s="900"/>
      <c r="F1106" s="900"/>
      <c r="G1106" s="900"/>
      <c r="H1106" s="900"/>
      <c r="I1106" s="900"/>
      <c r="J1106" s="900"/>
      <c r="K1106" s="900"/>
      <c r="L1106" s="900"/>
      <c r="M1106" s="900"/>
      <c r="N1106" s="900"/>
      <c r="O1106" s="900"/>
      <c r="P1106" s="900"/>
    </row>
    <row r="1107" spans="3:16" ht="14.25">
      <c r="C1107" s="900"/>
      <c r="D1107" s="900"/>
      <c r="E1107" s="900"/>
      <c r="F1107" s="900"/>
      <c r="G1107" s="900"/>
      <c r="H1107" s="900"/>
      <c r="I1107" s="900"/>
      <c r="J1107" s="900"/>
      <c r="K1107" s="900"/>
      <c r="L1107" s="900"/>
      <c r="M1107" s="900"/>
      <c r="N1107" s="900"/>
      <c r="O1107" s="900"/>
      <c r="P1107" s="900"/>
    </row>
    <row r="1108" spans="3:16" ht="14.25">
      <c r="C1108" s="900"/>
      <c r="D1108" s="900"/>
      <c r="E1108" s="900"/>
      <c r="F1108" s="900"/>
      <c r="G1108" s="900"/>
      <c r="H1108" s="900"/>
      <c r="I1108" s="900"/>
      <c r="J1108" s="900"/>
      <c r="K1108" s="900"/>
      <c r="L1108" s="900"/>
      <c r="M1108" s="900"/>
      <c r="N1108" s="900"/>
      <c r="O1108" s="900"/>
      <c r="P1108" s="900"/>
    </row>
    <row r="1109" spans="3:16" ht="14.25">
      <c r="C1109" s="900"/>
      <c r="D1109" s="900"/>
      <c r="E1109" s="900"/>
      <c r="F1109" s="900"/>
      <c r="G1109" s="900"/>
      <c r="H1109" s="900"/>
      <c r="I1109" s="900"/>
      <c r="J1109" s="900"/>
      <c r="K1109" s="900"/>
      <c r="L1109" s="900"/>
      <c r="M1109" s="900"/>
      <c r="N1109" s="900"/>
      <c r="O1109" s="900"/>
      <c r="P1109" s="900"/>
    </row>
    <row r="1110" spans="3:16" ht="14.25">
      <c r="C1110" s="900"/>
      <c r="D1110" s="900"/>
      <c r="E1110" s="900"/>
      <c r="F1110" s="900"/>
      <c r="G1110" s="900"/>
      <c r="H1110" s="900"/>
      <c r="I1110" s="900"/>
      <c r="J1110" s="900"/>
      <c r="K1110" s="900"/>
      <c r="L1110" s="900"/>
      <c r="M1110" s="900"/>
      <c r="N1110" s="900"/>
      <c r="O1110" s="900"/>
      <c r="P1110" s="900"/>
    </row>
    <row r="1111" spans="3:16" ht="14.25">
      <c r="C1111" s="900"/>
      <c r="D1111" s="900"/>
      <c r="E1111" s="900"/>
      <c r="F1111" s="900"/>
      <c r="G1111" s="900"/>
      <c r="H1111" s="900"/>
      <c r="I1111" s="900"/>
      <c r="J1111" s="900"/>
      <c r="K1111" s="900"/>
      <c r="L1111" s="900"/>
      <c r="M1111" s="900"/>
      <c r="N1111" s="900"/>
      <c r="O1111" s="900"/>
      <c r="P1111" s="900"/>
    </row>
    <row r="1112" spans="3:16" ht="14.25">
      <c r="C1112" s="900"/>
      <c r="D1112" s="900"/>
      <c r="E1112" s="900"/>
      <c r="F1112" s="900"/>
      <c r="G1112" s="900"/>
      <c r="H1112" s="900"/>
      <c r="I1112" s="900"/>
      <c r="J1112" s="900"/>
      <c r="K1112" s="900"/>
      <c r="L1112" s="900"/>
      <c r="M1112" s="900"/>
      <c r="N1112" s="900"/>
      <c r="O1112" s="900"/>
      <c r="P1112" s="900"/>
    </row>
    <row r="1113" spans="3:16" ht="14.25">
      <c r="C1113" s="900"/>
      <c r="D1113" s="900"/>
      <c r="E1113" s="900"/>
      <c r="F1113" s="900"/>
      <c r="G1113" s="900"/>
      <c r="H1113" s="900"/>
      <c r="I1113" s="900"/>
      <c r="J1113" s="900"/>
      <c r="K1113" s="900"/>
      <c r="L1113" s="900"/>
      <c r="M1113" s="900"/>
      <c r="N1113" s="900"/>
      <c r="O1113" s="900"/>
      <c r="P1113" s="900"/>
    </row>
    <row r="1114" spans="3:16" ht="14.25">
      <c r="C1114" s="900"/>
      <c r="D1114" s="900"/>
      <c r="E1114" s="900"/>
      <c r="F1114" s="900"/>
      <c r="G1114" s="900"/>
      <c r="H1114" s="900"/>
      <c r="I1114" s="900"/>
      <c r="J1114" s="900"/>
      <c r="K1114" s="900"/>
      <c r="L1114" s="900"/>
      <c r="M1114" s="900"/>
      <c r="N1114" s="900"/>
      <c r="O1114" s="900"/>
      <c r="P1114" s="900"/>
    </row>
    <row r="1115" spans="3:16" ht="14.25">
      <c r="C1115" s="900"/>
      <c r="D1115" s="900"/>
      <c r="E1115" s="900"/>
      <c r="F1115" s="900"/>
      <c r="G1115" s="900"/>
      <c r="H1115" s="900"/>
      <c r="I1115" s="900"/>
      <c r="J1115" s="900"/>
      <c r="K1115" s="900"/>
      <c r="L1115" s="900"/>
      <c r="M1115" s="900"/>
      <c r="N1115" s="900"/>
      <c r="O1115" s="900"/>
      <c r="P1115" s="900"/>
    </row>
    <row r="1116" spans="3:16" ht="14.25">
      <c r="C1116" s="900"/>
      <c r="D1116" s="900"/>
      <c r="E1116" s="900"/>
      <c r="F1116" s="900"/>
      <c r="G1116" s="900"/>
      <c r="H1116" s="900"/>
      <c r="I1116" s="900"/>
      <c r="J1116" s="900"/>
      <c r="K1116" s="900"/>
      <c r="L1116" s="900"/>
      <c r="M1116" s="900"/>
      <c r="N1116" s="900"/>
      <c r="O1116" s="900"/>
      <c r="P1116" s="900"/>
    </row>
    <row r="1117" spans="3:16" ht="14.25">
      <c r="C1117" s="900"/>
      <c r="D1117" s="900"/>
      <c r="E1117" s="900"/>
      <c r="F1117" s="900"/>
      <c r="G1117" s="900"/>
      <c r="H1117" s="900"/>
      <c r="I1117" s="900"/>
      <c r="J1117" s="900"/>
      <c r="K1117" s="900"/>
      <c r="L1117" s="900"/>
      <c r="M1117" s="900"/>
      <c r="N1117" s="900"/>
      <c r="O1117" s="900"/>
      <c r="P1117" s="900"/>
    </row>
    <row r="1118" spans="3:16" ht="14.25">
      <c r="C1118" s="900"/>
      <c r="D1118" s="900"/>
      <c r="E1118" s="900"/>
      <c r="F1118" s="900"/>
      <c r="G1118" s="900"/>
      <c r="H1118" s="900"/>
      <c r="I1118" s="900"/>
      <c r="J1118" s="900"/>
      <c r="K1118" s="900"/>
      <c r="L1118" s="900"/>
      <c r="M1118" s="900"/>
      <c r="N1118" s="900"/>
      <c r="O1118" s="900"/>
      <c r="P1118" s="900"/>
    </row>
    <row r="1119" spans="3:16" ht="14.25">
      <c r="C1119" s="900"/>
      <c r="D1119" s="900"/>
      <c r="E1119" s="900"/>
      <c r="F1119" s="900"/>
      <c r="G1119" s="900"/>
      <c r="H1119" s="900"/>
      <c r="I1119" s="900"/>
      <c r="J1119" s="900"/>
      <c r="K1119" s="900"/>
      <c r="L1119" s="900"/>
      <c r="M1119" s="900"/>
      <c r="N1119" s="900"/>
      <c r="O1119" s="900"/>
      <c r="P1119" s="900"/>
    </row>
    <row r="1120" spans="3:16" ht="14.25">
      <c r="C1120" s="900"/>
      <c r="D1120" s="900"/>
      <c r="E1120" s="900"/>
      <c r="F1120" s="900"/>
      <c r="G1120" s="900"/>
      <c r="H1120" s="900"/>
      <c r="I1120" s="900"/>
      <c r="J1120" s="900"/>
      <c r="K1120" s="900"/>
      <c r="L1120" s="900"/>
      <c r="M1120" s="900"/>
      <c r="N1120" s="900"/>
      <c r="O1120" s="900"/>
      <c r="P1120" s="900"/>
    </row>
    <row r="1121" spans="3:16" ht="14.25">
      <c r="C1121" s="900"/>
      <c r="D1121" s="900"/>
      <c r="E1121" s="900"/>
      <c r="F1121" s="900"/>
      <c r="G1121" s="900"/>
      <c r="H1121" s="900"/>
      <c r="I1121" s="900"/>
      <c r="J1121" s="900"/>
      <c r="K1121" s="900"/>
      <c r="L1121" s="900"/>
      <c r="M1121" s="900"/>
      <c r="N1121" s="900"/>
      <c r="O1121" s="900"/>
      <c r="P1121" s="900"/>
    </row>
    <row r="1122" spans="3:16" ht="14.25">
      <c r="C1122" s="900"/>
      <c r="D1122" s="900"/>
      <c r="E1122" s="900"/>
      <c r="F1122" s="900"/>
      <c r="G1122" s="900"/>
      <c r="H1122" s="900"/>
      <c r="I1122" s="900"/>
      <c r="J1122" s="900"/>
      <c r="K1122" s="900"/>
      <c r="L1122" s="900"/>
      <c r="M1122" s="900"/>
      <c r="N1122" s="900"/>
      <c r="O1122" s="900"/>
      <c r="P1122" s="900"/>
    </row>
    <row r="1123" spans="3:16" ht="14.25">
      <c r="C1123" s="900"/>
      <c r="D1123" s="900"/>
      <c r="E1123" s="900"/>
      <c r="F1123" s="900"/>
      <c r="G1123" s="900"/>
      <c r="H1123" s="900"/>
      <c r="I1123" s="900"/>
      <c r="J1123" s="900"/>
      <c r="K1123" s="900"/>
      <c r="L1123" s="900"/>
      <c r="M1123" s="900"/>
      <c r="N1123" s="900"/>
      <c r="O1123" s="900"/>
      <c r="P1123" s="900"/>
    </row>
    <row r="1124" spans="3:16" ht="14.25">
      <c r="C1124" s="900"/>
      <c r="D1124" s="900"/>
      <c r="E1124" s="900"/>
      <c r="F1124" s="900"/>
      <c r="G1124" s="900"/>
      <c r="H1124" s="900"/>
      <c r="I1124" s="900"/>
      <c r="J1124" s="900"/>
      <c r="K1124" s="900"/>
      <c r="L1124" s="900"/>
      <c r="M1124" s="900"/>
      <c r="N1124" s="900"/>
      <c r="O1124" s="900"/>
      <c r="P1124" s="900"/>
    </row>
    <row r="1125" spans="3:16" ht="14.25">
      <c r="C1125" s="900"/>
      <c r="D1125" s="900"/>
      <c r="E1125" s="900"/>
      <c r="F1125" s="900"/>
      <c r="G1125" s="900"/>
      <c r="H1125" s="900"/>
      <c r="I1125" s="900"/>
      <c r="J1125" s="900"/>
      <c r="K1125" s="900"/>
      <c r="L1125" s="900"/>
      <c r="M1125" s="900"/>
      <c r="N1125" s="900"/>
      <c r="O1125" s="900"/>
      <c r="P1125" s="900"/>
    </row>
    <row r="1126" spans="3:16" ht="14.25">
      <c r="C1126" s="900"/>
      <c r="D1126" s="900"/>
      <c r="E1126" s="900"/>
      <c r="F1126" s="900"/>
      <c r="G1126" s="900"/>
      <c r="H1126" s="900"/>
      <c r="I1126" s="900"/>
      <c r="J1126" s="900"/>
      <c r="K1126" s="900"/>
      <c r="L1126" s="900"/>
      <c r="M1126" s="900"/>
      <c r="N1126" s="900"/>
      <c r="O1126" s="900"/>
      <c r="P1126" s="900"/>
    </row>
    <row r="1127" spans="3:16" ht="14.25">
      <c r="C1127" s="900"/>
      <c r="D1127" s="900"/>
      <c r="E1127" s="900"/>
      <c r="F1127" s="900"/>
      <c r="G1127" s="900"/>
      <c r="H1127" s="900"/>
      <c r="I1127" s="900"/>
      <c r="J1127" s="900"/>
      <c r="K1127" s="900"/>
      <c r="L1127" s="900"/>
      <c r="M1127" s="900"/>
      <c r="N1127" s="900"/>
      <c r="O1127" s="900"/>
      <c r="P1127" s="900"/>
    </row>
    <row r="1128" spans="3:16" ht="14.25">
      <c r="C1128" s="900"/>
      <c r="D1128" s="900"/>
      <c r="E1128" s="900"/>
      <c r="F1128" s="900"/>
      <c r="G1128" s="900"/>
      <c r="H1128" s="900"/>
      <c r="I1128" s="900"/>
      <c r="J1128" s="900"/>
      <c r="K1128" s="900"/>
      <c r="L1128" s="900"/>
      <c r="M1128" s="900"/>
      <c r="N1128" s="900"/>
      <c r="O1128" s="900"/>
      <c r="P1128" s="900"/>
    </row>
    <row r="1129" spans="3:16" ht="14.25">
      <c r="C1129" s="900"/>
      <c r="D1129" s="900"/>
      <c r="E1129" s="900"/>
      <c r="F1129" s="900"/>
      <c r="G1129" s="900"/>
      <c r="H1129" s="900"/>
      <c r="I1129" s="900"/>
      <c r="J1129" s="900"/>
      <c r="K1129" s="900"/>
      <c r="L1129" s="900"/>
      <c r="M1129" s="900"/>
      <c r="N1129" s="900"/>
      <c r="O1129" s="900"/>
      <c r="P1129" s="900"/>
    </row>
    <row r="1130" spans="3:16" ht="14.25">
      <c r="C1130" s="900"/>
      <c r="D1130" s="900"/>
      <c r="E1130" s="900"/>
      <c r="F1130" s="900"/>
      <c r="G1130" s="900"/>
      <c r="H1130" s="900"/>
      <c r="I1130" s="900"/>
      <c r="J1130" s="900"/>
      <c r="K1130" s="900"/>
      <c r="L1130" s="900"/>
      <c r="M1130" s="900"/>
      <c r="N1130" s="900"/>
      <c r="O1130" s="900"/>
      <c r="P1130" s="900"/>
    </row>
    <row r="1131" spans="3:16" ht="14.25">
      <c r="C1131" s="900"/>
      <c r="D1131" s="900"/>
      <c r="E1131" s="900"/>
      <c r="F1131" s="900"/>
      <c r="G1131" s="900"/>
      <c r="H1131" s="900"/>
      <c r="I1131" s="900"/>
      <c r="J1131" s="900"/>
      <c r="K1131" s="900"/>
      <c r="L1131" s="900"/>
      <c r="M1131" s="900"/>
      <c r="N1131" s="900"/>
      <c r="O1131" s="900"/>
      <c r="P1131" s="900"/>
    </row>
    <row r="1132" spans="3:16" ht="14.25">
      <c r="C1132" s="900"/>
      <c r="D1132" s="900"/>
      <c r="E1132" s="900"/>
      <c r="F1132" s="900"/>
      <c r="G1132" s="900"/>
      <c r="H1132" s="900"/>
      <c r="I1132" s="900"/>
      <c r="J1132" s="900"/>
      <c r="K1132" s="900"/>
      <c r="L1132" s="900"/>
      <c r="M1132" s="900"/>
      <c r="N1132" s="900"/>
      <c r="O1132" s="900"/>
      <c r="P1132" s="900"/>
    </row>
    <row r="1133" spans="3:16" ht="14.25">
      <c r="C1133" s="900"/>
      <c r="D1133" s="900"/>
      <c r="E1133" s="900"/>
      <c r="F1133" s="900"/>
      <c r="G1133" s="900"/>
      <c r="H1133" s="900"/>
      <c r="I1133" s="900"/>
      <c r="J1133" s="900"/>
      <c r="K1133" s="900"/>
      <c r="L1133" s="900"/>
      <c r="M1133" s="900"/>
      <c r="N1133" s="900"/>
      <c r="O1133" s="900"/>
      <c r="P1133" s="900"/>
    </row>
    <row r="1134" spans="3:16" ht="14.25">
      <c r="C1134" s="900"/>
      <c r="D1134" s="900"/>
      <c r="E1134" s="900"/>
      <c r="F1134" s="900"/>
      <c r="G1134" s="900"/>
      <c r="H1134" s="900"/>
      <c r="I1134" s="900"/>
      <c r="J1134" s="900"/>
      <c r="K1134" s="900"/>
      <c r="L1134" s="900"/>
      <c r="M1134" s="900"/>
      <c r="N1134" s="900"/>
      <c r="O1134" s="900"/>
      <c r="P1134" s="900"/>
    </row>
    <row r="1135" spans="3:16" ht="14.25">
      <c r="C1135" s="900"/>
      <c r="D1135" s="900"/>
      <c r="E1135" s="900"/>
      <c r="F1135" s="900"/>
      <c r="G1135" s="900"/>
      <c r="H1135" s="900"/>
      <c r="I1135" s="900"/>
      <c r="J1135" s="900"/>
      <c r="K1135" s="900"/>
      <c r="L1135" s="900"/>
      <c r="M1135" s="900"/>
      <c r="N1135" s="900"/>
      <c r="O1135" s="900"/>
      <c r="P1135" s="900"/>
    </row>
    <row r="1136" spans="3:16" ht="14.25">
      <c r="C1136" s="900"/>
      <c r="D1136" s="900"/>
      <c r="E1136" s="900"/>
      <c r="F1136" s="900"/>
      <c r="G1136" s="900"/>
      <c r="H1136" s="900"/>
      <c r="I1136" s="900"/>
      <c r="J1136" s="900"/>
      <c r="K1136" s="900"/>
      <c r="L1136" s="900"/>
      <c r="M1136" s="900"/>
      <c r="N1136" s="900"/>
      <c r="O1136" s="900"/>
      <c r="P1136" s="900"/>
    </row>
    <row r="1137" spans="3:16" ht="14.25">
      <c r="C1137" s="900"/>
      <c r="D1137" s="900"/>
      <c r="E1137" s="900"/>
      <c r="F1137" s="900"/>
      <c r="G1137" s="900"/>
      <c r="H1137" s="900"/>
      <c r="I1137" s="900"/>
      <c r="J1137" s="900"/>
      <c r="K1137" s="900"/>
      <c r="L1137" s="900"/>
      <c r="M1137" s="900"/>
      <c r="N1137" s="900"/>
      <c r="O1137" s="900"/>
      <c r="P1137" s="900"/>
    </row>
    <row r="1138" spans="3:16" ht="14.25">
      <c r="C1138" s="900"/>
      <c r="D1138" s="900"/>
      <c r="E1138" s="900"/>
      <c r="F1138" s="900"/>
      <c r="G1138" s="900"/>
      <c r="H1138" s="900"/>
      <c r="I1138" s="900"/>
      <c r="J1138" s="900"/>
      <c r="K1138" s="900"/>
      <c r="L1138" s="900"/>
      <c r="M1138" s="900"/>
      <c r="N1138" s="900"/>
      <c r="O1138" s="900"/>
      <c r="P1138" s="900"/>
    </row>
    <row r="1139" spans="3:16" ht="14.25">
      <c r="C1139" s="900"/>
      <c r="D1139" s="900"/>
      <c r="E1139" s="900"/>
      <c r="F1139" s="900"/>
      <c r="G1139" s="900"/>
      <c r="H1139" s="900"/>
      <c r="I1139" s="900"/>
      <c r="J1139" s="900"/>
      <c r="K1139" s="900"/>
      <c r="L1139" s="900"/>
      <c r="M1139" s="900"/>
      <c r="N1139" s="900"/>
      <c r="O1139" s="900"/>
      <c r="P1139" s="900"/>
    </row>
    <row r="1140" spans="3:16" ht="14.25">
      <c r="C1140" s="900"/>
      <c r="D1140" s="900"/>
      <c r="E1140" s="900"/>
      <c r="F1140" s="900"/>
      <c r="G1140" s="900"/>
      <c r="H1140" s="900"/>
      <c r="I1140" s="900"/>
      <c r="J1140" s="900"/>
      <c r="K1140" s="900"/>
      <c r="L1140" s="900"/>
      <c r="M1140" s="900"/>
      <c r="N1140" s="900"/>
      <c r="O1140" s="900"/>
      <c r="P1140" s="900"/>
    </row>
    <row r="1141" spans="3:16" ht="14.25">
      <c r="C1141" s="900"/>
      <c r="D1141" s="900"/>
      <c r="E1141" s="900"/>
      <c r="F1141" s="900"/>
      <c r="G1141" s="900"/>
      <c r="H1141" s="900"/>
      <c r="I1141" s="900"/>
      <c r="J1141" s="900"/>
      <c r="K1141" s="900"/>
      <c r="L1141" s="900"/>
      <c r="M1141" s="900"/>
      <c r="N1141" s="900"/>
      <c r="O1141" s="900"/>
      <c r="P1141" s="900"/>
    </row>
    <row r="1142" spans="3:16" ht="14.25">
      <c r="C1142" s="900"/>
      <c r="D1142" s="900"/>
      <c r="E1142" s="900"/>
      <c r="F1142" s="900"/>
      <c r="G1142" s="900"/>
      <c r="H1142" s="900"/>
      <c r="I1142" s="900"/>
      <c r="J1142" s="900"/>
      <c r="K1142" s="900"/>
      <c r="L1142" s="900"/>
      <c r="M1142" s="900"/>
      <c r="N1142" s="900"/>
      <c r="O1142" s="900"/>
      <c r="P1142" s="900"/>
    </row>
    <row r="1143" spans="3:16" ht="14.25">
      <c r="C1143" s="900"/>
      <c r="D1143" s="900"/>
      <c r="E1143" s="900"/>
      <c r="F1143" s="900"/>
      <c r="G1143" s="900"/>
      <c r="H1143" s="900"/>
      <c r="I1143" s="900"/>
      <c r="J1143" s="900"/>
      <c r="K1143" s="900"/>
      <c r="L1143" s="900"/>
      <c r="M1143" s="900"/>
      <c r="N1143" s="900"/>
      <c r="O1143" s="900"/>
      <c r="P1143" s="900"/>
    </row>
    <row r="1144" spans="3:16" ht="14.25">
      <c r="C1144" s="900"/>
      <c r="D1144" s="900"/>
      <c r="E1144" s="900"/>
      <c r="F1144" s="900"/>
      <c r="G1144" s="900"/>
      <c r="H1144" s="900"/>
      <c r="I1144" s="900"/>
      <c r="J1144" s="900"/>
      <c r="K1144" s="900"/>
      <c r="L1144" s="900"/>
      <c r="M1144" s="900"/>
      <c r="N1144" s="900"/>
      <c r="O1144" s="900"/>
      <c r="P1144" s="900"/>
    </row>
    <row r="1145" spans="3:16" ht="14.25">
      <c r="C1145" s="900"/>
      <c r="D1145" s="900"/>
      <c r="E1145" s="900"/>
      <c r="F1145" s="900"/>
      <c r="G1145" s="900"/>
      <c r="H1145" s="900"/>
      <c r="I1145" s="900"/>
      <c r="J1145" s="900"/>
      <c r="K1145" s="900"/>
      <c r="L1145" s="900"/>
      <c r="M1145" s="900"/>
      <c r="N1145" s="900"/>
      <c r="O1145" s="900"/>
      <c r="P1145" s="900"/>
    </row>
    <row r="1146" spans="3:16" ht="14.25">
      <c r="C1146" s="900"/>
      <c r="D1146" s="900"/>
      <c r="E1146" s="900"/>
      <c r="F1146" s="900"/>
      <c r="G1146" s="900"/>
      <c r="H1146" s="900"/>
      <c r="I1146" s="900"/>
      <c r="J1146" s="900"/>
      <c r="K1146" s="900"/>
      <c r="L1146" s="900"/>
      <c r="M1146" s="900"/>
      <c r="N1146" s="900"/>
      <c r="O1146" s="900"/>
      <c r="P1146" s="900"/>
    </row>
    <row r="1147" spans="3:16" ht="14.25">
      <c r="C1147" s="900"/>
      <c r="D1147" s="900"/>
      <c r="E1147" s="900"/>
      <c r="F1147" s="900"/>
      <c r="G1147" s="900"/>
      <c r="H1147" s="900"/>
      <c r="I1147" s="900"/>
      <c r="J1147" s="900"/>
      <c r="K1147" s="900"/>
      <c r="L1147" s="900"/>
      <c r="M1147" s="900"/>
      <c r="N1147" s="900"/>
      <c r="O1147" s="900"/>
      <c r="P1147" s="900"/>
    </row>
    <row r="1148" spans="3:16" ht="14.25">
      <c r="C1148" s="900"/>
      <c r="D1148" s="900"/>
      <c r="E1148" s="900"/>
      <c r="F1148" s="900"/>
      <c r="G1148" s="900"/>
      <c r="H1148" s="900"/>
      <c r="I1148" s="900"/>
      <c r="J1148" s="900"/>
      <c r="K1148" s="900"/>
      <c r="L1148" s="900"/>
      <c r="M1148" s="900"/>
      <c r="N1148" s="900"/>
      <c r="O1148" s="900"/>
      <c r="P1148" s="900"/>
    </row>
    <row r="1149" spans="3:16" ht="14.25">
      <c r="C1149" s="900"/>
      <c r="D1149" s="900"/>
      <c r="E1149" s="900"/>
      <c r="F1149" s="900"/>
      <c r="G1149" s="900"/>
      <c r="H1149" s="900"/>
      <c r="I1149" s="900"/>
      <c r="J1149" s="900"/>
      <c r="K1149" s="900"/>
      <c r="L1149" s="900"/>
      <c r="M1149" s="900"/>
      <c r="N1149" s="900"/>
      <c r="O1149" s="900"/>
      <c r="P1149" s="900"/>
    </row>
    <row r="1150" spans="3:16" ht="14.25">
      <c r="C1150" s="900"/>
      <c r="D1150" s="900"/>
      <c r="E1150" s="900"/>
      <c r="F1150" s="900"/>
      <c r="G1150" s="900"/>
      <c r="H1150" s="900"/>
      <c r="I1150" s="900"/>
      <c r="J1150" s="900"/>
      <c r="K1150" s="900"/>
      <c r="L1150" s="900"/>
      <c r="M1150" s="900"/>
      <c r="N1150" s="900"/>
      <c r="O1150" s="900"/>
      <c r="P1150" s="900"/>
    </row>
    <row r="1151" spans="3:16" ht="14.25">
      <c r="C1151" s="900"/>
      <c r="D1151" s="900"/>
      <c r="E1151" s="900"/>
      <c r="F1151" s="900"/>
      <c r="G1151" s="900"/>
      <c r="H1151" s="900"/>
      <c r="I1151" s="900"/>
      <c r="J1151" s="900"/>
      <c r="K1151" s="900"/>
      <c r="L1151" s="900"/>
      <c r="M1151" s="900"/>
      <c r="N1151" s="900"/>
      <c r="O1151" s="900"/>
      <c r="P1151" s="900"/>
    </row>
    <row r="1152" spans="3:16" ht="14.25">
      <c r="C1152" s="900"/>
      <c r="D1152" s="900"/>
      <c r="E1152" s="900"/>
      <c r="F1152" s="900"/>
      <c r="G1152" s="900"/>
      <c r="H1152" s="900"/>
      <c r="I1152" s="900"/>
      <c r="J1152" s="900"/>
      <c r="K1152" s="900"/>
      <c r="L1152" s="900"/>
      <c r="M1152" s="900"/>
      <c r="N1152" s="900"/>
      <c r="O1152" s="900"/>
      <c r="P1152" s="900"/>
    </row>
    <row r="1153" spans="3:16" ht="14.25">
      <c r="C1153" s="900"/>
      <c r="D1153" s="900"/>
      <c r="E1153" s="900"/>
      <c r="F1153" s="900"/>
      <c r="G1153" s="900"/>
      <c r="H1153" s="900"/>
      <c r="I1153" s="900"/>
      <c r="J1153" s="900"/>
      <c r="K1153" s="900"/>
      <c r="L1153" s="900"/>
      <c r="M1153" s="900"/>
      <c r="N1153" s="900"/>
      <c r="O1153" s="900"/>
      <c r="P1153" s="900"/>
    </row>
    <row r="1154" spans="3:16" ht="14.25">
      <c r="C1154" s="900"/>
      <c r="D1154" s="900"/>
      <c r="E1154" s="900"/>
      <c r="F1154" s="900"/>
      <c r="G1154" s="900"/>
      <c r="H1154" s="900"/>
      <c r="I1154" s="900"/>
      <c r="J1154" s="900"/>
      <c r="K1154" s="900"/>
      <c r="L1154" s="900"/>
      <c r="M1154" s="900"/>
      <c r="N1154" s="900"/>
      <c r="O1154" s="900"/>
      <c r="P1154" s="900"/>
    </row>
    <row r="1155" spans="3:16" ht="14.25">
      <c r="C1155" s="900"/>
      <c r="D1155" s="900"/>
      <c r="E1155" s="900"/>
      <c r="F1155" s="900"/>
      <c r="G1155" s="900"/>
      <c r="H1155" s="900"/>
      <c r="I1155" s="900"/>
      <c r="J1155" s="900"/>
      <c r="K1155" s="900"/>
      <c r="L1155" s="900"/>
      <c r="M1155" s="900"/>
      <c r="N1155" s="900"/>
      <c r="O1155" s="900"/>
      <c r="P1155" s="900"/>
    </row>
    <row r="1156" spans="3:16" ht="14.25">
      <c r="C1156" s="900"/>
      <c r="D1156" s="900"/>
      <c r="E1156" s="900"/>
      <c r="F1156" s="900"/>
      <c r="G1156" s="900"/>
      <c r="H1156" s="900"/>
      <c r="I1156" s="900"/>
      <c r="J1156" s="900"/>
      <c r="K1156" s="900"/>
      <c r="L1156" s="900"/>
      <c r="M1156" s="900"/>
      <c r="N1156" s="900"/>
      <c r="O1156" s="900"/>
      <c r="P1156" s="900"/>
    </row>
    <row r="1157" spans="3:16" ht="14.25">
      <c r="C1157" s="900"/>
      <c r="D1157" s="900"/>
      <c r="E1157" s="900"/>
      <c r="F1157" s="900"/>
      <c r="G1157" s="900"/>
      <c r="H1157" s="900"/>
      <c r="I1157" s="900"/>
      <c r="J1157" s="900"/>
      <c r="K1157" s="900"/>
      <c r="L1157" s="900"/>
      <c r="M1157" s="900"/>
      <c r="N1157" s="900"/>
      <c r="O1157" s="900"/>
      <c r="P1157" s="900"/>
    </row>
    <row r="1158" spans="3:16" ht="14.25">
      <c r="C1158" s="900"/>
      <c r="D1158" s="900"/>
      <c r="E1158" s="900"/>
      <c r="F1158" s="900"/>
      <c r="G1158" s="900"/>
      <c r="H1158" s="900"/>
      <c r="I1158" s="900"/>
      <c r="J1158" s="900"/>
      <c r="K1158" s="900"/>
      <c r="L1158" s="900"/>
      <c r="M1158" s="900"/>
      <c r="N1158" s="900"/>
      <c r="O1158" s="900"/>
      <c r="P1158" s="900"/>
    </row>
    <row r="1159" spans="3:16" ht="14.25">
      <c r="C1159" s="900"/>
      <c r="D1159" s="900"/>
      <c r="E1159" s="900"/>
      <c r="F1159" s="900"/>
      <c r="G1159" s="900"/>
      <c r="H1159" s="900"/>
      <c r="I1159" s="900"/>
      <c r="J1159" s="900"/>
      <c r="K1159" s="900"/>
      <c r="L1159" s="900"/>
      <c r="M1159" s="900"/>
      <c r="N1159" s="900"/>
      <c r="O1159" s="900"/>
      <c r="P1159" s="900"/>
    </row>
    <row r="1160" spans="3:16" ht="14.25">
      <c r="C1160" s="900"/>
      <c r="D1160" s="900"/>
      <c r="E1160" s="900"/>
      <c r="F1160" s="900"/>
      <c r="G1160" s="900"/>
      <c r="H1160" s="900"/>
      <c r="I1160" s="900"/>
      <c r="J1160" s="900"/>
      <c r="K1160" s="900"/>
      <c r="L1160" s="900"/>
      <c r="M1160" s="900"/>
      <c r="N1160" s="900"/>
      <c r="O1160" s="900"/>
      <c r="P1160" s="900"/>
    </row>
    <row r="1161" spans="3:16" ht="14.25">
      <c r="C1161" s="900"/>
      <c r="D1161" s="900"/>
      <c r="E1161" s="900"/>
      <c r="F1161" s="900"/>
      <c r="G1161" s="900"/>
      <c r="H1161" s="900"/>
      <c r="I1161" s="900"/>
      <c r="J1161" s="900"/>
      <c r="K1161" s="900"/>
      <c r="L1161" s="900"/>
      <c r="M1161" s="900"/>
      <c r="N1161" s="900"/>
      <c r="O1161" s="900"/>
      <c r="P1161" s="900"/>
    </row>
    <row r="1162" spans="3:16" ht="14.25">
      <c r="C1162" s="900"/>
      <c r="D1162" s="900"/>
      <c r="E1162" s="900"/>
      <c r="F1162" s="900"/>
      <c r="G1162" s="900"/>
      <c r="H1162" s="900"/>
      <c r="I1162" s="900"/>
      <c r="J1162" s="900"/>
      <c r="K1162" s="900"/>
      <c r="L1162" s="900"/>
      <c r="M1162" s="900"/>
      <c r="N1162" s="900"/>
      <c r="O1162" s="900"/>
      <c r="P1162" s="900"/>
    </row>
    <row r="1163" spans="3:16" ht="14.25">
      <c r="C1163" s="900"/>
      <c r="D1163" s="900"/>
      <c r="E1163" s="900"/>
      <c r="F1163" s="900"/>
      <c r="G1163" s="900"/>
      <c r="H1163" s="900"/>
      <c r="I1163" s="900"/>
      <c r="J1163" s="900"/>
      <c r="K1163" s="900"/>
      <c r="L1163" s="900"/>
      <c r="M1163" s="900"/>
      <c r="N1163" s="900"/>
      <c r="O1163" s="900"/>
      <c r="P1163" s="900"/>
    </row>
    <row r="1164" spans="3:16" ht="14.25">
      <c r="C1164" s="900"/>
      <c r="D1164" s="900"/>
      <c r="E1164" s="900"/>
      <c r="F1164" s="900"/>
      <c r="G1164" s="900"/>
      <c r="H1164" s="900"/>
      <c r="I1164" s="900"/>
      <c r="J1164" s="900"/>
      <c r="K1164" s="900"/>
      <c r="L1164" s="900"/>
      <c r="M1164" s="900"/>
      <c r="N1164" s="900"/>
      <c r="O1164" s="900"/>
      <c r="P1164" s="900"/>
    </row>
    <row r="1165" spans="3:16" ht="14.25">
      <c r="C1165" s="900"/>
      <c r="D1165" s="900"/>
      <c r="E1165" s="900"/>
      <c r="F1165" s="900"/>
      <c r="G1165" s="900"/>
      <c r="H1165" s="900"/>
      <c r="I1165" s="900"/>
      <c r="J1165" s="900"/>
      <c r="K1165" s="900"/>
      <c r="L1165" s="900"/>
      <c r="M1165" s="900"/>
      <c r="N1165" s="900"/>
      <c r="O1165" s="900"/>
      <c r="P1165" s="900"/>
    </row>
    <row r="1166" spans="3:16" ht="14.25">
      <c r="C1166" s="900"/>
      <c r="D1166" s="900"/>
      <c r="E1166" s="900"/>
      <c r="F1166" s="900"/>
      <c r="G1166" s="900"/>
      <c r="H1166" s="900"/>
      <c r="I1166" s="900"/>
      <c r="J1166" s="900"/>
      <c r="K1166" s="900"/>
      <c r="L1166" s="900"/>
      <c r="M1166" s="900"/>
      <c r="N1166" s="900"/>
      <c r="O1166" s="900"/>
      <c r="P1166" s="900"/>
    </row>
    <row r="1167" spans="3:16" ht="14.25">
      <c r="C1167" s="900"/>
      <c r="D1167" s="900"/>
      <c r="E1167" s="900"/>
      <c r="F1167" s="900"/>
      <c r="G1167" s="900"/>
      <c r="H1167" s="900"/>
      <c r="I1167" s="900"/>
      <c r="J1167" s="900"/>
      <c r="K1167" s="900"/>
      <c r="L1167" s="900"/>
      <c r="M1167" s="900"/>
      <c r="N1167" s="900"/>
      <c r="O1167" s="900"/>
      <c r="P1167" s="900"/>
    </row>
    <row r="1168" spans="3:16" ht="14.25">
      <c r="C1168" s="900"/>
      <c r="D1168" s="900"/>
      <c r="E1168" s="900"/>
      <c r="F1168" s="900"/>
      <c r="G1168" s="900"/>
      <c r="H1168" s="900"/>
      <c r="I1168" s="900"/>
      <c r="J1168" s="900"/>
      <c r="K1168" s="900"/>
      <c r="L1168" s="900"/>
      <c r="M1168" s="900"/>
      <c r="N1168" s="900"/>
      <c r="O1168" s="900"/>
      <c r="P1168" s="900"/>
    </row>
    <row r="1169" spans="3:16" ht="14.25">
      <c r="C1169" s="900"/>
      <c r="D1169" s="900"/>
      <c r="E1169" s="900"/>
      <c r="F1169" s="900"/>
      <c r="G1169" s="900"/>
      <c r="H1169" s="900"/>
      <c r="I1169" s="900"/>
      <c r="J1169" s="900"/>
      <c r="K1169" s="900"/>
      <c r="L1169" s="900"/>
      <c r="M1169" s="900"/>
      <c r="N1169" s="900"/>
      <c r="O1169" s="900"/>
      <c r="P1169" s="900"/>
    </row>
    <row r="1170" spans="3:16" ht="14.25">
      <c r="C1170" s="900"/>
      <c r="D1170" s="900"/>
      <c r="E1170" s="900"/>
      <c r="F1170" s="900"/>
      <c r="G1170" s="900"/>
      <c r="H1170" s="900"/>
      <c r="I1170" s="900"/>
      <c r="J1170" s="900"/>
      <c r="K1170" s="900"/>
      <c r="L1170" s="900"/>
      <c r="M1170" s="900"/>
      <c r="N1170" s="900"/>
      <c r="O1170" s="900"/>
      <c r="P1170" s="900"/>
    </row>
    <row r="1171" spans="3:16" ht="14.25">
      <c r="C1171" s="900"/>
      <c r="D1171" s="900"/>
      <c r="E1171" s="900"/>
      <c r="F1171" s="900"/>
      <c r="G1171" s="900"/>
      <c r="H1171" s="900"/>
      <c r="I1171" s="900"/>
      <c r="J1171" s="900"/>
      <c r="K1171" s="900"/>
      <c r="L1171" s="900"/>
      <c r="M1171" s="900"/>
      <c r="N1171" s="900"/>
      <c r="O1171" s="900"/>
      <c r="P1171" s="900"/>
    </row>
    <row r="1172" spans="3:16" ht="14.25">
      <c r="C1172" s="900"/>
      <c r="D1172" s="900"/>
      <c r="E1172" s="900"/>
      <c r="F1172" s="900"/>
      <c r="G1172" s="900"/>
      <c r="H1172" s="900"/>
      <c r="I1172" s="900"/>
      <c r="J1172" s="900"/>
      <c r="K1172" s="900"/>
      <c r="L1172" s="900"/>
      <c r="M1172" s="900"/>
      <c r="N1172" s="900"/>
      <c r="O1172" s="900"/>
      <c r="P1172" s="900"/>
    </row>
    <row r="1173" spans="3:16" ht="14.25">
      <c r="C1173" s="900"/>
      <c r="D1173" s="900"/>
      <c r="E1173" s="900"/>
      <c r="F1173" s="900"/>
      <c r="G1173" s="900"/>
      <c r="H1173" s="900"/>
      <c r="I1173" s="900"/>
      <c r="J1173" s="900"/>
      <c r="K1173" s="900"/>
      <c r="L1173" s="900"/>
      <c r="M1173" s="900"/>
      <c r="N1173" s="900"/>
      <c r="O1173" s="900"/>
      <c r="P1173" s="900"/>
    </row>
    <row r="1174" spans="3:16" ht="14.25">
      <c r="C1174" s="900"/>
      <c r="D1174" s="900"/>
      <c r="E1174" s="900"/>
      <c r="F1174" s="900"/>
      <c r="G1174" s="900"/>
      <c r="H1174" s="900"/>
      <c r="I1174" s="900"/>
      <c r="J1174" s="900"/>
      <c r="K1174" s="900"/>
      <c r="L1174" s="900"/>
      <c r="M1174" s="900"/>
      <c r="N1174" s="900"/>
      <c r="O1174" s="900"/>
      <c r="P1174" s="900"/>
    </row>
    <row r="1175" spans="3:16" ht="14.25">
      <c r="C1175" s="900"/>
      <c r="D1175" s="900"/>
      <c r="E1175" s="900"/>
      <c r="F1175" s="900"/>
      <c r="G1175" s="900"/>
      <c r="H1175" s="900"/>
      <c r="I1175" s="900"/>
      <c r="J1175" s="900"/>
      <c r="K1175" s="900"/>
      <c r="L1175" s="900"/>
      <c r="M1175" s="900"/>
      <c r="N1175" s="900"/>
      <c r="O1175" s="900"/>
      <c r="P1175" s="900"/>
    </row>
    <row r="1176" spans="3:16" ht="14.25">
      <c r="C1176" s="900"/>
      <c r="D1176" s="900"/>
      <c r="E1176" s="900"/>
      <c r="F1176" s="900"/>
      <c r="G1176" s="900"/>
      <c r="H1176" s="900"/>
      <c r="I1176" s="900"/>
      <c r="J1176" s="900"/>
      <c r="K1176" s="900"/>
      <c r="L1176" s="900"/>
      <c r="M1176" s="900"/>
      <c r="N1176" s="900"/>
      <c r="O1176" s="900"/>
      <c r="P1176" s="900"/>
    </row>
    <row r="1177" spans="3:16" ht="14.25">
      <c r="C1177" s="900"/>
      <c r="D1177" s="900"/>
      <c r="E1177" s="900"/>
      <c r="F1177" s="900"/>
      <c r="G1177" s="900"/>
      <c r="H1177" s="900"/>
      <c r="I1177" s="900"/>
      <c r="J1177" s="900"/>
      <c r="K1177" s="900"/>
      <c r="L1177" s="900"/>
      <c r="M1177" s="900"/>
      <c r="N1177" s="900"/>
      <c r="O1177" s="900"/>
      <c r="P1177" s="900"/>
    </row>
    <row r="1178" spans="3:16" ht="14.25">
      <c r="C1178" s="900"/>
      <c r="D1178" s="900"/>
      <c r="E1178" s="900"/>
      <c r="F1178" s="900"/>
      <c r="G1178" s="900"/>
      <c r="H1178" s="900"/>
      <c r="I1178" s="900"/>
      <c r="J1178" s="900"/>
      <c r="K1178" s="900"/>
      <c r="L1178" s="900"/>
      <c r="M1178" s="900"/>
      <c r="N1178" s="900"/>
      <c r="O1178" s="900"/>
      <c r="P1178" s="900"/>
    </row>
    <row r="1179" spans="3:16" ht="14.25">
      <c r="C1179" s="900"/>
      <c r="D1179" s="900"/>
      <c r="E1179" s="900"/>
      <c r="F1179" s="900"/>
      <c r="G1179" s="900"/>
      <c r="H1179" s="900"/>
      <c r="I1179" s="900"/>
      <c r="J1179" s="900"/>
      <c r="K1179" s="900"/>
      <c r="L1179" s="900"/>
      <c r="M1179" s="900"/>
      <c r="N1179" s="900"/>
      <c r="O1179" s="900"/>
      <c r="P1179" s="900"/>
    </row>
    <row r="1180" spans="3:16" ht="14.25">
      <c r="C1180" s="900"/>
      <c r="D1180" s="900"/>
      <c r="E1180" s="900"/>
      <c r="F1180" s="900"/>
      <c r="G1180" s="900"/>
      <c r="H1180" s="900"/>
      <c r="I1180" s="900"/>
      <c r="J1180" s="900"/>
      <c r="K1180" s="900"/>
      <c r="L1180" s="900"/>
      <c r="M1180" s="900"/>
      <c r="N1180" s="900"/>
      <c r="O1180" s="900"/>
      <c r="P1180" s="900"/>
    </row>
    <row r="1181" spans="3:16" ht="14.25">
      <c r="C1181" s="900"/>
      <c r="D1181" s="900"/>
      <c r="E1181" s="900"/>
      <c r="F1181" s="900"/>
      <c r="G1181" s="900"/>
      <c r="H1181" s="900"/>
      <c r="I1181" s="900"/>
      <c r="J1181" s="900"/>
      <c r="K1181" s="900"/>
      <c r="L1181" s="900"/>
      <c r="M1181" s="900"/>
      <c r="N1181" s="900"/>
      <c r="O1181" s="900"/>
      <c r="P1181" s="900"/>
    </row>
    <row r="1182" spans="3:16" ht="14.25">
      <c r="C1182" s="900"/>
      <c r="D1182" s="900"/>
      <c r="E1182" s="900"/>
      <c r="F1182" s="900"/>
      <c r="G1182" s="900"/>
      <c r="H1182" s="900"/>
      <c r="I1182" s="900"/>
      <c r="J1182" s="900"/>
      <c r="K1182" s="900"/>
      <c r="L1182" s="900"/>
      <c r="M1182" s="900"/>
      <c r="N1182" s="900"/>
      <c r="O1182" s="900"/>
      <c r="P1182" s="900"/>
    </row>
    <row r="1183" spans="3:16" ht="14.25">
      <c r="C1183" s="900"/>
      <c r="D1183" s="900"/>
      <c r="E1183" s="900"/>
      <c r="F1183" s="900"/>
      <c r="G1183" s="900"/>
      <c r="H1183" s="900"/>
      <c r="I1183" s="900"/>
      <c r="J1183" s="900"/>
      <c r="K1183" s="900"/>
      <c r="L1183" s="900"/>
      <c r="M1183" s="900"/>
      <c r="N1183" s="900"/>
      <c r="O1183" s="900"/>
      <c r="P1183" s="900"/>
    </row>
    <row r="1184" spans="3:16" ht="14.25">
      <c r="C1184" s="900"/>
      <c r="D1184" s="900"/>
      <c r="E1184" s="900"/>
      <c r="F1184" s="900"/>
      <c r="G1184" s="900"/>
      <c r="H1184" s="900"/>
      <c r="I1184" s="900"/>
      <c r="J1184" s="900"/>
      <c r="K1184" s="900"/>
      <c r="L1184" s="900"/>
      <c r="M1184" s="900"/>
      <c r="N1184" s="900"/>
      <c r="O1184" s="900"/>
      <c r="P1184" s="900"/>
    </row>
    <row r="1185" spans="3:16" ht="14.25">
      <c r="C1185" s="900"/>
      <c r="D1185" s="900"/>
      <c r="E1185" s="900"/>
      <c r="F1185" s="900"/>
      <c r="G1185" s="900"/>
      <c r="H1185" s="900"/>
      <c r="I1185" s="900"/>
      <c r="J1185" s="900"/>
      <c r="K1185" s="900"/>
      <c r="L1185" s="900"/>
      <c r="M1185" s="900"/>
      <c r="N1185" s="900"/>
      <c r="O1185" s="900"/>
      <c r="P1185" s="900"/>
    </row>
    <row r="1186" spans="3:16" ht="14.25">
      <c r="C1186" s="900"/>
      <c r="D1186" s="900"/>
      <c r="E1186" s="900"/>
      <c r="F1186" s="900"/>
      <c r="G1186" s="900"/>
      <c r="H1186" s="900"/>
      <c r="I1186" s="900"/>
      <c r="J1186" s="900"/>
      <c r="K1186" s="900"/>
      <c r="L1186" s="900"/>
      <c r="M1186" s="900"/>
      <c r="N1186" s="900"/>
      <c r="O1186" s="900"/>
      <c r="P1186" s="900"/>
    </row>
    <row r="1187" spans="3:16" ht="14.25">
      <c r="C1187" s="900"/>
      <c r="D1187" s="900"/>
      <c r="E1187" s="900"/>
      <c r="F1187" s="900"/>
      <c r="G1187" s="900"/>
      <c r="H1187" s="900"/>
      <c r="I1187" s="900"/>
      <c r="J1187" s="900"/>
      <c r="K1187" s="900"/>
      <c r="L1187" s="900"/>
      <c r="M1187" s="900"/>
      <c r="N1187" s="900"/>
      <c r="O1187" s="900"/>
      <c r="P1187" s="900"/>
    </row>
    <row r="1188" spans="3:16" ht="14.25">
      <c r="C1188" s="900"/>
      <c r="D1188" s="900"/>
      <c r="E1188" s="900"/>
      <c r="F1188" s="900"/>
      <c r="G1188" s="900"/>
      <c r="H1188" s="900"/>
      <c r="I1188" s="900"/>
      <c r="J1188" s="900"/>
      <c r="K1188" s="900"/>
      <c r="L1188" s="900"/>
      <c r="M1188" s="900"/>
      <c r="N1188" s="900"/>
      <c r="O1188" s="900"/>
      <c r="P1188" s="900"/>
    </row>
    <row r="1189" spans="3:16" ht="14.25">
      <c r="C1189" s="900"/>
      <c r="D1189" s="900"/>
      <c r="E1189" s="900"/>
      <c r="F1189" s="900"/>
      <c r="G1189" s="900"/>
      <c r="H1189" s="900"/>
      <c r="I1189" s="900"/>
      <c r="J1189" s="900"/>
      <c r="K1189" s="900"/>
      <c r="L1189" s="900"/>
      <c r="M1189" s="900"/>
      <c r="N1189" s="900"/>
      <c r="O1189" s="900"/>
      <c r="P1189" s="900"/>
    </row>
    <row r="1190" spans="3:16" ht="14.25">
      <c r="C1190" s="900"/>
      <c r="D1190" s="900"/>
      <c r="E1190" s="900"/>
      <c r="F1190" s="900"/>
      <c r="G1190" s="900"/>
      <c r="H1190" s="900"/>
      <c r="I1190" s="900"/>
      <c r="J1190" s="900"/>
      <c r="K1190" s="900"/>
      <c r="L1190" s="900"/>
      <c r="M1190" s="900"/>
      <c r="N1190" s="900"/>
      <c r="O1190" s="900"/>
      <c r="P1190" s="900"/>
    </row>
    <row r="1191" spans="3:16" ht="14.25">
      <c r="C1191" s="900"/>
      <c r="D1191" s="900"/>
      <c r="E1191" s="900"/>
      <c r="F1191" s="900"/>
      <c r="G1191" s="900"/>
      <c r="H1191" s="900"/>
      <c r="I1191" s="900"/>
      <c r="J1191" s="900"/>
      <c r="K1191" s="900"/>
      <c r="L1191" s="900"/>
      <c r="M1191" s="900"/>
      <c r="N1191" s="900"/>
      <c r="O1191" s="900"/>
      <c r="P1191" s="900"/>
    </row>
    <row r="1192" spans="3:16" ht="14.25">
      <c r="C1192" s="900"/>
      <c r="D1192" s="900"/>
      <c r="E1192" s="900"/>
      <c r="F1192" s="900"/>
      <c r="G1192" s="900"/>
      <c r="H1192" s="900"/>
      <c r="I1192" s="900"/>
      <c r="J1192" s="900"/>
      <c r="K1192" s="900"/>
      <c r="L1192" s="900"/>
      <c r="M1192" s="900"/>
      <c r="N1192" s="900"/>
      <c r="O1192" s="900"/>
      <c r="P1192" s="900"/>
    </row>
    <row r="1193" spans="3:16" ht="14.25">
      <c r="C1193" s="900"/>
      <c r="D1193" s="900"/>
      <c r="E1193" s="900"/>
      <c r="F1193" s="900"/>
      <c r="G1193" s="900"/>
      <c r="H1193" s="900"/>
      <c r="I1193" s="900"/>
      <c r="J1193" s="900"/>
      <c r="K1193" s="900"/>
      <c r="L1193" s="900"/>
      <c r="M1193" s="900"/>
      <c r="N1193" s="900"/>
      <c r="O1193" s="900"/>
      <c r="P1193" s="900"/>
    </row>
    <row r="1194" spans="3:16" ht="14.25">
      <c r="C1194" s="900"/>
      <c r="D1194" s="900"/>
      <c r="E1194" s="900"/>
      <c r="F1194" s="900"/>
      <c r="G1194" s="900"/>
      <c r="H1194" s="900"/>
      <c r="I1194" s="900"/>
      <c r="J1194" s="900"/>
      <c r="K1194" s="900"/>
      <c r="L1194" s="900"/>
      <c r="M1194" s="900"/>
      <c r="N1194" s="900"/>
      <c r="O1194" s="900"/>
      <c r="P1194" s="900"/>
    </row>
    <row r="1195" spans="3:16" ht="14.25">
      <c r="C1195" s="900"/>
      <c r="D1195" s="900"/>
      <c r="E1195" s="900"/>
      <c r="F1195" s="900"/>
      <c r="G1195" s="900"/>
      <c r="H1195" s="900"/>
      <c r="I1195" s="900"/>
      <c r="J1195" s="900"/>
      <c r="K1195" s="900"/>
      <c r="L1195" s="900"/>
      <c r="M1195" s="900"/>
      <c r="N1195" s="900"/>
      <c r="O1195" s="900"/>
      <c r="P1195" s="900"/>
    </row>
    <row r="1196" spans="3:16" ht="14.25">
      <c r="C1196" s="900"/>
      <c r="D1196" s="900"/>
      <c r="E1196" s="900"/>
      <c r="F1196" s="900"/>
      <c r="G1196" s="900"/>
      <c r="H1196" s="900"/>
      <c r="I1196" s="900"/>
      <c r="J1196" s="900"/>
      <c r="K1196" s="900"/>
      <c r="L1196" s="900"/>
      <c r="M1196" s="900"/>
      <c r="N1196" s="900"/>
      <c r="O1196" s="900"/>
      <c r="P1196" s="900"/>
    </row>
    <row r="1197" spans="3:16" ht="14.25">
      <c r="C1197" s="900"/>
      <c r="D1197" s="900"/>
      <c r="E1197" s="900"/>
      <c r="F1197" s="900"/>
      <c r="G1197" s="900"/>
      <c r="H1197" s="900"/>
      <c r="I1197" s="900"/>
      <c r="J1197" s="900"/>
      <c r="K1197" s="900"/>
      <c r="L1197" s="900"/>
      <c r="M1197" s="900"/>
      <c r="N1197" s="900"/>
      <c r="O1197" s="900"/>
      <c r="P1197" s="900"/>
    </row>
    <row r="1198" spans="3:16" ht="14.25">
      <c r="C1198" s="900"/>
      <c r="D1198" s="900"/>
      <c r="E1198" s="900"/>
      <c r="F1198" s="900"/>
      <c r="G1198" s="900"/>
      <c r="H1198" s="900"/>
      <c r="I1198" s="900"/>
      <c r="J1198" s="900"/>
      <c r="K1198" s="900"/>
      <c r="L1198" s="900"/>
      <c r="M1198" s="900"/>
      <c r="N1198" s="900"/>
      <c r="O1198" s="900"/>
      <c r="P1198" s="900"/>
    </row>
    <row r="1199" spans="3:16" ht="14.25">
      <c r="C1199" s="900"/>
      <c r="D1199" s="900"/>
      <c r="E1199" s="900"/>
      <c r="F1199" s="900"/>
      <c r="G1199" s="900"/>
      <c r="H1199" s="900"/>
      <c r="I1199" s="900"/>
      <c r="J1199" s="900"/>
      <c r="K1199" s="900"/>
      <c r="L1199" s="900"/>
      <c r="M1199" s="900"/>
      <c r="N1199" s="900"/>
      <c r="O1199" s="900"/>
      <c r="P1199" s="900"/>
    </row>
    <row r="1200" spans="3:16" ht="14.25">
      <c r="C1200" s="900"/>
      <c r="D1200" s="900"/>
      <c r="E1200" s="900"/>
      <c r="F1200" s="900"/>
      <c r="G1200" s="900"/>
      <c r="H1200" s="900"/>
      <c r="I1200" s="900"/>
      <c r="J1200" s="900"/>
      <c r="K1200" s="900"/>
      <c r="L1200" s="900"/>
      <c r="M1200" s="900"/>
      <c r="N1200" s="900"/>
      <c r="O1200" s="900"/>
      <c r="P1200" s="900"/>
    </row>
    <row r="1201" spans="3:16" ht="14.25">
      <c r="C1201" s="900"/>
      <c r="D1201" s="900"/>
      <c r="E1201" s="900"/>
      <c r="F1201" s="900"/>
      <c r="G1201" s="900"/>
      <c r="H1201" s="900"/>
      <c r="I1201" s="900"/>
      <c r="J1201" s="900"/>
      <c r="K1201" s="900"/>
      <c r="L1201" s="900"/>
      <c r="M1201" s="900"/>
      <c r="N1201" s="900"/>
      <c r="O1201" s="900"/>
      <c r="P1201" s="900"/>
    </row>
    <row r="1202" spans="3:16" ht="14.25">
      <c r="C1202" s="900"/>
      <c r="D1202" s="900"/>
      <c r="E1202" s="900"/>
      <c r="F1202" s="900"/>
      <c r="G1202" s="900"/>
      <c r="H1202" s="900"/>
      <c r="I1202" s="900"/>
      <c r="J1202" s="900"/>
      <c r="K1202" s="900"/>
      <c r="L1202" s="900"/>
      <c r="M1202" s="900"/>
      <c r="N1202" s="900"/>
      <c r="O1202" s="900"/>
      <c r="P1202" s="900"/>
    </row>
    <row r="1203" spans="3:16" ht="14.25">
      <c r="C1203" s="900"/>
      <c r="D1203" s="900"/>
      <c r="E1203" s="900"/>
      <c r="F1203" s="900"/>
      <c r="G1203" s="900"/>
      <c r="H1203" s="900"/>
      <c r="I1203" s="900"/>
      <c r="J1203" s="900"/>
      <c r="K1203" s="900"/>
      <c r="L1203" s="900"/>
      <c r="M1203" s="900"/>
      <c r="N1203" s="900"/>
      <c r="O1203" s="900"/>
      <c r="P1203" s="900"/>
    </row>
    <row r="1204" spans="3:16" ht="14.25">
      <c r="C1204" s="900"/>
      <c r="D1204" s="900"/>
      <c r="E1204" s="900"/>
      <c r="F1204" s="900"/>
      <c r="G1204" s="900"/>
      <c r="H1204" s="900"/>
      <c r="I1204" s="900"/>
      <c r="J1204" s="900"/>
      <c r="K1204" s="900"/>
      <c r="L1204" s="900"/>
      <c r="M1204" s="900"/>
      <c r="N1204" s="900"/>
      <c r="O1204" s="900"/>
      <c r="P1204" s="900"/>
    </row>
    <row r="1205" spans="3:16" ht="14.25">
      <c r="C1205" s="900"/>
      <c r="D1205" s="900"/>
      <c r="E1205" s="900"/>
      <c r="F1205" s="900"/>
      <c r="G1205" s="900"/>
      <c r="H1205" s="900"/>
      <c r="I1205" s="900"/>
      <c r="J1205" s="900"/>
      <c r="K1205" s="900"/>
      <c r="L1205" s="900"/>
      <c r="M1205" s="900"/>
      <c r="N1205" s="900"/>
      <c r="O1205" s="900"/>
      <c r="P1205" s="900"/>
    </row>
    <row r="1206" spans="3:16" ht="14.25">
      <c r="C1206" s="900"/>
      <c r="D1206" s="900"/>
      <c r="E1206" s="900"/>
      <c r="F1206" s="900"/>
      <c r="G1206" s="900"/>
      <c r="H1206" s="900"/>
      <c r="I1206" s="900"/>
      <c r="J1206" s="900"/>
      <c r="K1206" s="900"/>
      <c r="L1206" s="900"/>
      <c r="M1206" s="900"/>
      <c r="N1206" s="900"/>
      <c r="O1206" s="900"/>
      <c r="P1206" s="900"/>
    </row>
    <row r="1207" spans="3:16" ht="14.25">
      <c r="C1207" s="900"/>
      <c r="D1207" s="900"/>
      <c r="E1207" s="900"/>
      <c r="F1207" s="900"/>
      <c r="G1207" s="900"/>
      <c r="H1207" s="900"/>
      <c r="I1207" s="900"/>
      <c r="J1207" s="900"/>
      <c r="K1207" s="900"/>
      <c r="L1207" s="900"/>
      <c r="M1207" s="900"/>
      <c r="N1207" s="900"/>
      <c r="O1207" s="900"/>
      <c r="P1207" s="900"/>
    </row>
    <row r="1208" spans="3:16" ht="14.25">
      <c r="C1208" s="900"/>
      <c r="D1208" s="900"/>
      <c r="E1208" s="900"/>
      <c r="F1208" s="900"/>
      <c r="G1208" s="900"/>
      <c r="H1208" s="900"/>
      <c r="I1208" s="900"/>
      <c r="J1208" s="900"/>
      <c r="K1208" s="900"/>
      <c r="L1208" s="900"/>
      <c r="M1208" s="900"/>
      <c r="N1208" s="900"/>
      <c r="O1208" s="900"/>
      <c r="P1208" s="900"/>
    </row>
    <row r="1209" spans="3:16" ht="14.25">
      <c r="C1209" s="900"/>
      <c r="D1209" s="900"/>
      <c r="E1209" s="900"/>
      <c r="F1209" s="900"/>
      <c r="G1209" s="900"/>
      <c r="H1209" s="900"/>
      <c r="I1209" s="900"/>
      <c r="J1209" s="900"/>
      <c r="K1209" s="900"/>
      <c r="L1209" s="900"/>
      <c r="M1209" s="900"/>
      <c r="N1209" s="900"/>
      <c r="O1209" s="900"/>
      <c r="P1209" s="900"/>
    </row>
    <row r="1210" spans="3:16" ht="14.25">
      <c r="C1210" s="900"/>
      <c r="D1210" s="900"/>
      <c r="E1210" s="900"/>
      <c r="F1210" s="900"/>
      <c r="G1210" s="900"/>
      <c r="H1210" s="900"/>
      <c r="I1210" s="900"/>
      <c r="J1210" s="900"/>
      <c r="K1210" s="900"/>
      <c r="L1210" s="900"/>
      <c r="M1210" s="900"/>
      <c r="N1210" s="900"/>
      <c r="O1210" s="900"/>
      <c r="P1210" s="900"/>
    </row>
    <row r="1211" spans="3:16" ht="14.25">
      <c r="C1211" s="900"/>
      <c r="D1211" s="900"/>
      <c r="E1211" s="900"/>
      <c r="F1211" s="900"/>
      <c r="G1211" s="900"/>
      <c r="H1211" s="900"/>
      <c r="I1211" s="900"/>
      <c r="J1211" s="900"/>
      <c r="K1211" s="900"/>
      <c r="L1211" s="900"/>
      <c r="M1211" s="900"/>
      <c r="N1211" s="900"/>
      <c r="O1211" s="900"/>
      <c r="P1211" s="900"/>
    </row>
    <row r="1212" spans="3:16" ht="14.25">
      <c r="C1212" s="900"/>
      <c r="D1212" s="900"/>
      <c r="E1212" s="900"/>
      <c r="F1212" s="900"/>
      <c r="G1212" s="900"/>
      <c r="H1212" s="900"/>
      <c r="I1212" s="900"/>
      <c r="J1212" s="900"/>
      <c r="K1212" s="900"/>
      <c r="L1212" s="900"/>
      <c r="M1212" s="900"/>
      <c r="N1212" s="900"/>
      <c r="O1212" s="900"/>
      <c r="P1212" s="900"/>
    </row>
    <row r="1213" spans="3:16" ht="14.25">
      <c r="C1213" s="900"/>
      <c r="D1213" s="900"/>
      <c r="E1213" s="900"/>
      <c r="F1213" s="900"/>
      <c r="G1213" s="900"/>
      <c r="H1213" s="900"/>
      <c r="I1213" s="900"/>
      <c r="J1213" s="900"/>
      <c r="K1213" s="900"/>
      <c r="L1213" s="900"/>
      <c r="M1213" s="900"/>
      <c r="N1213" s="900"/>
      <c r="O1213" s="900"/>
      <c r="P1213" s="900"/>
    </row>
    <row r="1214" spans="3:16" ht="14.25">
      <c r="C1214" s="900"/>
      <c r="D1214" s="900"/>
      <c r="E1214" s="900"/>
      <c r="F1214" s="900"/>
      <c r="G1214" s="900"/>
      <c r="H1214" s="900"/>
      <c r="I1214" s="900"/>
      <c r="J1214" s="900"/>
      <c r="K1214" s="900"/>
      <c r="L1214" s="900"/>
      <c r="M1214" s="900"/>
      <c r="N1214" s="900"/>
      <c r="O1214" s="900"/>
      <c r="P1214" s="900"/>
    </row>
    <row r="1215" spans="3:16" ht="14.25">
      <c r="C1215" s="900"/>
      <c r="D1215" s="900"/>
      <c r="E1215" s="900"/>
      <c r="F1215" s="900"/>
      <c r="G1215" s="900"/>
      <c r="H1215" s="900"/>
      <c r="I1215" s="900"/>
      <c r="J1215" s="900"/>
      <c r="K1215" s="900"/>
      <c r="L1215" s="900"/>
      <c r="M1215" s="900"/>
      <c r="N1215" s="900"/>
      <c r="O1215" s="900"/>
      <c r="P1215" s="900"/>
    </row>
    <row r="1216" spans="3:16" ht="14.25">
      <c r="C1216" s="900"/>
      <c r="D1216" s="900"/>
      <c r="E1216" s="900"/>
      <c r="F1216" s="900"/>
      <c r="G1216" s="900"/>
      <c r="H1216" s="900"/>
      <c r="I1216" s="900"/>
      <c r="J1216" s="900"/>
      <c r="K1216" s="900"/>
      <c r="L1216" s="900"/>
      <c r="M1216" s="900"/>
      <c r="N1216" s="900"/>
      <c r="O1216" s="900"/>
      <c r="P1216" s="900"/>
    </row>
    <row r="1217" spans="3:16" ht="14.25">
      <c r="C1217" s="900"/>
      <c r="D1217" s="900"/>
      <c r="E1217" s="900"/>
      <c r="F1217" s="900"/>
      <c r="G1217" s="900"/>
      <c r="H1217" s="900"/>
      <c r="I1217" s="900"/>
      <c r="J1217" s="900"/>
      <c r="K1217" s="900"/>
      <c r="L1217" s="900"/>
      <c r="M1217" s="900"/>
      <c r="N1217" s="900"/>
      <c r="O1217" s="900"/>
      <c r="P1217" s="900"/>
    </row>
    <row r="1218" spans="3:16" ht="14.25">
      <c r="C1218" s="900"/>
      <c r="D1218" s="900"/>
      <c r="E1218" s="900"/>
      <c r="F1218" s="900"/>
      <c r="G1218" s="900"/>
      <c r="H1218" s="900"/>
      <c r="I1218" s="900"/>
      <c r="J1218" s="900"/>
      <c r="K1218" s="900"/>
      <c r="L1218" s="900"/>
      <c r="M1218" s="900"/>
      <c r="N1218" s="900"/>
      <c r="O1218" s="900"/>
      <c r="P1218" s="900"/>
    </row>
    <row r="1219" spans="3:16" ht="14.25">
      <c r="C1219" s="900"/>
      <c r="D1219" s="900"/>
      <c r="E1219" s="900"/>
      <c r="F1219" s="900"/>
      <c r="G1219" s="900"/>
      <c r="H1219" s="900"/>
      <c r="I1219" s="900"/>
      <c r="J1219" s="900"/>
      <c r="K1219" s="900"/>
      <c r="L1219" s="900"/>
      <c r="M1219" s="900"/>
      <c r="N1219" s="900"/>
      <c r="O1219" s="900"/>
      <c r="P1219" s="900"/>
    </row>
    <row r="1220" spans="3:16" ht="14.25">
      <c r="C1220" s="900"/>
      <c r="D1220" s="900"/>
      <c r="E1220" s="900"/>
      <c r="F1220" s="900"/>
      <c r="G1220" s="900"/>
      <c r="H1220" s="900"/>
      <c r="I1220" s="900"/>
      <c r="J1220" s="900"/>
      <c r="K1220" s="900"/>
      <c r="L1220" s="900"/>
      <c r="M1220" s="900"/>
      <c r="N1220" s="900"/>
      <c r="O1220" s="900"/>
      <c r="P1220" s="900"/>
    </row>
    <row r="1221" spans="3:16" ht="14.25">
      <c r="C1221" s="900"/>
      <c r="D1221" s="900"/>
      <c r="E1221" s="900"/>
      <c r="F1221" s="900"/>
      <c r="G1221" s="900"/>
      <c r="H1221" s="900"/>
      <c r="I1221" s="900"/>
      <c r="J1221" s="900"/>
      <c r="K1221" s="900"/>
      <c r="L1221" s="900"/>
      <c r="M1221" s="900"/>
      <c r="N1221" s="900"/>
      <c r="O1221" s="900"/>
      <c r="P1221" s="900"/>
    </row>
    <row r="1222" spans="3:16" ht="14.25">
      <c r="C1222" s="900"/>
      <c r="D1222" s="900"/>
      <c r="E1222" s="900"/>
      <c r="F1222" s="900"/>
      <c r="G1222" s="900"/>
      <c r="H1222" s="900"/>
      <c r="I1222" s="900"/>
      <c r="J1222" s="900"/>
      <c r="K1222" s="900"/>
      <c r="L1222" s="900"/>
      <c r="M1222" s="900"/>
      <c r="N1222" s="900"/>
      <c r="O1222" s="900"/>
      <c r="P1222" s="900"/>
    </row>
    <row r="1223" spans="3:16" ht="14.25">
      <c r="C1223" s="900"/>
      <c r="D1223" s="900"/>
      <c r="E1223" s="900"/>
      <c r="F1223" s="900"/>
      <c r="G1223" s="900"/>
      <c r="H1223" s="900"/>
      <c r="I1223" s="900"/>
      <c r="J1223" s="900"/>
      <c r="K1223" s="900"/>
      <c r="L1223" s="900"/>
      <c r="M1223" s="900"/>
      <c r="N1223" s="900"/>
      <c r="O1223" s="900"/>
      <c r="P1223" s="900"/>
    </row>
    <row r="1224" spans="3:16" ht="14.25">
      <c r="C1224" s="900"/>
      <c r="D1224" s="900"/>
      <c r="E1224" s="900"/>
      <c r="F1224" s="900"/>
      <c r="G1224" s="900"/>
      <c r="H1224" s="900"/>
      <c r="I1224" s="900"/>
      <c r="J1224" s="900"/>
      <c r="K1224" s="900"/>
      <c r="L1224" s="900"/>
      <c r="M1224" s="900"/>
      <c r="N1224" s="900"/>
      <c r="O1224" s="900"/>
      <c r="P1224" s="900"/>
    </row>
    <row r="1225" spans="3:16" ht="14.25">
      <c r="C1225" s="900"/>
      <c r="D1225" s="900"/>
      <c r="E1225" s="900"/>
      <c r="F1225" s="900"/>
      <c r="G1225" s="900"/>
      <c r="H1225" s="900"/>
      <c r="I1225" s="900"/>
      <c r="J1225" s="900"/>
      <c r="K1225" s="900"/>
      <c r="L1225" s="900"/>
      <c r="M1225" s="900"/>
      <c r="N1225" s="900"/>
      <c r="O1225" s="900"/>
      <c r="P1225" s="900"/>
    </row>
    <row r="1226" spans="3:16" ht="14.25">
      <c r="C1226" s="900"/>
      <c r="D1226" s="900"/>
      <c r="E1226" s="900"/>
      <c r="F1226" s="900"/>
      <c r="G1226" s="900"/>
      <c r="H1226" s="900"/>
      <c r="I1226" s="900"/>
      <c r="J1226" s="900"/>
      <c r="K1226" s="900"/>
      <c r="L1226" s="900"/>
      <c r="M1226" s="900"/>
      <c r="N1226" s="900"/>
      <c r="O1226" s="900"/>
      <c r="P1226" s="900"/>
    </row>
    <row r="1227" spans="3:16" ht="14.25">
      <c r="C1227" s="900"/>
      <c r="D1227" s="900"/>
      <c r="E1227" s="900"/>
      <c r="F1227" s="900"/>
      <c r="G1227" s="900"/>
      <c r="H1227" s="900"/>
      <c r="I1227" s="900"/>
      <c r="J1227" s="900"/>
      <c r="K1227" s="900"/>
      <c r="L1227" s="900"/>
      <c r="M1227" s="900"/>
      <c r="N1227" s="900"/>
      <c r="O1227" s="900"/>
      <c r="P1227" s="900"/>
    </row>
    <row r="1228" spans="3:16" ht="14.25">
      <c r="C1228" s="900"/>
      <c r="D1228" s="900"/>
      <c r="E1228" s="900"/>
      <c r="F1228" s="900"/>
      <c r="G1228" s="900"/>
      <c r="H1228" s="900"/>
      <c r="I1228" s="900"/>
      <c r="J1228" s="900"/>
      <c r="K1228" s="900"/>
      <c r="L1228" s="900"/>
      <c r="M1228" s="900"/>
      <c r="N1228" s="900"/>
      <c r="O1228" s="900"/>
      <c r="P1228" s="900"/>
    </row>
    <row r="1229" spans="3:16" ht="14.25">
      <c r="C1229" s="900"/>
      <c r="D1229" s="900"/>
      <c r="E1229" s="900"/>
      <c r="F1229" s="900"/>
      <c r="G1229" s="900"/>
      <c r="H1229" s="900"/>
      <c r="I1229" s="900"/>
      <c r="J1229" s="900"/>
      <c r="K1229" s="900"/>
      <c r="L1229" s="900"/>
      <c r="M1229" s="900"/>
      <c r="N1229" s="900"/>
      <c r="O1229" s="900"/>
      <c r="P1229" s="900"/>
    </row>
    <row r="1230" spans="3:16" ht="14.25">
      <c r="C1230" s="900"/>
      <c r="D1230" s="900"/>
      <c r="E1230" s="900"/>
      <c r="F1230" s="900"/>
      <c r="G1230" s="900"/>
      <c r="H1230" s="900"/>
      <c r="I1230" s="900"/>
      <c r="J1230" s="900"/>
      <c r="K1230" s="900"/>
      <c r="L1230" s="900"/>
      <c r="M1230" s="900"/>
      <c r="N1230" s="900"/>
      <c r="O1230" s="900"/>
      <c r="P1230" s="900"/>
    </row>
    <row r="1231" spans="3:16" ht="14.25">
      <c r="C1231" s="900"/>
      <c r="D1231" s="900"/>
      <c r="E1231" s="900"/>
      <c r="F1231" s="900"/>
      <c r="G1231" s="900"/>
      <c r="H1231" s="900"/>
      <c r="I1231" s="900"/>
      <c r="J1231" s="900"/>
      <c r="K1231" s="900"/>
      <c r="L1231" s="900"/>
      <c r="M1231" s="900"/>
      <c r="N1231" s="900"/>
      <c r="O1231" s="900"/>
      <c r="P1231" s="900"/>
    </row>
    <row r="1232" spans="3:16" ht="14.25">
      <c r="C1232" s="900"/>
      <c r="D1232" s="900"/>
      <c r="E1232" s="900"/>
      <c r="F1232" s="900"/>
      <c r="G1232" s="900"/>
      <c r="H1232" s="900"/>
      <c r="I1232" s="900"/>
      <c r="J1232" s="900"/>
      <c r="K1232" s="900"/>
      <c r="L1232" s="900"/>
      <c r="M1232" s="900"/>
      <c r="N1232" s="900"/>
      <c r="O1232" s="900"/>
      <c r="P1232" s="900"/>
    </row>
    <row r="1233" spans="3:16" ht="14.25">
      <c r="C1233" s="900"/>
      <c r="D1233" s="900"/>
      <c r="E1233" s="900"/>
      <c r="F1233" s="900"/>
      <c r="G1233" s="900"/>
      <c r="H1233" s="900"/>
      <c r="I1233" s="900"/>
      <c r="J1233" s="900"/>
      <c r="K1233" s="900"/>
      <c r="L1233" s="900"/>
      <c r="M1233" s="900"/>
      <c r="N1233" s="900"/>
      <c r="O1233" s="900"/>
      <c r="P1233" s="900"/>
    </row>
    <row r="1234" spans="3:16" ht="14.25">
      <c r="C1234" s="900"/>
      <c r="D1234" s="900"/>
      <c r="E1234" s="900"/>
      <c r="F1234" s="900"/>
      <c r="G1234" s="900"/>
      <c r="H1234" s="900"/>
      <c r="I1234" s="900"/>
      <c r="J1234" s="900"/>
      <c r="K1234" s="900"/>
      <c r="L1234" s="900"/>
      <c r="M1234" s="900"/>
      <c r="N1234" s="900"/>
      <c r="O1234" s="900"/>
      <c r="P1234" s="900"/>
    </row>
    <row r="1235" spans="3:16" ht="14.25">
      <c r="C1235" s="900"/>
      <c r="D1235" s="900"/>
      <c r="E1235" s="900"/>
      <c r="F1235" s="900"/>
      <c r="G1235" s="900"/>
      <c r="H1235" s="900"/>
      <c r="I1235" s="900"/>
      <c r="J1235" s="900"/>
      <c r="K1235" s="900"/>
      <c r="L1235" s="900"/>
      <c r="M1235" s="900"/>
      <c r="N1235" s="900"/>
      <c r="O1235" s="900"/>
      <c r="P1235" s="900"/>
    </row>
    <row r="1236" spans="3:16" ht="14.25">
      <c r="C1236" s="900"/>
      <c r="D1236" s="900"/>
      <c r="E1236" s="900"/>
      <c r="F1236" s="900"/>
      <c r="G1236" s="900"/>
      <c r="H1236" s="900"/>
      <c r="I1236" s="900"/>
      <c r="J1236" s="900"/>
      <c r="K1236" s="900"/>
      <c r="L1236" s="900"/>
      <c r="M1236" s="900"/>
      <c r="N1236" s="900"/>
      <c r="O1236" s="900"/>
      <c r="P1236" s="900"/>
    </row>
    <row r="1237" spans="3:16" ht="14.25">
      <c r="C1237" s="900"/>
      <c r="D1237" s="900"/>
      <c r="E1237" s="900"/>
      <c r="F1237" s="900"/>
      <c r="G1237" s="900"/>
      <c r="H1237" s="900"/>
      <c r="I1237" s="900"/>
      <c r="J1237" s="900"/>
      <c r="K1237" s="900"/>
      <c r="L1237" s="900"/>
      <c r="M1237" s="900"/>
      <c r="N1237" s="900"/>
      <c r="O1237" s="900"/>
      <c r="P1237" s="900"/>
    </row>
    <row r="1238" spans="3:16" ht="14.25">
      <c r="C1238" s="900"/>
      <c r="D1238" s="900"/>
      <c r="E1238" s="900"/>
      <c r="F1238" s="900"/>
      <c r="G1238" s="900"/>
      <c r="H1238" s="900"/>
      <c r="I1238" s="900"/>
      <c r="J1238" s="900"/>
      <c r="K1238" s="900"/>
      <c r="L1238" s="900"/>
      <c r="M1238" s="900"/>
      <c r="N1238" s="900"/>
      <c r="O1238" s="900"/>
      <c r="P1238" s="900"/>
    </row>
    <row r="1239" spans="3:16" ht="14.25">
      <c r="C1239" s="900"/>
      <c r="D1239" s="900"/>
      <c r="E1239" s="900"/>
      <c r="F1239" s="900"/>
      <c r="G1239" s="900"/>
      <c r="H1239" s="900"/>
      <c r="I1239" s="900"/>
      <c r="J1239" s="900"/>
      <c r="K1239" s="900"/>
      <c r="L1239" s="900"/>
      <c r="M1239" s="900"/>
      <c r="N1239" s="900"/>
      <c r="O1239" s="900"/>
      <c r="P1239" s="900"/>
    </row>
    <row r="1240" spans="3:16" ht="14.25">
      <c r="C1240" s="900"/>
      <c r="D1240" s="900"/>
      <c r="E1240" s="900"/>
      <c r="F1240" s="900"/>
      <c r="G1240" s="900"/>
      <c r="H1240" s="900"/>
      <c r="I1240" s="900"/>
      <c r="J1240" s="900"/>
      <c r="K1240" s="900"/>
      <c r="L1240" s="900"/>
      <c r="M1240" s="900"/>
      <c r="N1240" s="900"/>
      <c r="O1240" s="900"/>
      <c r="P1240" s="900"/>
    </row>
    <row r="1241" spans="3:16" ht="14.25">
      <c r="C1241" s="900"/>
      <c r="D1241" s="900"/>
      <c r="E1241" s="900"/>
      <c r="F1241" s="900"/>
      <c r="G1241" s="900"/>
      <c r="H1241" s="900"/>
      <c r="I1241" s="900"/>
      <c r="J1241" s="900"/>
      <c r="K1241" s="900"/>
      <c r="L1241" s="900"/>
      <c r="M1241" s="900"/>
      <c r="N1241" s="900"/>
      <c r="O1241" s="900"/>
      <c r="P1241" s="900"/>
    </row>
    <row r="1242" spans="3:16" ht="14.25">
      <c r="C1242" s="900"/>
      <c r="D1242" s="900"/>
      <c r="E1242" s="900"/>
      <c r="F1242" s="900"/>
      <c r="G1242" s="900"/>
      <c r="H1242" s="900"/>
      <c r="I1242" s="900"/>
      <c r="J1242" s="900"/>
      <c r="K1242" s="900"/>
      <c r="L1242" s="900"/>
      <c r="M1242" s="900"/>
      <c r="N1242" s="900"/>
      <c r="O1242" s="900"/>
      <c r="P1242" s="900"/>
    </row>
    <row r="1243" spans="3:16" ht="14.25">
      <c r="C1243" s="900"/>
      <c r="D1243" s="900"/>
      <c r="E1243" s="900"/>
      <c r="F1243" s="900"/>
      <c r="G1243" s="900"/>
      <c r="H1243" s="900"/>
      <c r="I1243" s="900"/>
      <c r="J1243" s="900"/>
      <c r="K1243" s="900"/>
      <c r="L1243" s="900"/>
      <c r="M1243" s="900"/>
      <c r="N1243" s="900"/>
      <c r="O1243" s="900"/>
      <c r="P1243" s="900"/>
    </row>
    <row r="1244" spans="3:16" ht="14.25">
      <c r="C1244" s="900"/>
      <c r="D1244" s="900"/>
      <c r="E1244" s="900"/>
      <c r="F1244" s="900"/>
      <c r="G1244" s="900"/>
      <c r="H1244" s="900"/>
      <c r="I1244" s="900"/>
      <c r="J1244" s="900"/>
      <c r="K1244" s="900"/>
      <c r="L1244" s="900"/>
      <c r="M1244" s="900"/>
      <c r="N1244" s="900"/>
      <c r="O1244" s="900"/>
      <c r="P1244" s="900"/>
    </row>
    <row r="1245" spans="3:16" ht="14.25">
      <c r="C1245" s="900"/>
      <c r="D1245" s="900"/>
      <c r="E1245" s="900"/>
      <c r="F1245" s="900"/>
      <c r="G1245" s="900"/>
      <c r="H1245" s="900"/>
      <c r="I1245" s="900"/>
      <c r="J1245" s="900"/>
      <c r="K1245" s="900"/>
      <c r="L1245" s="900"/>
      <c r="M1245" s="900"/>
      <c r="N1245" s="900"/>
      <c r="O1245" s="900"/>
      <c r="P1245" s="900"/>
    </row>
    <row r="1246" spans="3:16" ht="14.25">
      <c r="C1246" s="900"/>
      <c r="D1246" s="900"/>
      <c r="E1246" s="900"/>
      <c r="F1246" s="900"/>
      <c r="G1246" s="900"/>
      <c r="H1246" s="900"/>
      <c r="I1246" s="900"/>
      <c r="J1246" s="900"/>
      <c r="K1246" s="900"/>
      <c r="L1246" s="900"/>
      <c r="M1246" s="900"/>
      <c r="N1246" s="900"/>
      <c r="O1246" s="900"/>
      <c r="P1246" s="900"/>
    </row>
    <row r="1247" spans="3:16" ht="14.25">
      <c r="C1247" s="900"/>
      <c r="D1247" s="900"/>
      <c r="E1247" s="900"/>
      <c r="F1247" s="900"/>
      <c r="G1247" s="900"/>
      <c r="H1247" s="900"/>
      <c r="I1247" s="900"/>
      <c r="J1247" s="900"/>
      <c r="K1247" s="900"/>
      <c r="L1247" s="900"/>
      <c r="M1247" s="900"/>
      <c r="N1247" s="900"/>
      <c r="O1247" s="900"/>
      <c r="P1247" s="900"/>
    </row>
    <row r="1248" spans="3:16" ht="14.25">
      <c r="C1248" s="900"/>
      <c r="D1248" s="900"/>
      <c r="E1248" s="900"/>
      <c r="F1248" s="900"/>
      <c r="G1248" s="900"/>
      <c r="H1248" s="900"/>
      <c r="I1248" s="900"/>
      <c r="J1248" s="900"/>
      <c r="K1248" s="900"/>
      <c r="L1248" s="900"/>
      <c r="M1248" s="900"/>
      <c r="N1248" s="900"/>
      <c r="O1248" s="900"/>
      <c r="P1248" s="900"/>
    </row>
    <row r="1249" spans="3:16" ht="14.25">
      <c r="C1249" s="900"/>
      <c r="D1249" s="900"/>
      <c r="E1249" s="900"/>
      <c r="F1249" s="900"/>
      <c r="G1249" s="900"/>
      <c r="H1249" s="900"/>
      <c r="I1249" s="900"/>
      <c r="J1249" s="900"/>
      <c r="K1249" s="900"/>
      <c r="L1249" s="900"/>
      <c r="M1249" s="900"/>
      <c r="N1249" s="900"/>
      <c r="O1249" s="900"/>
      <c r="P1249" s="900"/>
    </row>
    <row r="1250" spans="3:16" ht="14.25">
      <c r="C1250" s="900"/>
      <c r="D1250" s="900"/>
      <c r="E1250" s="900"/>
      <c r="F1250" s="900"/>
      <c r="G1250" s="900"/>
      <c r="H1250" s="900"/>
      <c r="I1250" s="900"/>
      <c r="J1250" s="900"/>
      <c r="K1250" s="900"/>
      <c r="L1250" s="900"/>
      <c r="M1250" s="900"/>
      <c r="N1250" s="900"/>
      <c r="O1250" s="900"/>
      <c r="P1250" s="900"/>
    </row>
    <row r="1251" spans="3:16" ht="14.25">
      <c r="C1251" s="900"/>
      <c r="D1251" s="900"/>
      <c r="E1251" s="900"/>
      <c r="F1251" s="900"/>
      <c r="G1251" s="900"/>
      <c r="H1251" s="900"/>
      <c r="I1251" s="900"/>
      <c r="J1251" s="900"/>
      <c r="K1251" s="900"/>
      <c r="L1251" s="900"/>
      <c r="M1251" s="900"/>
      <c r="N1251" s="900"/>
      <c r="O1251" s="900"/>
      <c r="P1251" s="900"/>
    </row>
    <row r="1252" spans="3:16" ht="14.25">
      <c r="C1252" s="900"/>
      <c r="D1252" s="900"/>
      <c r="E1252" s="900"/>
      <c r="F1252" s="900"/>
      <c r="G1252" s="900"/>
      <c r="H1252" s="900"/>
      <c r="I1252" s="900"/>
      <c r="J1252" s="900"/>
      <c r="K1252" s="900"/>
      <c r="L1252" s="900"/>
      <c r="M1252" s="900"/>
      <c r="N1252" s="900"/>
      <c r="O1252" s="900"/>
      <c r="P1252" s="900"/>
    </row>
    <row r="1253" spans="3:16" ht="14.25">
      <c r="C1253" s="900"/>
      <c r="D1253" s="900"/>
      <c r="E1253" s="900"/>
      <c r="F1253" s="900"/>
      <c r="G1253" s="900"/>
      <c r="H1253" s="900"/>
      <c r="I1253" s="900"/>
      <c r="J1253" s="900"/>
      <c r="K1253" s="900"/>
      <c r="L1253" s="900"/>
      <c r="M1253" s="900"/>
      <c r="N1253" s="900"/>
      <c r="O1253" s="900"/>
      <c r="P1253" s="900"/>
    </row>
    <row r="1254" spans="3:16" ht="14.25">
      <c r="C1254" s="900"/>
      <c r="D1254" s="900"/>
      <c r="E1254" s="900"/>
      <c r="F1254" s="900"/>
      <c r="G1254" s="900"/>
      <c r="H1254" s="900"/>
      <c r="I1254" s="900"/>
      <c r="J1254" s="900"/>
      <c r="K1254" s="900"/>
      <c r="L1254" s="900"/>
      <c r="M1254" s="900"/>
      <c r="N1254" s="900"/>
      <c r="O1254" s="900"/>
      <c r="P1254" s="900"/>
    </row>
    <row r="1255" spans="3:16" ht="14.25">
      <c r="C1255" s="900"/>
      <c r="D1255" s="900"/>
      <c r="E1255" s="900"/>
      <c r="F1255" s="900"/>
      <c r="G1255" s="900"/>
      <c r="H1255" s="900"/>
      <c r="I1255" s="900"/>
      <c r="J1255" s="900"/>
      <c r="K1255" s="900"/>
      <c r="L1255" s="900"/>
      <c r="M1255" s="900"/>
      <c r="N1255" s="900"/>
      <c r="O1255" s="900"/>
      <c r="P1255" s="900"/>
    </row>
    <row r="1256" spans="3:16" ht="14.25">
      <c r="C1256" s="900"/>
      <c r="D1256" s="900"/>
      <c r="E1256" s="900"/>
      <c r="F1256" s="900"/>
      <c r="G1256" s="900"/>
      <c r="H1256" s="900"/>
      <c r="I1256" s="900"/>
      <c r="J1256" s="900"/>
      <c r="K1256" s="900"/>
      <c r="L1256" s="900"/>
      <c r="M1256" s="900"/>
      <c r="N1256" s="900"/>
      <c r="O1256" s="900"/>
      <c r="P1256" s="900"/>
    </row>
    <row r="1257" spans="3:16" ht="14.25">
      <c r="C1257" s="900"/>
      <c r="D1257" s="900"/>
      <c r="E1257" s="900"/>
      <c r="F1257" s="900"/>
      <c r="G1257" s="900"/>
      <c r="H1257" s="900"/>
      <c r="I1257" s="900"/>
      <c r="J1257" s="900"/>
      <c r="K1257" s="900"/>
      <c r="L1257" s="900"/>
      <c r="M1257" s="900"/>
      <c r="N1257" s="900"/>
      <c r="O1257" s="900"/>
      <c r="P1257" s="900"/>
    </row>
    <row r="1258" spans="3:16" ht="14.25">
      <c r="C1258" s="900"/>
      <c r="D1258" s="900"/>
      <c r="E1258" s="900"/>
      <c r="F1258" s="900"/>
      <c r="G1258" s="900"/>
      <c r="H1258" s="900"/>
      <c r="I1258" s="900"/>
      <c r="J1258" s="900"/>
      <c r="K1258" s="900"/>
      <c r="L1258" s="900"/>
      <c r="M1258" s="900"/>
      <c r="N1258" s="900"/>
      <c r="O1258" s="900"/>
      <c r="P1258" s="900"/>
    </row>
    <row r="1259" spans="3:16" ht="14.25">
      <c r="C1259" s="900"/>
      <c r="D1259" s="900"/>
      <c r="E1259" s="900"/>
      <c r="F1259" s="900"/>
      <c r="G1259" s="900"/>
      <c r="H1259" s="900"/>
      <c r="I1259" s="900"/>
      <c r="J1259" s="900"/>
      <c r="K1259" s="900"/>
      <c r="L1259" s="900"/>
      <c r="M1259" s="900"/>
      <c r="N1259" s="900"/>
      <c r="O1259" s="900"/>
      <c r="P1259" s="900"/>
    </row>
    <row r="1260" spans="3:16" ht="14.25">
      <c r="C1260" s="900"/>
      <c r="D1260" s="900"/>
      <c r="E1260" s="900"/>
      <c r="F1260" s="900"/>
      <c r="G1260" s="900"/>
      <c r="H1260" s="900"/>
      <c r="I1260" s="900"/>
      <c r="J1260" s="900"/>
      <c r="K1260" s="900"/>
      <c r="L1260" s="900"/>
      <c r="M1260" s="900"/>
      <c r="N1260" s="900"/>
      <c r="O1260" s="900"/>
      <c r="P1260" s="900"/>
    </row>
    <row r="1261" spans="3:16" ht="14.25">
      <c r="C1261" s="900"/>
      <c r="D1261" s="900"/>
      <c r="E1261" s="900"/>
      <c r="F1261" s="900"/>
      <c r="G1261" s="900"/>
      <c r="H1261" s="900"/>
      <c r="I1261" s="900"/>
      <c r="J1261" s="900"/>
      <c r="K1261" s="900"/>
      <c r="L1261" s="900"/>
      <c r="M1261" s="900"/>
      <c r="N1261" s="900"/>
      <c r="O1261" s="900"/>
      <c r="P1261" s="900"/>
    </row>
    <row r="1262" spans="3:16" ht="14.25">
      <c r="C1262" s="900"/>
      <c r="D1262" s="900"/>
      <c r="E1262" s="900"/>
      <c r="F1262" s="900"/>
      <c r="G1262" s="900"/>
      <c r="H1262" s="900"/>
      <c r="I1262" s="900"/>
      <c r="J1262" s="900"/>
      <c r="K1262" s="900"/>
      <c r="L1262" s="900"/>
      <c r="M1262" s="900"/>
      <c r="N1262" s="900"/>
      <c r="O1262" s="900"/>
      <c r="P1262" s="900"/>
    </row>
    <row r="1263" spans="3:16" ht="14.25">
      <c r="C1263" s="900"/>
      <c r="D1263" s="900"/>
      <c r="E1263" s="900"/>
      <c r="F1263" s="900"/>
      <c r="G1263" s="900"/>
      <c r="H1263" s="900"/>
      <c r="I1263" s="900"/>
      <c r="J1263" s="900"/>
      <c r="K1263" s="900"/>
      <c r="L1263" s="900"/>
      <c r="M1263" s="900"/>
      <c r="N1263" s="900"/>
      <c r="O1263" s="900"/>
      <c r="P1263" s="900"/>
    </row>
    <row r="1264" spans="3:16" ht="14.25">
      <c r="C1264" s="900"/>
      <c r="D1264" s="900"/>
      <c r="E1264" s="900"/>
      <c r="F1264" s="900"/>
      <c r="G1264" s="900"/>
      <c r="H1264" s="900"/>
      <c r="I1264" s="900"/>
      <c r="J1264" s="900"/>
      <c r="K1264" s="900"/>
      <c r="L1264" s="900"/>
      <c r="M1264" s="900"/>
      <c r="N1264" s="900"/>
      <c r="O1264" s="900"/>
      <c r="P1264" s="900"/>
    </row>
    <row r="1265" spans="3:16" ht="14.25">
      <c r="C1265" s="900"/>
      <c r="D1265" s="900"/>
      <c r="E1265" s="900"/>
      <c r="F1265" s="900"/>
      <c r="G1265" s="900"/>
      <c r="H1265" s="900"/>
      <c r="I1265" s="900"/>
      <c r="J1265" s="900"/>
      <c r="K1265" s="900"/>
      <c r="L1265" s="900"/>
      <c r="M1265" s="900"/>
      <c r="N1265" s="900"/>
      <c r="O1265" s="900"/>
      <c r="P1265" s="900"/>
    </row>
    <row r="1266" spans="3:16" ht="14.25">
      <c r="C1266" s="900"/>
      <c r="D1266" s="900"/>
      <c r="E1266" s="900"/>
      <c r="F1266" s="900"/>
      <c r="G1266" s="900"/>
      <c r="H1266" s="900"/>
      <c r="I1266" s="900"/>
      <c r="J1266" s="900"/>
      <c r="K1266" s="900"/>
      <c r="L1266" s="900"/>
      <c r="M1266" s="900"/>
      <c r="N1266" s="900"/>
      <c r="O1266" s="900"/>
      <c r="P1266" s="900"/>
    </row>
    <row r="1267" spans="3:16" ht="14.25">
      <c r="C1267" s="900"/>
      <c r="D1267" s="900"/>
      <c r="E1267" s="900"/>
      <c r="F1267" s="900"/>
      <c r="G1267" s="900"/>
      <c r="H1267" s="900"/>
      <c r="I1267" s="900"/>
      <c r="J1267" s="900"/>
      <c r="K1267" s="900"/>
      <c r="L1267" s="900"/>
      <c r="M1267" s="900"/>
      <c r="N1267" s="900"/>
      <c r="O1267" s="900"/>
      <c r="P1267" s="900"/>
    </row>
    <row r="1268" spans="3:16" ht="14.25">
      <c r="C1268" s="900"/>
      <c r="D1268" s="900"/>
      <c r="E1268" s="900"/>
      <c r="F1268" s="900"/>
      <c r="G1268" s="900"/>
      <c r="H1268" s="900"/>
      <c r="I1268" s="900"/>
      <c r="J1268" s="900"/>
      <c r="K1268" s="900"/>
      <c r="L1268" s="900"/>
      <c r="M1268" s="900"/>
      <c r="N1268" s="900"/>
      <c r="O1268" s="900"/>
      <c r="P1268" s="900"/>
    </row>
    <row r="1269" spans="3:16" ht="14.25">
      <c r="C1269" s="900"/>
      <c r="D1269" s="900"/>
      <c r="E1269" s="900"/>
      <c r="F1269" s="900"/>
      <c r="G1269" s="900"/>
      <c r="H1269" s="900"/>
      <c r="I1269" s="900"/>
      <c r="J1269" s="900"/>
      <c r="K1269" s="900"/>
      <c r="L1269" s="900"/>
      <c r="M1269" s="900"/>
      <c r="N1269" s="900"/>
      <c r="O1269" s="900"/>
      <c r="P1269" s="900"/>
    </row>
    <row r="1270" spans="3:16" ht="14.25">
      <c r="C1270" s="900"/>
      <c r="D1270" s="900"/>
      <c r="E1270" s="900"/>
      <c r="F1270" s="900"/>
      <c r="G1270" s="900"/>
      <c r="H1270" s="900"/>
      <c r="I1270" s="900"/>
      <c r="J1270" s="900"/>
      <c r="K1270" s="900"/>
      <c r="L1270" s="900"/>
      <c r="M1270" s="900"/>
      <c r="N1270" s="900"/>
      <c r="O1270" s="900"/>
      <c r="P1270" s="900"/>
    </row>
    <row r="1271" spans="3:16" ht="14.25">
      <c r="C1271" s="900"/>
      <c r="D1271" s="900"/>
      <c r="E1271" s="900"/>
      <c r="F1271" s="900"/>
      <c r="G1271" s="900"/>
      <c r="H1271" s="900"/>
      <c r="I1271" s="900"/>
      <c r="J1271" s="900"/>
      <c r="K1271" s="900"/>
      <c r="L1271" s="900"/>
      <c r="M1271" s="900"/>
      <c r="N1271" s="900"/>
      <c r="O1271" s="900"/>
      <c r="P1271" s="900"/>
    </row>
    <row r="1272" spans="3:16" ht="14.25">
      <c r="C1272" s="900"/>
      <c r="D1272" s="900"/>
      <c r="E1272" s="900"/>
      <c r="F1272" s="900"/>
      <c r="G1272" s="900"/>
      <c r="H1272" s="900"/>
      <c r="I1272" s="900"/>
      <c r="J1272" s="900"/>
      <c r="K1272" s="900"/>
      <c r="L1272" s="900"/>
      <c r="M1272" s="900"/>
      <c r="N1272" s="900"/>
      <c r="O1272" s="900"/>
      <c r="P1272" s="900"/>
    </row>
    <row r="1273" spans="3:16" ht="14.25">
      <c r="C1273" s="900"/>
      <c r="D1273" s="900"/>
      <c r="E1273" s="900"/>
      <c r="F1273" s="900"/>
      <c r="G1273" s="900"/>
      <c r="H1273" s="900"/>
      <c r="I1273" s="900"/>
      <c r="J1273" s="900"/>
      <c r="K1273" s="900"/>
      <c r="L1273" s="900"/>
      <c r="M1273" s="900"/>
      <c r="N1273" s="900"/>
      <c r="O1273" s="900"/>
      <c r="P1273" s="900"/>
    </row>
    <row r="1274" spans="3:16" ht="14.25">
      <c r="C1274" s="900"/>
      <c r="D1274" s="900"/>
      <c r="E1274" s="900"/>
      <c r="F1274" s="900"/>
      <c r="G1274" s="900"/>
      <c r="H1274" s="900"/>
      <c r="I1274" s="900"/>
      <c r="J1274" s="900"/>
      <c r="K1274" s="900"/>
      <c r="L1274" s="900"/>
      <c r="M1274" s="900"/>
      <c r="N1274" s="900"/>
      <c r="O1274" s="900"/>
      <c r="P1274" s="900"/>
    </row>
    <row r="1275" spans="3:16" ht="14.25">
      <c r="C1275" s="900"/>
      <c r="D1275" s="900"/>
      <c r="E1275" s="900"/>
      <c r="F1275" s="900"/>
      <c r="G1275" s="900"/>
      <c r="H1275" s="900"/>
      <c r="I1275" s="900"/>
      <c r="J1275" s="900"/>
      <c r="K1275" s="900"/>
      <c r="L1275" s="900"/>
      <c r="M1275" s="900"/>
      <c r="N1275" s="900"/>
      <c r="O1275" s="900"/>
      <c r="P1275" s="900"/>
    </row>
    <row r="1276" spans="3:16" ht="14.25">
      <c r="C1276" s="900"/>
      <c r="D1276" s="900"/>
      <c r="E1276" s="900"/>
      <c r="F1276" s="900"/>
      <c r="G1276" s="900"/>
      <c r="H1276" s="900"/>
      <c r="I1276" s="900"/>
      <c r="J1276" s="900"/>
      <c r="K1276" s="900"/>
      <c r="L1276" s="900"/>
      <c r="M1276" s="900"/>
      <c r="N1276" s="900"/>
      <c r="O1276" s="900"/>
      <c r="P1276" s="900"/>
    </row>
    <row r="1277" spans="3:16" ht="14.25">
      <c r="C1277" s="900"/>
      <c r="D1277" s="900"/>
      <c r="E1277" s="900"/>
      <c r="F1277" s="900"/>
      <c r="G1277" s="900"/>
      <c r="H1277" s="900"/>
      <c r="I1277" s="900"/>
      <c r="J1277" s="900"/>
      <c r="K1277" s="900"/>
      <c r="L1277" s="900"/>
      <c r="M1277" s="900"/>
      <c r="N1277" s="900"/>
      <c r="O1277" s="900"/>
      <c r="P1277" s="900"/>
    </row>
    <row r="1278" spans="3:16" ht="14.25">
      <c r="C1278" s="900"/>
      <c r="D1278" s="900"/>
      <c r="E1278" s="900"/>
      <c r="F1278" s="900"/>
      <c r="G1278" s="900"/>
      <c r="H1278" s="900"/>
      <c r="I1278" s="900"/>
      <c r="J1278" s="900"/>
      <c r="K1278" s="900"/>
      <c r="L1278" s="900"/>
      <c r="M1278" s="900"/>
      <c r="N1278" s="900"/>
      <c r="O1278" s="900"/>
      <c r="P1278" s="900"/>
    </row>
    <row r="1279" spans="3:16" ht="14.25">
      <c r="C1279" s="900"/>
      <c r="D1279" s="900"/>
      <c r="E1279" s="900"/>
      <c r="F1279" s="900"/>
      <c r="G1279" s="900"/>
      <c r="H1279" s="900"/>
      <c r="I1279" s="900"/>
      <c r="J1279" s="900"/>
      <c r="K1279" s="900"/>
      <c r="L1279" s="900"/>
      <c r="M1279" s="900"/>
      <c r="N1279" s="900"/>
      <c r="O1279" s="900"/>
      <c r="P1279" s="900"/>
    </row>
    <row r="1280" spans="3:16" ht="14.25">
      <c r="C1280" s="900"/>
      <c r="D1280" s="900"/>
      <c r="E1280" s="900"/>
      <c r="F1280" s="900"/>
      <c r="G1280" s="900"/>
      <c r="H1280" s="900"/>
      <c r="I1280" s="900"/>
      <c r="J1280" s="900"/>
      <c r="K1280" s="900"/>
      <c r="L1280" s="900"/>
      <c r="M1280" s="900"/>
      <c r="N1280" s="900"/>
      <c r="O1280" s="900"/>
      <c r="P1280" s="900"/>
    </row>
    <row r="1281" spans="3:16" ht="14.25">
      <c r="C1281" s="900"/>
      <c r="D1281" s="900"/>
      <c r="E1281" s="900"/>
      <c r="F1281" s="900"/>
      <c r="G1281" s="900"/>
      <c r="H1281" s="900"/>
      <c r="I1281" s="900"/>
      <c r="J1281" s="900"/>
      <c r="K1281" s="900"/>
      <c r="L1281" s="900"/>
      <c r="M1281" s="900"/>
      <c r="N1281" s="900"/>
      <c r="O1281" s="900"/>
      <c r="P1281" s="900"/>
    </row>
    <row r="1282" spans="3:16" ht="14.25">
      <c r="C1282" s="900"/>
      <c r="D1282" s="900"/>
      <c r="E1282" s="900"/>
      <c r="F1282" s="900"/>
      <c r="G1282" s="900"/>
      <c r="H1282" s="900"/>
      <c r="I1282" s="900"/>
      <c r="J1282" s="900"/>
      <c r="K1282" s="900"/>
      <c r="L1282" s="900"/>
      <c r="M1282" s="900"/>
      <c r="N1282" s="900"/>
      <c r="O1282" s="900"/>
      <c r="P1282" s="900"/>
    </row>
    <row r="1283" spans="3:16" ht="14.25">
      <c r="C1283" s="900"/>
      <c r="D1283" s="900"/>
      <c r="E1283" s="900"/>
      <c r="F1283" s="900"/>
      <c r="G1283" s="900"/>
      <c r="H1283" s="900"/>
      <c r="I1283" s="900"/>
      <c r="J1283" s="900"/>
      <c r="K1283" s="900"/>
      <c r="L1283" s="900"/>
      <c r="M1283" s="900"/>
      <c r="N1283" s="900"/>
      <c r="O1283" s="900"/>
      <c r="P1283" s="900"/>
    </row>
    <row r="1284" spans="3:16" ht="14.25">
      <c r="C1284" s="900"/>
      <c r="D1284" s="900"/>
      <c r="E1284" s="900"/>
      <c r="F1284" s="900"/>
      <c r="G1284" s="900"/>
      <c r="H1284" s="900"/>
      <c r="I1284" s="900"/>
      <c r="J1284" s="900"/>
      <c r="K1284" s="900"/>
      <c r="L1284" s="900"/>
      <c r="M1284" s="900"/>
      <c r="N1284" s="900"/>
      <c r="O1284" s="900"/>
      <c r="P1284" s="900"/>
    </row>
    <row r="1285" spans="3:16" ht="14.25">
      <c r="C1285" s="900"/>
      <c r="D1285" s="900"/>
      <c r="E1285" s="900"/>
      <c r="F1285" s="900"/>
      <c r="G1285" s="900"/>
      <c r="H1285" s="900"/>
      <c r="I1285" s="900"/>
      <c r="J1285" s="900"/>
      <c r="K1285" s="900"/>
      <c r="L1285" s="900"/>
      <c r="M1285" s="900"/>
      <c r="N1285" s="900"/>
      <c r="O1285" s="900"/>
      <c r="P1285" s="900"/>
    </row>
    <row r="1286" spans="3:16" ht="14.25">
      <c r="C1286" s="900"/>
      <c r="D1286" s="900"/>
      <c r="E1286" s="900"/>
      <c r="F1286" s="900"/>
      <c r="G1286" s="900"/>
      <c r="H1286" s="900"/>
      <c r="I1286" s="900"/>
      <c r="J1286" s="900"/>
      <c r="K1286" s="900"/>
      <c r="L1286" s="900"/>
      <c r="M1286" s="900"/>
      <c r="N1286" s="900"/>
      <c r="O1286" s="900"/>
      <c r="P1286" s="900"/>
    </row>
    <row r="1287" spans="3:16" ht="14.25">
      <c r="C1287" s="900"/>
      <c r="D1287" s="900"/>
      <c r="E1287" s="900"/>
      <c r="F1287" s="900"/>
      <c r="G1287" s="900"/>
      <c r="H1287" s="900"/>
      <c r="I1287" s="900"/>
      <c r="J1287" s="900"/>
      <c r="K1287" s="900"/>
      <c r="L1287" s="900"/>
      <c r="M1287" s="900"/>
      <c r="N1287" s="900"/>
      <c r="O1287" s="900"/>
      <c r="P1287" s="900"/>
    </row>
    <row r="1288" spans="3:16" ht="14.25">
      <c r="C1288" s="900"/>
      <c r="D1288" s="900"/>
      <c r="E1288" s="900"/>
      <c r="F1288" s="900"/>
      <c r="G1288" s="900"/>
      <c r="H1288" s="900"/>
      <c r="I1288" s="900"/>
      <c r="J1288" s="900"/>
      <c r="K1288" s="900"/>
      <c r="L1288" s="900"/>
      <c r="M1288" s="900"/>
      <c r="N1288" s="900"/>
      <c r="O1288" s="900"/>
      <c r="P1288" s="900"/>
    </row>
    <row r="1289" spans="3:16" ht="14.25">
      <c r="C1289" s="900"/>
      <c r="D1289" s="900"/>
      <c r="E1289" s="900"/>
      <c r="F1289" s="900"/>
      <c r="G1289" s="900"/>
      <c r="H1289" s="900"/>
      <c r="I1289" s="900"/>
      <c r="J1289" s="900"/>
      <c r="K1289" s="900"/>
      <c r="L1289" s="900"/>
      <c r="M1289" s="900"/>
      <c r="N1289" s="900"/>
      <c r="O1289" s="900"/>
      <c r="P1289" s="900"/>
    </row>
    <row r="1290" spans="3:16" ht="14.25">
      <c r="C1290" s="900"/>
      <c r="D1290" s="900"/>
      <c r="E1290" s="900"/>
      <c r="F1290" s="900"/>
      <c r="G1290" s="900"/>
      <c r="H1290" s="900"/>
      <c r="I1290" s="900"/>
      <c r="J1290" s="900"/>
      <c r="K1290" s="900"/>
      <c r="L1290" s="900"/>
      <c r="M1290" s="900"/>
      <c r="N1290" s="900"/>
      <c r="O1290" s="900"/>
      <c r="P1290" s="900"/>
    </row>
    <row r="1291" spans="3:16" ht="14.25">
      <c r="C1291" s="900"/>
      <c r="D1291" s="900"/>
      <c r="E1291" s="900"/>
      <c r="F1291" s="900"/>
      <c r="G1291" s="900"/>
      <c r="H1291" s="900"/>
      <c r="I1291" s="900"/>
      <c r="J1291" s="900"/>
      <c r="K1291" s="900"/>
      <c r="L1291" s="900"/>
      <c r="M1291" s="900"/>
      <c r="N1291" s="900"/>
      <c r="O1291" s="900"/>
      <c r="P1291" s="900"/>
    </row>
    <row r="1292" spans="3:16" ht="14.25">
      <c r="C1292" s="900"/>
      <c r="D1292" s="900"/>
      <c r="E1292" s="900"/>
      <c r="F1292" s="900"/>
      <c r="G1292" s="900"/>
      <c r="H1292" s="900"/>
      <c r="I1292" s="900"/>
      <c r="J1292" s="900"/>
      <c r="K1292" s="900"/>
      <c r="L1292" s="900"/>
      <c r="M1292" s="900"/>
      <c r="N1292" s="900"/>
      <c r="O1292" s="900"/>
      <c r="P1292" s="900"/>
    </row>
    <row r="1293" spans="3:16" ht="14.25">
      <c r="C1293" s="900"/>
      <c r="D1293" s="900"/>
      <c r="E1293" s="900"/>
      <c r="F1293" s="900"/>
      <c r="G1293" s="900"/>
      <c r="H1293" s="900"/>
      <c r="I1293" s="900"/>
      <c r="J1293" s="900"/>
      <c r="K1293" s="900"/>
      <c r="L1293" s="900"/>
      <c r="M1293" s="900"/>
      <c r="N1293" s="900"/>
      <c r="O1293" s="900"/>
      <c r="P1293" s="900"/>
    </row>
    <row r="1294" spans="3:16" ht="14.25">
      <c r="C1294" s="900"/>
      <c r="D1294" s="900"/>
      <c r="E1294" s="900"/>
      <c r="F1294" s="900"/>
      <c r="G1294" s="900"/>
      <c r="H1294" s="900"/>
      <c r="I1294" s="900"/>
      <c r="J1294" s="900"/>
      <c r="K1294" s="900"/>
      <c r="L1294" s="900"/>
      <c r="M1294" s="900"/>
      <c r="N1294" s="900"/>
      <c r="O1294" s="900"/>
      <c r="P1294" s="900"/>
    </row>
    <row r="1295" spans="3:16" ht="14.25">
      <c r="C1295" s="900"/>
      <c r="D1295" s="900"/>
      <c r="E1295" s="900"/>
      <c r="F1295" s="900"/>
      <c r="G1295" s="900"/>
      <c r="H1295" s="900"/>
      <c r="I1295" s="900"/>
      <c r="J1295" s="900"/>
      <c r="K1295" s="900"/>
      <c r="L1295" s="900"/>
      <c r="M1295" s="900"/>
      <c r="N1295" s="900"/>
      <c r="O1295" s="900"/>
      <c r="P1295" s="900"/>
    </row>
    <row r="1296" spans="3:16" ht="14.25">
      <c r="C1296" s="900"/>
      <c r="D1296" s="900"/>
      <c r="E1296" s="900"/>
      <c r="F1296" s="900"/>
      <c r="G1296" s="900"/>
      <c r="H1296" s="900"/>
      <c r="I1296" s="900"/>
      <c r="J1296" s="900"/>
      <c r="K1296" s="900"/>
      <c r="L1296" s="900"/>
      <c r="M1296" s="900"/>
      <c r="N1296" s="900"/>
      <c r="O1296" s="900"/>
      <c r="P1296" s="900"/>
    </row>
    <row r="1297" spans="3:16" ht="14.25">
      <c r="C1297" s="900"/>
      <c r="D1297" s="900"/>
      <c r="E1297" s="900"/>
      <c r="F1297" s="900"/>
      <c r="G1297" s="900"/>
      <c r="H1297" s="900"/>
      <c r="I1297" s="900"/>
      <c r="J1297" s="900"/>
      <c r="K1297" s="900"/>
      <c r="L1297" s="900"/>
      <c r="M1297" s="900"/>
      <c r="N1297" s="900"/>
      <c r="O1297" s="900"/>
      <c r="P1297" s="900"/>
    </row>
    <row r="1298" spans="3:16" ht="14.25">
      <c r="C1298" s="900"/>
      <c r="D1298" s="900"/>
      <c r="E1298" s="900"/>
      <c r="F1298" s="900"/>
      <c r="G1298" s="900"/>
      <c r="H1298" s="900"/>
      <c r="I1298" s="900"/>
      <c r="J1298" s="900"/>
      <c r="K1298" s="900"/>
      <c r="L1298" s="900"/>
      <c r="M1298" s="900"/>
      <c r="N1298" s="900"/>
      <c r="O1298" s="900"/>
      <c r="P1298" s="900"/>
    </row>
    <row r="1299" spans="3:16" ht="14.25">
      <c r="C1299" s="900"/>
      <c r="D1299" s="900"/>
      <c r="E1299" s="900"/>
      <c r="F1299" s="900"/>
      <c r="G1299" s="900"/>
      <c r="H1299" s="900"/>
      <c r="I1299" s="900"/>
      <c r="J1299" s="900"/>
      <c r="K1299" s="900"/>
      <c r="L1299" s="900"/>
      <c r="M1299" s="900"/>
      <c r="N1299" s="900"/>
      <c r="O1299" s="900"/>
      <c r="P1299" s="900"/>
    </row>
    <row r="1300" spans="3:16" ht="14.25">
      <c r="C1300" s="900"/>
      <c r="D1300" s="900"/>
      <c r="E1300" s="900"/>
      <c r="F1300" s="900"/>
      <c r="G1300" s="900"/>
      <c r="H1300" s="900"/>
      <c r="I1300" s="900"/>
      <c r="J1300" s="900"/>
      <c r="K1300" s="900"/>
      <c r="L1300" s="900"/>
      <c r="M1300" s="900"/>
      <c r="N1300" s="900"/>
      <c r="O1300" s="900"/>
      <c r="P1300" s="900"/>
    </row>
    <row r="1301" spans="3:16" ht="14.25">
      <c r="C1301" s="900"/>
      <c r="D1301" s="900"/>
      <c r="E1301" s="900"/>
      <c r="F1301" s="900"/>
      <c r="G1301" s="900"/>
      <c r="H1301" s="900"/>
      <c r="I1301" s="900"/>
      <c r="J1301" s="900"/>
      <c r="K1301" s="900"/>
      <c r="L1301" s="900"/>
      <c r="M1301" s="900"/>
      <c r="N1301" s="900"/>
      <c r="O1301" s="900"/>
      <c r="P1301" s="900"/>
    </row>
    <row r="1302" spans="3:16" ht="14.25">
      <c r="C1302" s="900"/>
      <c r="D1302" s="900"/>
      <c r="E1302" s="900"/>
      <c r="F1302" s="900"/>
      <c r="G1302" s="900"/>
      <c r="H1302" s="900"/>
      <c r="I1302" s="900"/>
      <c r="J1302" s="900"/>
      <c r="K1302" s="900"/>
      <c r="L1302" s="900"/>
      <c r="M1302" s="900"/>
      <c r="N1302" s="900"/>
      <c r="O1302" s="900"/>
      <c r="P1302" s="900"/>
    </row>
    <row r="1303" spans="3:16" ht="14.25">
      <c r="C1303" s="900"/>
      <c r="D1303" s="900"/>
      <c r="E1303" s="900"/>
      <c r="F1303" s="900"/>
      <c r="G1303" s="900"/>
      <c r="H1303" s="900"/>
      <c r="I1303" s="900"/>
      <c r="J1303" s="900"/>
      <c r="K1303" s="900"/>
      <c r="L1303" s="900"/>
      <c r="M1303" s="900"/>
      <c r="N1303" s="900"/>
      <c r="O1303" s="900"/>
      <c r="P1303" s="900"/>
    </row>
    <row r="1304" spans="3:16" ht="14.25">
      <c r="C1304" s="900"/>
      <c r="D1304" s="900"/>
      <c r="E1304" s="900"/>
      <c r="F1304" s="900"/>
      <c r="G1304" s="900"/>
      <c r="H1304" s="900"/>
      <c r="I1304" s="900"/>
      <c r="J1304" s="900"/>
      <c r="K1304" s="900"/>
      <c r="L1304" s="900"/>
      <c r="M1304" s="900"/>
      <c r="N1304" s="900"/>
      <c r="O1304" s="900"/>
      <c r="P1304" s="900"/>
    </row>
    <row r="1305" spans="3:16" ht="14.25">
      <c r="C1305" s="900"/>
      <c r="D1305" s="900"/>
      <c r="E1305" s="900"/>
      <c r="F1305" s="900"/>
      <c r="G1305" s="900"/>
      <c r="H1305" s="900"/>
      <c r="I1305" s="900"/>
      <c r="J1305" s="900"/>
      <c r="K1305" s="900"/>
      <c r="L1305" s="900"/>
      <c r="M1305" s="900"/>
      <c r="N1305" s="900"/>
      <c r="O1305" s="900"/>
      <c r="P1305" s="900"/>
    </row>
    <row r="1306" spans="3:16" ht="14.25">
      <c r="C1306" s="900"/>
      <c r="D1306" s="900"/>
      <c r="E1306" s="900"/>
      <c r="F1306" s="900"/>
      <c r="G1306" s="900"/>
      <c r="H1306" s="900"/>
      <c r="I1306" s="900"/>
      <c r="J1306" s="900"/>
      <c r="K1306" s="900"/>
      <c r="L1306" s="900"/>
      <c r="M1306" s="900"/>
      <c r="N1306" s="900"/>
      <c r="O1306" s="900"/>
      <c r="P1306" s="900"/>
    </row>
    <row r="1307" spans="3:16" ht="14.25">
      <c r="C1307" s="900"/>
      <c r="D1307" s="900"/>
      <c r="E1307" s="900"/>
      <c r="F1307" s="900"/>
      <c r="G1307" s="900"/>
      <c r="H1307" s="900"/>
      <c r="I1307" s="900"/>
      <c r="J1307" s="900"/>
      <c r="K1307" s="900"/>
      <c r="L1307" s="900"/>
      <c r="M1307" s="900"/>
      <c r="N1307" s="900"/>
      <c r="O1307" s="900"/>
      <c r="P1307" s="900"/>
    </row>
    <row r="1308" spans="3:16" ht="14.25">
      <c r="C1308" s="900"/>
      <c r="D1308" s="900"/>
      <c r="E1308" s="900"/>
      <c r="F1308" s="900"/>
      <c r="G1308" s="900"/>
      <c r="H1308" s="900"/>
      <c r="I1308" s="900"/>
      <c r="J1308" s="900"/>
      <c r="K1308" s="900"/>
      <c r="L1308" s="900"/>
      <c r="M1308" s="900"/>
      <c r="N1308" s="900"/>
      <c r="O1308" s="900"/>
      <c r="P1308" s="900"/>
    </row>
    <row r="1309" spans="3:16" ht="14.25">
      <c r="C1309" s="900"/>
      <c r="D1309" s="900"/>
      <c r="E1309" s="900"/>
      <c r="F1309" s="900"/>
      <c r="G1309" s="900"/>
      <c r="H1309" s="900"/>
      <c r="I1309" s="900"/>
      <c r="J1309" s="900"/>
      <c r="K1309" s="900"/>
      <c r="L1309" s="900"/>
      <c r="M1309" s="900"/>
      <c r="N1309" s="900"/>
      <c r="O1309" s="900"/>
      <c r="P1309" s="900"/>
    </row>
    <row r="1310" spans="3:16" ht="14.25">
      <c r="C1310" s="900"/>
      <c r="D1310" s="900"/>
      <c r="E1310" s="900"/>
      <c r="F1310" s="900"/>
      <c r="G1310" s="900"/>
      <c r="H1310" s="900"/>
      <c r="I1310" s="900"/>
      <c r="J1310" s="900"/>
      <c r="K1310" s="900"/>
      <c r="L1310" s="900"/>
      <c r="M1310" s="900"/>
      <c r="N1310" s="900"/>
      <c r="O1310" s="900"/>
      <c r="P1310" s="900"/>
    </row>
    <row r="1311" spans="3:16" ht="14.25">
      <c r="C1311" s="900"/>
      <c r="D1311" s="900"/>
      <c r="E1311" s="900"/>
      <c r="F1311" s="900"/>
      <c r="G1311" s="900"/>
      <c r="H1311" s="900"/>
      <c r="I1311" s="900"/>
      <c r="J1311" s="900"/>
      <c r="K1311" s="900"/>
      <c r="L1311" s="900"/>
      <c r="M1311" s="900"/>
      <c r="N1311" s="900"/>
      <c r="O1311" s="900"/>
      <c r="P1311" s="900"/>
    </row>
    <row r="1312" spans="3:16" ht="14.25">
      <c r="C1312" s="900"/>
      <c r="D1312" s="900"/>
      <c r="E1312" s="900"/>
      <c r="F1312" s="900"/>
      <c r="G1312" s="900"/>
      <c r="H1312" s="900"/>
      <c r="I1312" s="900"/>
      <c r="J1312" s="900"/>
      <c r="K1312" s="900"/>
      <c r="L1312" s="900"/>
      <c r="M1312" s="900"/>
      <c r="N1312" s="900"/>
      <c r="O1312" s="900"/>
      <c r="P1312" s="900"/>
    </row>
    <row r="1313" spans="3:16" ht="14.25">
      <c r="C1313" s="900"/>
      <c r="D1313" s="900"/>
      <c r="E1313" s="900"/>
      <c r="F1313" s="900"/>
      <c r="G1313" s="900"/>
      <c r="H1313" s="900"/>
      <c r="I1313" s="900"/>
      <c r="J1313" s="900"/>
      <c r="K1313" s="900"/>
      <c r="L1313" s="900"/>
      <c r="M1313" s="900"/>
      <c r="N1313" s="900"/>
      <c r="O1313" s="900"/>
      <c r="P1313" s="900"/>
    </row>
    <row r="1314" spans="3:16" ht="14.25">
      <c r="C1314" s="900"/>
      <c r="D1314" s="900"/>
      <c r="E1314" s="900"/>
      <c r="F1314" s="900"/>
      <c r="G1314" s="900"/>
      <c r="H1314" s="900"/>
      <c r="I1314" s="900"/>
      <c r="J1314" s="900"/>
      <c r="K1314" s="900"/>
      <c r="L1314" s="900"/>
      <c r="M1314" s="900"/>
      <c r="N1314" s="900"/>
      <c r="O1314" s="900"/>
      <c r="P1314" s="900"/>
    </row>
    <row r="1315" spans="3:16" ht="14.25">
      <c r="C1315" s="900"/>
      <c r="D1315" s="900"/>
      <c r="E1315" s="900"/>
      <c r="F1315" s="900"/>
      <c r="G1315" s="900"/>
      <c r="H1315" s="900"/>
      <c r="I1315" s="900"/>
      <c r="J1315" s="900"/>
      <c r="K1315" s="900"/>
      <c r="L1315" s="900"/>
      <c r="M1315" s="900"/>
      <c r="N1315" s="900"/>
      <c r="O1315" s="900"/>
      <c r="P1315" s="900"/>
    </row>
    <row r="1316" spans="3:16" ht="14.25">
      <c r="C1316" s="900"/>
      <c r="D1316" s="900"/>
      <c r="E1316" s="900"/>
      <c r="F1316" s="900"/>
      <c r="G1316" s="900"/>
      <c r="H1316" s="900"/>
      <c r="I1316" s="900"/>
      <c r="J1316" s="900"/>
      <c r="K1316" s="900"/>
      <c r="L1316" s="900"/>
      <c r="M1316" s="900"/>
      <c r="N1316" s="900"/>
      <c r="O1316" s="900"/>
      <c r="P1316" s="900"/>
    </row>
    <row r="1317" spans="3:16" ht="14.25">
      <c r="C1317" s="900"/>
      <c r="D1317" s="900"/>
      <c r="E1317" s="900"/>
      <c r="F1317" s="900"/>
      <c r="G1317" s="900"/>
      <c r="H1317" s="900"/>
      <c r="I1317" s="900"/>
      <c r="J1317" s="900"/>
      <c r="K1317" s="900"/>
      <c r="L1317" s="900"/>
      <c r="M1317" s="900"/>
      <c r="N1317" s="900"/>
      <c r="O1317" s="900"/>
      <c r="P1317" s="900"/>
    </row>
    <row r="1318" spans="3:16" ht="14.25">
      <c r="C1318" s="900"/>
      <c r="D1318" s="900"/>
      <c r="E1318" s="900"/>
      <c r="F1318" s="900"/>
      <c r="G1318" s="900"/>
      <c r="H1318" s="900"/>
      <c r="I1318" s="900"/>
      <c r="J1318" s="900"/>
      <c r="K1318" s="900"/>
      <c r="L1318" s="900"/>
      <c r="M1318" s="900"/>
      <c r="N1318" s="900"/>
      <c r="O1318" s="900"/>
      <c r="P1318" s="900"/>
    </row>
    <row r="1319" spans="3:16" ht="14.25">
      <c r="C1319" s="900"/>
      <c r="D1319" s="900"/>
      <c r="E1319" s="900"/>
      <c r="F1319" s="900"/>
      <c r="G1319" s="900"/>
      <c r="H1319" s="900"/>
      <c r="I1319" s="900"/>
      <c r="J1319" s="900"/>
      <c r="K1319" s="900"/>
      <c r="L1319" s="900"/>
      <c r="M1319" s="900"/>
      <c r="N1319" s="900"/>
      <c r="O1319" s="900"/>
      <c r="P1319" s="900"/>
    </row>
    <row r="1320" spans="3:16" ht="14.25">
      <c r="C1320" s="900"/>
      <c r="D1320" s="900"/>
      <c r="E1320" s="900"/>
      <c r="F1320" s="900"/>
      <c r="G1320" s="900"/>
      <c r="H1320" s="900"/>
      <c r="I1320" s="900"/>
      <c r="J1320" s="900"/>
      <c r="K1320" s="900"/>
      <c r="L1320" s="900"/>
      <c r="M1320" s="900"/>
      <c r="N1320" s="900"/>
      <c r="O1320" s="900"/>
      <c r="P1320" s="900"/>
    </row>
    <row r="1321" spans="3:16" ht="14.25">
      <c r="C1321" s="900"/>
      <c r="D1321" s="900"/>
      <c r="E1321" s="900"/>
      <c r="F1321" s="900"/>
      <c r="G1321" s="900"/>
      <c r="H1321" s="900"/>
      <c r="I1321" s="900"/>
      <c r="J1321" s="900"/>
      <c r="K1321" s="900"/>
      <c r="L1321" s="900"/>
      <c r="M1321" s="900"/>
      <c r="N1321" s="900"/>
      <c r="O1321" s="900"/>
      <c r="P1321" s="900"/>
    </row>
    <row r="1322" spans="3:16" ht="14.25">
      <c r="C1322" s="900"/>
      <c r="D1322" s="900"/>
      <c r="E1322" s="900"/>
      <c r="F1322" s="900"/>
      <c r="G1322" s="900"/>
      <c r="H1322" s="900"/>
      <c r="I1322" s="900"/>
      <c r="J1322" s="900"/>
      <c r="K1322" s="900"/>
      <c r="L1322" s="900"/>
      <c r="M1322" s="900"/>
      <c r="N1322" s="900"/>
      <c r="O1322" s="900"/>
      <c r="P1322" s="900"/>
    </row>
    <row r="1323" spans="3:16" ht="14.25">
      <c r="C1323" s="900"/>
      <c r="D1323" s="900"/>
      <c r="E1323" s="900"/>
      <c r="F1323" s="900"/>
      <c r="G1323" s="900"/>
      <c r="H1323" s="900"/>
      <c r="I1323" s="900"/>
      <c r="J1323" s="900"/>
      <c r="K1323" s="900"/>
      <c r="L1323" s="900"/>
      <c r="M1323" s="900"/>
      <c r="N1323" s="900"/>
      <c r="O1323" s="900"/>
      <c r="P1323" s="900"/>
    </row>
    <row r="1324" spans="3:16" ht="14.25">
      <c r="C1324" s="900"/>
      <c r="D1324" s="900"/>
      <c r="E1324" s="900"/>
      <c r="F1324" s="900"/>
      <c r="G1324" s="900"/>
      <c r="H1324" s="900"/>
      <c r="I1324" s="900"/>
      <c r="J1324" s="900"/>
      <c r="K1324" s="900"/>
      <c r="L1324" s="900"/>
      <c r="M1324" s="900"/>
      <c r="N1324" s="900"/>
      <c r="O1324" s="900"/>
      <c r="P1324" s="900"/>
    </row>
    <row r="1325" spans="3:16" ht="14.25">
      <c r="C1325" s="900"/>
      <c r="D1325" s="900"/>
      <c r="E1325" s="900"/>
      <c r="F1325" s="900"/>
      <c r="G1325" s="900"/>
      <c r="H1325" s="900"/>
      <c r="I1325" s="900"/>
      <c r="J1325" s="900"/>
      <c r="K1325" s="900"/>
      <c r="L1325" s="900"/>
      <c r="M1325" s="900"/>
      <c r="N1325" s="900"/>
      <c r="O1325" s="900"/>
      <c r="P1325" s="900"/>
    </row>
    <row r="1326" spans="3:16" ht="14.25">
      <c r="C1326" s="900"/>
      <c r="D1326" s="900"/>
      <c r="E1326" s="900"/>
      <c r="F1326" s="900"/>
      <c r="G1326" s="900"/>
      <c r="H1326" s="900"/>
      <c r="I1326" s="900"/>
      <c r="J1326" s="900"/>
      <c r="K1326" s="900"/>
      <c r="L1326" s="900"/>
      <c r="M1326" s="900"/>
      <c r="N1326" s="900"/>
      <c r="O1326" s="900"/>
      <c r="P1326" s="900"/>
    </row>
    <row r="1327" spans="3:16" ht="14.25">
      <c r="C1327" s="900"/>
      <c r="D1327" s="900"/>
      <c r="E1327" s="900"/>
      <c r="F1327" s="900"/>
      <c r="G1327" s="900"/>
      <c r="H1327" s="900"/>
      <c r="I1327" s="900"/>
      <c r="J1327" s="900"/>
      <c r="K1327" s="900"/>
      <c r="L1327" s="900"/>
      <c r="M1327" s="900"/>
      <c r="N1327" s="900"/>
      <c r="O1327" s="900"/>
      <c r="P1327" s="900"/>
    </row>
    <row r="1328" spans="3:16" ht="14.25">
      <c r="C1328" s="900"/>
      <c r="D1328" s="900"/>
      <c r="E1328" s="900"/>
      <c r="F1328" s="900"/>
      <c r="G1328" s="900"/>
      <c r="H1328" s="900"/>
      <c r="I1328" s="900"/>
      <c r="J1328" s="900"/>
      <c r="K1328" s="900"/>
      <c r="L1328" s="900"/>
      <c r="M1328" s="900"/>
      <c r="N1328" s="900"/>
      <c r="O1328" s="900"/>
      <c r="P1328" s="900"/>
    </row>
    <row r="1329" spans="3:16" ht="14.25">
      <c r="C1329" s="900"/>
      <c r="D1329" s="900"/>
      <c r="E1329" s="900"/>
      <c r="F1329" s="900"/>
      <c r="G1329" s="900"/>
      <c r="H1329" s="900"/>
      <c r="I1329" s="900"/>
      <c r="J1329" s="900"/>
      <c r="K1329" s="900"/>
      <c r="L1329" s="900"/>
      <c r="M1329" s="900"/>
      <c r="N1329" s="900"/>
      <c r="O1329" s="900"/>
      <c r="P1329" s="900"/>
    </row>
    <row r="1330" spans="3:16" ht="14.25">
      <c r="C1330" s="900"/>
      <c r="D1330" s="900"/>
      <c r="E1330" s="900"/>
      <c r="F1330" s="900"/>
      <c r="G1330" s="900"/>
      <c r="H1330" s="900"/>
      <c r="I1330" s="900"/>
      <c r="J1330" s="900"/>
      <c r="K1330" s="900"/>
      <c r="L1330" s="900"/>
      <c r="M1330" s="900"/>
      <c r="N1330" s="900"/>
      <c r="O1330" s="900"/>
      <c r="P1330" s="900"/>
    </row>
    <row r="1331" spans="3:16" ht="14.25">
      <c r="C1331" s="900"/>
      <c r="D1331" s="900"/>
      <c r="E1331" s="900"/>
      <c r="F1331" s="900"/>
      <c r="G1331" s="900"/>
      <c r="H1331" s="900"/>
      <c r="I1331" s="900"/>
      <c r="J1331" s="900"/>
      <c r="K1331" s="900"/>
      <c r="L1331" s="900"/>
      <c r="M1331" s="900"/>
      <c r="N1331" s="900"/>
      <c r="O1331" s="900"/>
      <c r="P1331" s="900"/>
    </row>
    <row r="1332" spans="3:16" ht="14.25">
      <c r="C1332" s="900"/>
      <c r="D1332" s="900"/>
      <c r="E1332" s="900"/>
      <c r="F1332" s="900"/>
      <c r="G1332" s="900"/>
      <c r="H1332" s="900"/>
      <c r="I1332" s="900"/>
      <c r="J1332" s="900"/>
      <c r="K1332" s="900"/>
      <c r="L1332" s="900"/>
      <c r="M1332" s="900"/>
      <c r="N1332" s="900"/>
      <c r="O1332" s="900"/>
      <c r="P1332" s="900"/>
    </row>
    <row r="1333" spans="3:16" ht="14.25">
      <c r="C1333" s="900"/>
      <c r="D1333" s="900"/>
      <c r="E1333" s="900"/>
      <c r="F1333" s="900"/>
      <c r="G1333" s="900"/>
      <c r="H1333" s="900"/>
      <c r="I1333" s="900"/>
      <c r="J1333" s="900"/>
      <c r="K1333" s="900"/>
      <c r="L1333" s="900"/>
      <c r="M1333" s="900"/>
      <c r="N1333" s="900"/>
      <c r="O1333" s="900"/>
      <c r="P1333" s="900"/>
    </row>
    <row r="1334" spans="3:16" ht="14.25">
      <c r="C1334" s="900"/>
      <c r="D1334" s="900"/>
      <c r="E1334" s="900"/>
      <c r="F1334" s="900"/>
      <c r="G1334" s="900"/>
      <c r="H1334" s="900"/>
      <c r="I1334" s="900"/>
      <c r="J1334" s="900"/>
      <c r="K1334" s="900"/>
      <c r="L1334" s="900"/>
      <c r="M1334" s="900"/>
      <c r="N1334" s="900"/>
      <c r="O1334" s="900"/>
      <c r="P1334" s="900"/>
    </row>
    <row r="1335" spans="3:16" ht="14.25">
      <c r="C1335" s="900"/>
      <c r="D1335" s="900"/>
      <c r="E1335" s="900"/>
      <c r="F1335" s="900"/>
      <c r="G1335" s="900"/>
      <c r="H1335" s="900"/>
      <c r="I1335" s="900"/>
      <c r="J1335" s="900"/>
      <c r="K1335" s="900"/>
      <c r="L1335" s="900"/>
      <c r="M1335" s="900"/>
      <c r="N1335" s="900"/>
      <c r="O1335" s="900"/>
      <c r="P1335" s="900"/>
    </row>
    <row r="1336" spans="3:16" ht="14.25">
      <c r="C1336" s="900"/>
      <c r="D1336" s="900"/>
      <c r="E1336" s="900"/>
      <c r="F1336" s="900"/>
      <c r="G1336" s="900"/>
      <c r="H1336" s="900"/>
      <c r="I1336" s="900"/>
      <c r="J1336" s="900"/>
      <c r="K1336" s="900"/>
      <c r="L1336" s="900"/>
      <c r="M1336" s="900"/>
      <c r="N1336" s="900"/>
      <c r="O1336" s="900"/>
      <c r="P1336" s="900"/>
    </row>
    <row r="1337" spans="3:16" ht="14.25">
      <c r="C1337" s="900"/>
      <c r="D1337" s="900"/>
      <c r="E1337" s="900"/>
      <c r="F1337" s="900"/>
      <c r="G1337" s="900"/>
      <c r="H1337" s="900"/>
      <c r="I1337" s="900"/>
      <c r="J1337" s="900"/>
      <c r="K1337" s="900"/>
      <c r="L1337" s="900"/>
      <c r="M1337" s="900"/>
      <c r="N1337" s="900"/>
      <c r="O1337" s="900"/>
      <c r="P1337" s="900"/>
    </row>
    <row r="1338" spans="3:16" ht="14.25">
      <c r="C1338" s="900"/>
      <c r="D1338" s="900"/>
      <c r="E1338" s="900"/>
      <c r="F1338" s="900"/>
      <c r="G1338" s="900"/>
      <c r="H1338" s="900"/>
      <c r="I1338" s="900"/>
      <c r="J1338" s="900"/>
      <c r="K1338" s="900"/>
      <c r="L1338" s="900"/>
      <c r="M1338" s="900"/>
      <c r="N1338" s="900"/>
      <c r="O1338" s="900"/>
      <c r="P1338" s="900"/>
    </row>
    <row r="1339" spans="3:16" ht="14.25">
      <c r="C1339" s="900"/>
      <c r="D1339" s="900"/>
      <c r="E1339" s="900"/>
      <c r="F1339" s="900"/>
      <c r="G1339" s="900"/>
      <c r="H1339" s="900"/>
      <c r="I1339" s="900"/>
      <c r="J1339" s="900"/>
      <c r="K1339" s="900"/>
      <c r="L1339" s="900"/>
      <c r="M1339" s="900"/>
      <c r="N1339" s="900"/>
      <c r="O1339" s="900"/>
      <c r="P1339" s="900"/>
    </row>
    <row r="1340" spans="3:16" ht="14.25">
      <c r="C1340" s="900"/>
      <c r="D1340" s="900"/>
      <c r="E1340" s="900"/>
      <c r="F1340" s="900"/>
      <c r="G1340" s="900"/>
      <c r="H1340" s="900"/>
      <c r="I1340" s="900"/>
      <c r="J1340" s="900"/>
      <c r="K1340" s="900"/>
      <c r="L1340" s="900"/>
      <c r="M1340" s="900"/>
      <c r="N1340" s="900"/>
      <c r="O1340" s="900"/>
      <c r="P1340" s="900"/>
    </row>
    <row r="1341" spans="3:16" ht="14.25">
      <c r="C1341" s="900"/>
      <c r="D1341" s="900"/>
      <c r="E1341" s="900"/>
      <c r="F1341" s="900"/>
      <c r="G1341" s="900"/>
      <c r="H1341" s="900"/>
      <c r="I1341" s="900"/>
      <c r="J1341" s="900"/>
      <c r="K1341" s="900"/>
      <c r="L1341" s="900"/>
      <c r="M1341" s="900"/>
      <c r="N1341" s="900"/>
      <c r="O1341" s="900"/>
      <c r="P1341" s="900"/>
    </row>
    <row r="1342" spans="3:16" ht="14.25">
      <c r="C1342" s="900"/>
      <c r="D1342" s="900"/>
      <c r="E1342" s="900"/>
      <c r="F1342" s="900"/>
      <c r="G1342" s="900"/>
      <c r="H1342" s="900"/>
      <c r="I1342" s="900"/>
      <c r="J1342" s="900"/>
      <c r="K1342" s="900"/>
      <c r="L1342" s="900"/>
      <c r="M1342" s="900"/>
      <c r="N1342" s="900"/>
      <c r="O1342" s="900"/>
      <c r="P1342" s="900"/>
    </row>
    <row r="1343" spans="3:16" ht="14.25">
      <c r="C1343" s="900"/>
      <c r="D1343" s="900"/>
      <c r="E1343" s="900"/>
      <c r="F1343" s="900"/>
      <c r="G1343" s="900"/>
      <c r="H1343" s="900"/>
      <c r="I1343" s="900"/>
      <c r="J1343" s="900"/>
      <c r="K1343" s="900"/>
      <c r="L1343" s="900"/>
      <c r="M1343" s="900"/>
      <c r="N1343" s="900"/>
      <c r="O1343" s="900"/>
      <c r="P1343" s="900"/>
    </row>
    <row r="1344" spans="3:16" ht="14.25">
      <c r="C1344" s="900"/>
      <c r="D1344" s="900"/>
      <c r="E1344" s="900"/>
      <c r="F1344" s="900"/>
      <c r="G1344" s="900"/>
      <c r="H1344" s="900"/>
      <c r="I1344" s="900"/>
      <c r="J1344" s="900"/>
      <c r="K1344" s="900"/>
      <c r="L1344" s="900"/>
      <c r="M1344" s="900"/>
      <c r="N1344" s="900"/>
      <c r="O1344" s="900"/>
      <c r="P1344" s="900"/>
    </row>
    <row r="1345" spans="3:16" ht="14.25">
      <c r="C1345" s="900"/>
      <c r="D1345" s="900"/>
      <c r="E1345" s="900"/>
      <c r="F1345" s="900"/>
      <c r="G1345" s="900"/>
      <c r="H1345" s="900"/>
      <c r="I1345" s="900"/>
      <c r="J1345" s="900"/>
      <c r="K1345" s="900"/>
      <c r="L1345" s="900"/>
      <c r="M1345" s="900"/>
      <c r="N1345" s="900"/>
      <c r="O1345" s="900"/>
      <c r="P1345" s="900"/>
    </row>
    <row r="1346" spans="3:16" ht="14.25">
      <c r="C1346" s="900"/>
      <c r="D1346" s="900"/>
      <c r="E1346" s="900"/>
      <c r="F1346" s="900"/>
      <c r="G1346" s="900"/>
      <c r="H1346" s="900"/>
      <c r="I1346" s="900"/>
      <c r="J1346" s="900"/>
      <c r="K1346" s="900"/>
      <c r="L1346" s="900"/>
      <c r="M1346" s="900"/>
      <c r="N1346" s="900"/>
      <c r="O1346" s="900"/>
      <c r="P1346" s="900"/>
    </row>
    <row r="1347" spans="3:16" ht="14.25">
      <c r="C1347" s="900"/>
      <c r="D1347" s="900"/>
      <c r="E1347" s="900"/>
      <c r="F1347" s="900"/>
      <c r="G1347" s="900"/>
      <c r="H1347" s="900"/>
      <c r="I1347" s="900"/>
      <c r="J1347" s="900"/>
      <c r="K1347" s="900"/>
      <c r="L1347" s="900"/>
      <c r="M1347" s="900"/>
      <c r="N1347" s="900"/>
      <c r="O1347" s="900"/>
      <c r="P1347" s="900"/>
    </row>
    <row r="1348" spans="3:16" ht="14.25">
      <c r="C1348" s="900"/>
      <c r="D1348" s="900"/>
      <c r="E1348" s="900"/>
      <c r="F1348" s="900"/>
      <c r="G1348" s="900"/>
      <c r="H1348" s="900"/>
      <c r="I1348" s="900"/>
      <c r="J1348" s="900"/>
      <c r="K1348" s="900"/>
      <c r="L1348" s="900"/>
      <c r="M1348" s="900"/>
      <c r="N1348" s="900"/>
      <c r="O1348" s="900"/>
      <c r="P1348" s="900"/>
    </row>
    <row r="1349" spans="3:16" ht="14.25">
      <c r="C1349" s="900"/>
      <c r="D1349" s="900"/>
      <c r="E1349" s="900"/>
      <c r="F1349" s="900"/>
      <c r="G1349" s="900"/>
      <c r="H1349" s="900"/>
      <c r="I1349" s="900"/>
      <c r="J1349" s="900"/>
      <c r="K1349" s="900"/>
      <c r="L1349" s="900"/>
      <c r="M1349" s="900"/>
      <c r="N1349" s="900"/>
      <c r="O1349" s="900"/>
      <c r="P1349" s="900"/>
    </row>
    <row r="1350" spans="3:16" ht="14.25">
      <c r="C1350" s="900"/>
      <c r="D1350" s="900"/>
      <c r="E1350" s="900"/>
      <c r="F1350" s="900"/>
      <c r="G1350" s="900"/>
      <c r="H1350" s="900"/>
      <c r="I1350" s="900"/>
      <c r="J1350" s="900"/>
      <c r="K1350" s="900"/>
      <c r="L1350" s="900"/>
      <c r="M1350" s="900"/>
      <c r="N1350" s="900"/>
      <c r="O1350" s="900"/>
      <c r="P1350" s="900"/>
    </row>
    <row r="1351" spans="3:16" ht="14.25">
      <c r="C1351" s="900"/>
      <c r="D1351" s="900"/>
      <c r="E1351" s="900"/>
      <c r="F1351" s="900"/>
      <c r="G1351" s="900"/>
      <c r="H1351" s="900"/>
      <c r="I1351" s="900"/>
      <c r="J1351" s="900"/>
      <c r="K1351" s="900"/>
      <c r="L1351" s="900"/>
      <c r="M1351" s="900"/>
      <c r="N1351" s="900"/>
      <c r="O1351" s="900"/>
      <c r="P1351" s="900"/>
    </row>
    <row r="1352" spans="3:16" ht="14.25">
      <c r="C1352" s="900"/>
      <c r="D1352" s="900"/>
      <c r="E1352" s="900"/>
      <c r="F1352" s="900"/>
      <c r="G1352" s="900"/>
      <c r="H1352" s="900"/>
      <c r="I1352" s="900"/>
      <c r="J1352" s="900"/>
      <c r="K1352" s="900"/>
      <c r="L1352" s="900"/>
      <c r="M1352" s="900"/>
      <c r="N1352" s="900"/>
      <c r="O1352" s="900"/>
      <c r="P1352" s="900"/>
    </row>
    <row r="1353" spans="3:16" ht="14.25">
      <c r="C1353" s="900"/>
      <c r="D1353" s="900"/>
      <c r="E1353" s="900"/>
      <c r="F1353" s="900"/>
      <c r="G1353" s="900"/>
      <c r="H1353" s="900"/>
      <c r="I1353" s="900"/>
      <c r="J1353" s="900"/>
      <c r="K1353" s="900"/>
      <c r="L1353" s="900"/>
      <c r="M1353" s="900"/>
      <c r="N1353" s="900"/>
      <c r="O1353" s="900"/>
      <c r="P1353" s="900"/>
    </row>
    <row r="1354" spans="3:16" ht="14.25">
      <c r="C1354" s="900"/>
      <c r="D1354" s="900"/>
      <c r="E1354" s="900"/>
      <c r="F1354" s="900"/>
      <c r="G1354" s="900"/>
      <c r="H1354" s="900"/>
      <c r="I1354" s="900"/>
      <c r="J1354" s="900"/>
      <c r="K1354" s="900"/>
      <c r="L1354" s="900"/>
      <c r="M1354" s="900"/>
      <c r="N1354" s="900"/>
      <c r="O1354" s="900"/>
      <c r="P1354" s="900"/>
    </row>
    <row r="1355" spans="3:16" ht="14.25">
      <c r="C1355" s="900"/>
      <c r="D1355" s="900"/>
      <c r="E1355" s="900"/>
      <c r="F1355" s="900"/>
      <c r="G1355" s="900"/>
      <c r="H1355" s="900"/>
      <c r="I1355" s="900"/>
      <c r="J1355" s="900"/>
      <c r="K1355" s="900"/>
      <c r="L1355" s="900"/>
      <c r="M1355" s="900"/>
      <c r="N1355" s="900"/>
      <c r="O1355" s="900"/>
      <c r="P1355" s="900"/>
    </row>
    <row r="1356" spans="3:16" ht="14.25">
      <c r="C1356" s="900"/>
      <c r="D1356" s="900"/>
      <c r="E1356" s="900"/>
      <c r="F1356" s="900"/>
      <c r="G1356" s="900"/>
      <c r="H1356" s="900"/>
      <c r="I1356" s="900"/>
      <c r="J1356" s="900"/>
      <c r="K1356" s="900"/>
      <c r="L1356" s="900"/>
      <c r="M1356" s="900"/>
      <c r="N1356" s="900"/>
      <c r="O1356" s="900"/>
      <c r="P1356" s="900"/>
    </row>
    <row r="1357" spans="3:16" ht="14.25">
      <c r="C1357" s="900"/>
      <c r="D1357" s="900"/>
      <c r="E1357" s="900"/>
      <c r="F1357" s="900"/>
      <c r="G1357" s="900"/>
      <c r="H1357" s="900"/>
      <c r="I1357" s="900"/>
      <c r="J1357" s="900"/>
      <c r="K1357" s="900"/>
      <c r="L1357" s="900"/>
      <c r="M1357" s="900"/>
      <c r="N1357" s="900"/>
      <c r="O1357" s="900"/>
      <c r="P1357" s="900"/>
    </row>
    <row r="1358" spans="3:16" ht="14.25">
      <c r="C1358" s="900"/>
      <c r="D1358" s="900"/>
      <c r="E1358" s="900"/>
      <c r="F1358" s="900"/>
      <c r="G1358" s="900"/>
      <c r="H1358" s="900"/>
      <c r="I1358" s="900"/>
      <c r="J1358" s="900"/>
      <c r="K1358" s="900"/>
      <c r="L1358" s="900"/>
      <c r="M1358" s="900"/>
      <c r="N1358" s="900"/>
      <c r="O1358" s="900"/>
      <c r="P1358" s="900"/>
    </row>
    <row r="1359" spans="3:16" ht="14.25">
      <c r="C1359" s="900"/>
      <c r="D1359" s="900"/>
      <c r="E1359" s="900"/>
      <c r="F1359" s="900"/>
      <c r="G1359" s="900"/>
      <c r="H1359" s="900"/>
      <c r="I1359" s="900"/>
      <c r="J1359" s="900"/>
      <c r="K1359" s="900"/>
      <c r="L1359" s="900"/>
      <c r="M1359" s="900"/>
      <c r="N1359" s="900"/>
      <c r="O1359" s="900"/>
      <c r="P1359" s="900"/>
    </row>
    <row r="1360" spans="3:16" ht="14.25">
      <c r="C1360" s="900"/>
      <c r="D1360" s="900"/>
      <c r="E1360" s="900"/>
      <c r="F1360" s="900"/>
      <c r="G1360" s="900"/>
      <c r="H1360" s="900"/>
      <c r="I1360" s="900"/>
      <c r="J1360" s="900"/>
      <c r="K1360" s="900"/>
      <c r="L1360" s="900"/>
      <c r="M1360" s="900"/>
      <c r="N1360" s="900"/>
      <c r="O1360" s="900"/>
      <c r="P1360" s="900"/>
    </row>
    <row r="1361" spans="3:16" ht="14.25">
      <c r="C1361" s="900"/>
      <c r="D1361" s="900"/>
      <c r="E1361" s="900"/>
      <c r="F1361" s="900"/>
      <c r="G1361" s="900"/>
      <c r="H1361" s="900"/>
      <c r="I1361" s="900"/>
      <c r="J1361" s="900"/>
      <c r="K1361" s="900"/>
      <c r="L1361" s="900"/>
      <c r="M1361" s="900"/>
      <c r="N1361" s="900"/>
      <c r="O1361" s="900"/>
      <c r="P1361" s="900"/>
    </row>
    <row r="1362" spans="3:16" ht="14.25">
      <c r="C1362" s="900"/>
      <c r="D1362" s="900"/>
      <c r="E1362" s="900"/>
      <c r="F1362" s="900"/>
      <c r="G1362" s="900"/>
      <c r="H1362" s="900"/>
      <c r="I1362" s="900"/>
      <c r="J1362" s="900"/>
      <c r="K1362" s="900"/>
      <c r="L1362" s="900"/>
      <c r="M1362" s="900"/>
      <c r="N1362" s="900"/>
      <c r="O1362" s="900"/>
      <c r="P1362" s="900"/>
    </row>
    <row r="1363" spans="3:16" ht="14.25">
      <c r="C1363" s="900"/>
      <c r="D1363" s="900"/>
      <c r="E1363" s="900"/>
      <c r="F1363" s="900"/>
      <c r="G1363" s="900"/>
      <c r="H1363" s="900"/>
      <c r="I1363" s="900"/>
      <c r="J1363" s="900"/>
      <c r="K1363" s="900"/>
      <c r="L1363" s="900"/>
      <c r="M1363" s="900"/>
      <c r="N1363" s="900"/>
      <c r="O1363" s="900"/>
      <c r="P1363" s="900"/>
    </row>
    <row r="1364" spans="3:16" ht="14.25">
      <c r="C1364" s="900"/>
      <c r="D1364" s="900"/>
      <c r="E1364" s="900"/>
      <c r="F1364" s="900"/>
      <c r="G1364" s="900"/>
      <c r="H1364" s="900"/>
      <c r="I1364" s="900"/>
      <c r="J1364" s="900"/>
      <c r="K1364" s="900"/>
      <c r="L1364" s="900"/>
      <c r="M1364" s="900"/>
      <c r="N1364" s="900"/>
      <c r="O1364" s="900"/>
      <c r="P1364" s="900"/>
    </row>
    <row r="1365" spans="3:16" ht="14.25">
      <c r="C1365" s="900"/>
      <c r="D1365" s="900"/>
      <c r="E1365" s="900"/>
      <c r="F1365" s="900"/>
      <c r="G1365" s="900"/>
      <c r="H1365" s="900"/>
      <c r="I1365" s="900"/>
      <c r="J1365" s="900"/>
      <c r="K1365" s="900"/>
      <c r="L1365" s="900"/>
      <c r="M1365" s="900"/>
      <c r="N1365" s="900"/>
      <c r="O1365" s="900"/>
      <c r="P1365" s="900"/>
    </row>
    <row r="1366" spans="3:16" ht="14.25">
      <c r="C1366" s="900"/>
      <c r="D1366" s="900"/>
      <c r="E1366" s="900"/>
      <c r="F1366" s="900"/>
      <c r="G1366" s="900"/>
      <c r="H1366" s="900"/>
      <c r="I1366" s="900"/>
      <c r="J1366" s="900"/>
      <c r="K1366" s="900"/>
      <c r="L1366" s="900"/>
      <c r="M1366" s="900"/>
      <c r="N1366" s="900"/>
      <c r="O1366" s="900"/>
      <c r="P1366" s="900"/>
    </row>
    <row r="1367" spans="3:16" ht="14.25">
      <c r="C1367" s="900"/>
      <c r="D1367" s="900"/>
      <c r="E1367" s="900"/>
      <c r="F1367" s="900"/>
      <c r="G1367" s="900"/>
      <c r="H1367" s="900"/>
      <c r="I1367" s="900"/>
      <c r="J1367" s="900"/>
      <c r="K1367" s="900"/>
      <c r="L1367" s="900"/>
      <c r="M1367" s="900"/>
      <c r="N1367" s="900"/>
      <c r="O1367" s="900"/>
      <c r="P1367" s="900"/>
    </row>
    <row r="1368" spans="3:16" ht="14.25">
      <c r="C1368" s="900"/>
      <c r="D1368" s="900"/>
      <c r="E1368" s="900"/>
      <c r="F1368" s="900"/>
      <c r="G1368" s="900"/>
      <c r="H1368" s="900"/>
      <c r="I1368" s="900"/>
      <c r="J1368" s="900"/>
      <c r="K1368" s="900"/>
      <c r="L1368" s="900"/>
      <c r="M1368" s="900"/>
      <c r="N1368" s="900"/>
      <c r="O1368" s="900"/>
      <c r="P1368" s="900"/>
    </row>
    <row r="1369" spans="3:16" ht="14.25">
      <c r="C1369" s="900"/>
      <c r="D1369" s="900"/>
      <c r="E1369" s="900"/>
      <c r="F1369" s="900"/>
      <c r="G1369" s="900"/>
      <c r="H1369" s="900"/>
      <c r="I1369" s="900"/>
      <c r="J1369" s="900"/>
      <c r="K1369" s="900"/>
      <c r="L1369" s="900"/>
      <c r="M1369" s="900"/>
      <c r="N1369" s="900"/>
      <c r="O1369" s="900"/>
      <c r="P1369" s="900"/>
    </row>
    <row r="1370" spans="3:16" ht="14.25">
      <c r="C1370" s="900"/>
      <c r="D1370" s="900"/>
      <c r="E1370" s="900"/>
      <c r="F1370" s="900"/>
      <c r="G1370" s="900"/>
      <c r="H1370" s="900"/>
      <c r="I1370" s="900"/>
      <c r="J1370" s="900"/>
      <c r="K1370" s="900"/>
      <c r="L1370" s="900"/>
      <c r="M1370" s="900"/>
      <c r="N1370" s="900"/>
      <c r="O1370" s="900"/>
      <c r="P1370" s="900"/>
    </row>
    <row r="1371" spans="3:16" ht="14.25">
      <c r="C1371" s="900"/>
      <c r="D1371" s="900"/>
      <c r="E1371" s="900"/>
      <c r="F1371" s="900"/>
      <c r="G1371" s="900"/>
      <c r="H1371" s="900"/>
      <c r="I1371" s="900"/>
      <c r="J1371" s="900"/>
      <c r="K1371" s="900"/>
      <c r="L1371" s="900"/>
      <c r="M1371" s="900"/>
      <c r="N1371" s="900"/>
      <c r="O1371" s="900"/>
      <c r="P1371" s="900"/>
    </row>
    <row r="1372" spans="3:16" ht="14.25">
      <c r="C1372" s="900"/>
      <c r="D1372" s="900"/>
      <c r="E1372" s="900"/>
      <c r="F1372" s="900"/>
      <c r="G1372" s="900"/>
      <c r="H1372" s="900"/>
      <c r="I1372" s="900"/>
      <c r="J1372" s="900"/>
      <c r="K1372" s="900"/>
      <c r="L1372" s="900"/>
      <c r="M1372" s="900"/>
      <c r="N1372" s="900"/>
      <c r="O1372" s="900"/>
      <c r="P1372" s="900"/>
    </row>
    <row r="1373" spans="3:16" ht="14.25">
      <c r="C1373" s="900"/>
      <c r="D1373" s="900"/>
      <c r="E1373" s="900"/>
      <c r="F1373" s="900"/>
      <c r="G1373" s="900"/>
      <c r="H1373" s="900"/>
      <c r="I1373" s="900"/>
      <c r="J1373" s="900"/>
      <c r="K1373" s="900"/>
      <c r="L1373" s="900"/>
      <c r="M1373" s="900"/>
      <c r="N1373" s="900"/>
      <c r="O1373" s="900"/>
      <c r="P1373" s="900"/>
    </row>
    <row r="1374" spans="3:16" ht="14.25">
      <c r="C1374" s="900"/>
      <c r="D1374" s="900"/>
      <c r="E1374" s="900"/>
      <c r="F1374" s="900"/>
      <c r="G1374" s="900"/>
      <c r="H1374" s="900"/>
      <c r="I1374" s="900"/>
      <c r="J1374" s="900"/>
      <c r="K1374" s="900"/>
      <c r="L1374" s="900"/>
      <c r="M1374" s="900"/>
      <c r="N1374" s="900"/>
      <c r="O1374" s="900"/>
      <c r="P1374" s="900"/>
    </row>
    <row r="1375" spans="3:16" ht="14.25">
      <c r="C1375" s="900"/>
      <c r="D1375" s="900"/>
      <c r="E1375" s="900"/>
      <c r="F1375" s="900"/>
      <c r="G1375" s="900"/>
      <c r="H1375" s="900"/>
      <c r="I1375" s="900"/>
      <c r="J1375" s="900"/>
      <c r="K1375" s="900"/>
      <c r="L1375" s="900"/>
      <c r="M1375" s="900"/>
      <c r="N1375" s="900"/>
      <c r="O1375" s="900"/>
      <c r="P1375" s="900"/>
    </row>
    <row r="1376" spans="3:16" ht="14.25">
      <c r="C1376" s="900"/>
      <c r="D1376" s="900"/>
      <c r="E1376" s="900"/>
      <c r="F1376" s="900"/>
      <c r="G1376" s="900"/>
      <c r="H1376" s="900"/>
      <c r="I1376" s="900"/>
      <c r="J1376" s="900"/>
      <c r="K1376" s="900"/>
      <c r="L1376" s="900"/>
      <c r="M1376" s="900"/>
      <c r="N1376" s="900"/>
      <c r="O1376" s="900"/>
      <c r="P1376" s="900"/>
    </row>
    <row r="1377" spans="3:16" ht="14.25">
      <c r="C1377" s="900"/>
      <c r="D1377" s="900"/>
      <c r="E1377" s="900"/>
      <c r="F1377" s="900"/>
      <c r="G1377" s="900"/>
      <c r="H1377" s="900"/>
      <c r="I1377" s="900"/>
      <c r="J1377" s="900"/>
      <c r="K1377" s="900"/>
      <c r="L1377" s="900"/>
      <c r="M1377" s="900"/>
      <c r="N1377" s="900"/>
      <c r="O1377" s="900"/>
      <c r="P1377" s="900"/>
    </row>
    <row r="1378" spans="3:16" ht="14.25">
      <c r="C1378" s="900"/>
      <c r="D1378" s="900"/>
      <c r="E1378" s="900"/>
      <c r="F1378" s="900"/>
      <c r="G1378" s="900"/>
      <c r="H1378" s="900"/>
      <c r="I1378" s="900"/>
      <c r="J1378" s="900"/>
      <c r="K1378" s="900"/>
      <c r="L1378" s="900"/>
      <c r="M1378" s="900"/>
      <c r="N1378" s="900"/>
      <c r="O1378" s="900"/>
      <c r="P1378" s="900"/>
    </row>
    <row r="1379" spans="3:16" ht="14.25">
      <c r="C1379" s="900"/>
      <c r="D1379" s="900"/>
      <c r="E1379" s="900"/>
      <c r="F1379" s="900"/>
      <c r="G1379" s="900"/>
      <c r="H1379" s="900"/>
      <c r="I1379" s="900"/>
      <c r="J1379" s="900"/>
      <c r="K1379" s="900"/>
      <c r="L1379" s="900"/>
      <c r="M1379" s="900"/>
      <c r="N1379" s="900"/>
      <c r="O1379" s="900"/>
      <c r="P1379" s="900"/>
    </row>
    <row r="1380" spans="3:16" ht="14.25">
      <c r="C1380" s="900"/>
      <c r="D1380" s="900"/>
      <c r="E1380" s="900"/>
      <c r="F1380" s="900"/>
      <c r="G1380" s="900"/>
      <c r="H1380" s="900"/>
      <c r="I1380" s="900"/>
      <c r="J1380" s="900"/>
      <c r="K1380" s="900"/>
      <c r="L1380" s="900"/>
      <c r="M1380" s="900"/>
      <c r="N1380" s="900"/>
      <c r="O1380" s="900"/>
      <c r="P1380" s="900"/>
    </row>
    <row r="1381" spans="3:16" ht="14.25">
      <c r="C1381" s="900"/>
      <c r="D1381" s="900"/>
      <c r="E1381" s="900"/>
      <c r="F1381" s="900"/>
      <c r="G1381" s="900"/>
      <c r="H1381" s="900"/>
      <c r="I1381" s="900"/>
      <c r="J1381" s="900"/>
      <c r="K1381" s="900"/>
      <c r="L1381" s="900"/>
      <c r="M1381" s="900"/>
      <c r="N1381" s="900"/>
      <c r="O1381" s="900"/>
      <c r="P1381" s="900"/>
    </row>
    <row r="1382" spans="3:16" ht="14.25">
      <c r="C1382" s="900"/>
      <c r="D1382" s="900"/>
      <c r="E1382" s="900"/>
      <c r="F1382" s="900"/>
      <c r="G1382" s="900"/>
      <c r="H1382" s="900"/>
      <c r="I1382" s="900"/>
      <c r="J1382" s="900"/>
      <c r="K1382" s="900"/>
      <c r="L1382" s="900"/>
      <c r="M1382" s="900"/>
      <c r="N1382" s="900"/>
      <c r="O1382" s="900"/>
      <c r="P1382" s="900"/>
    </row>
    <row r="1383" spans="3:16" ht="14.25">
      <c r="C1383" s="900"/>
      <c r="D1383" s="900"/>
      <c r="E1383" s="900"/>
      <c r="F1383" s="900"/>
      <c r="G1383" s="900"/>
      <c r="H1383" s="900"/>
      <c r="I1383" s="900"/>
      <c r="J1383" s="900"/>
      <c r="K1383" s="900"/>
      <c r="L1383" s="900"/>
      <c r="M1383" s="900"/>
      <c r="N1383" s="900"/>
      <c r="O1383" s="900"/>
      <c r="P1383" s="900"/>
    </row>
    <row r="1384" spans="3:16" ht="14.25">
      <c r="C1384" s="900"/>
      <c r="D1384" s="900"/>
      <c r="E1384" s="900"/>
      <c r="F1384" s="900"/>
      <c r="G1384" s="900"/>
      <c r="H1384" s="900"/>
      <c r="I1384" s="900"/>
      <c r="J1384" s="900"/>
      <c r="K1384" s="900"/>
      <c r="L1384" s="900"/>
      <c r="M1384" s="900"/>
      <c r="N1384" s="900"/>
      <c r="O1384" s="900"/>
      <c r="P1384" s="900"/>
    </row>
    <row r="1385" spans="3:16" ht="14.25">
      <c r="C1385" s="900"/>
      <c r="D1385" s="900"/>
      <c r="E1385" s="900"/>
      <c r="F1385" s="900"/>
      <c r="G1385" s="900"/>
      <c r="H1385" s="900"/>
      <c r="I1385" s="900"/>
      <c r="J1385" s="900"/>
      <c r="K1385" s="900"/>
      <c r="L1385" s="900"/>
      <c r="M1385" s="900"/>
      <c r="N1385" s="900"/>
      <c r="O1385" s="900"/>
      <c r="P1385" s="900"/>
    </row>
    <row r="1386" spans="3:16" ht="14.25">
      <c r="C1386" s="900"/>
      <c r="D1386" s="900"/>
      <c r="E1386" s="900"/>
      <c r="F1386" s="900"/>
      <c r="G1386" s="900"/>
      <c r="H1386" s="900"/>
      <c r="I1386" s="900"/>
      <c r="J1386" s="900"/>
      <c r="K1386" s="900"/>
      <c r="L1386" s="900"/>
      <c r="M1386" s="900"/>
      <c r="N1386" s="900"/>
      <c r="O1386" s="900"/>
      <c r="P1386" s="900"/>
    </row>
    <row r="1387" spans="3:16" ht="14.25">
      <c r="C1387" s="900"/>
      <c r="D1387" s="900"/>
      <c r="E1387" s="900"/>
      <c r="F1387" s="900"/>
      <c r="G1387" s="900"/>
      <c r="H1387" s="900"/>
      <c r="I1387" s="900"/>
      <c r="J1387" s="900"/>
      <c r="K1387" s="900"/>
      <c r="L1387" s="900"/>
      <c r="M1387" s="900"/>
      <c r="N1387" s="900"/>
      <c r="O1387" s="900"/>
      <c r="P1387" s="900"/>
    </row>
    <row r="1388" spans="3:16" ht="14.25">
      <c r="C1388" s="900"/>
      <c r="D1388" s="900"/>
      <c r="E1388" s="900"/>
      <c r="F1388" s="900"/>
      <c r="G1388" s="900"/>
      <c r="H1388" s="900"/>
      <c r="I1388" s="900"/>
      <c r="J1388" s="900"/>
      <c r="K1388" s="900"/>
      <c r="L1388" s="900"/>
      <c r="M1388" s="900"/>
      <c r="N1388" s="900"/>
      <c r="O1388" s="900"/>
      <c r="P1388" s="900"/>
    </row>
    <row r="1389" spans="3:16" ht="14.25">
      <c r="C1389" s="900"/>
      <c r="D1389" s="900"/>
      <c r="E1389" s="900"/>
      <c r="F1389" s="900"/>
      <c r="G1389" s="900"/>
      <c r="H1389" s="900"/>
      <c r="I1389" s="900"/>
      <c r="J1389" s="900"/>
      <c r="K1389" s="900"/>
      <c r="L1389" s="900"/>
      <c r="M1389" s="900"/>
      <c r="N1389" s="900"/>
      <c r="O1389" s="900"/>
      <c r="P1389" s="900"/>
    </row>
    <row r="1390" spans="3:16" ht="14.25">
      <c r="C1390" s="900"/>
      <c r="D1390" s="900"/>
      <c r="E1390" s="900"/>
      <c r="F1390" s="900"/>
      <c r="G1390" s="900"/>
      <c r="H1390" s="900"/>
      <c r="I1390" s="900"/>
      <c r="J1390" s="900"/>
      <c r="K1390" s="900"/>
      <c r="L1390" s="900"/>
      <c r="M1390" s="900"/>
      <c r="N1390" s="900"/>
      <c r="O1390" s="900"/>
      <c r="P1390" s="900"/>
    </row>
    <row r="1391" spans="3:16" ht="14.25">
      <c r="C1391" s="900"/>
      <c r="D1391" s="900"/>
      <c r="E1391" s="900"/>
      <c r="F1391" s="900"/>
      <c r="G1391" s="900"/>
      <c r="H1391" s="900"/>
      <c r="I1391" s="900"/>
      <c r="J1391" s="900"/>
      <c r="K1391" s="900"/>
      <c r="L1391" s="900"/>
      <c r="M1391" s="900"/>
      <c r="N1391" s="900"/>
      <c r="O1391" s="900"/>
      <c r="P1391" s="900"/>
    </row>
    <row r="1392" spans="3:16" ht="14.25">
      <c r="C1392" s="900"/>
      <c r="D1392" s="900"/>
      <c r="E1392" s="900"/>
      <c r="F1392" s="900"/>
      <c r="G1392" s="900"/>
      <c r="H1392" s="900"/>
      <c r="I1392" s="900"/>
      <c r="J1392" s="900"/>
      <c r="K1392" s="900"/>
      <c r="L1392" s="900"/>
      <c r="M1392" s="900"/>
      <c r="N1392" s="900"/>
      <c r="O1392" s="900"/>
      <c r="P1392" s="900"/>
    </row>
    <row r="1393" spans="3:16" ht="14.25">
      <c r="C1393" s="900"/>
      <c r="D1393" s="900"/>
      <c r="E1393" s="900"/>
      <c r="F1393" s="900"/>
      <c r="G1393" s="900"/>
      <c r="H1393" s="900"/>
      <c r="I1393" s="900"/>
      <c r="J1393" s="900"/>
      <c r="K1393" s="900"/>
      <c r="L1393" s="900"/>
      <c r="M1393" s="900"/>
      <c r="N1393" s="900"/>
      <c r="O1393" s="900"/>
      <c r="P1393" s="900"/>
    </row>
    <row r="1394" spans="3:16" ht="14.25">
      <c r="C1394" s="900"/>
      <c r="D1394" s="900"/>
      <c r="E1394" s="900"/>
      <c r="F1394" s="900"/>
      <c r="G1394" s="900"/>
      <c r="H1394" s="900"/>
      <c r="I1394" s="900"/>
      <c r="J1394" s="900"/>
      <c r="K1394" s="900"/>
      <c r="L1394" s="900"/>
      <c r="M1394" s="900"/>
      <c r="N1394" s="900"/>
      <c r="O1394" s="900"/>
      <c r="P1394" s="900"/>
    </row>
    <row r="1395" spans="3:16" ht="14.25">
      <c r="C1395" s="900"/>
      <c r="D1395" s="900"/>
      <c r="E1395" s="900"/>
      <c r="F1395" s="900"/>
      <c r="G1395" s="900"/>
      <c r="H1395" s="900"/>
      <c r="I1395" s="900"/>
      <c r="J1395" s="900"/>
      <c r="K1395" s="900"/>
      <c r="L1395" s="900"/>
      <c r="M1395" s="900"/>
      <c r="N1395" s="900"/>
      <c r="O1395" s="900"/>
      <c r="P1395" s="900"/>
    </row>
    <row r="1396" spans="3:16" ht="14.25">
      <c r="C1396" s="900"/>
      <c r="D1396" s="900"/>
      <c r="E1396" s="900"/>
      <c r="F1396" s="900"/>
      <c r="G1396" s="900"/>
      <c r="H1396" s="900"/>
      <c r="I1396" s="900"/>
      <c r="J1396" s="900"/>
      <c r="K1396" s="900"/>
      <c r="L1396" s="900"/>
      <c r="M1396" s="900"/>
      <c r="N1396" s="900"/>
      <c r="O1396" s="900"/>
      <c r="P1396" s="900"/>
    </row>
    <row r="1397" spans="3:16" ht="14.25">
      <c r="C1397" s="900"/>
      <c r="D1397" s="900"/>
      <c r="E1397" s="900"/>
      <c r="F1397" s="900"/>
      <c r="G1397" s="900"/>
      <c r="H1397" s="900"/>
      <c r="I1397" s="900"/>
      <c r="J1397" s="900"/>
      <c r="K1397" s="900"/>
      <c r="L1397" s="900"/>
      <c r="M1397" s="900"/>
      <c r="N1397" s="900"/>
      <c r="O1397" s="900"/>
      <c r="P1397" s="900"/>
    </row>
    <row r="1398" spans="3:16" ht="14.25">
      <c r="C1398" s="900"/>
      <c r="D1398" s="900"/>
      <c r="E1398" s="900"/>
      <c r="F1398" s="900"/>
      <c r="G1398" s="900"/>
      <c r="H1398" s="900"/>
      <c r="I1398" s="900"/>
      <c r="J1398" s="900"/>
      <c r="K1398" s="900"/>
      <c r="L1398" s="900"/>
      <c r="M1398" s="900"/>
      <c r="N1398" s="900"/>
      <c r="O1398" s="900"/>
      <c r="P1398" s="900"/>
    </row>
    <row r="1399" spans="3:16" ht="14.25">
      <c r="C1399" s="900"/>
      <c r="D1399" s="900"/>
      <c r="E1399" s="900"/>
      <c r="F1399" s="900"/>
      <c r="G1399" s="900"/>
      <c r="H1399" s="900"/>
      <c r="I1399" s="900"/>
      <c r="J1399" s="900"/>
      <c r="K1399" s="900"/>
      <c r="L1399" s="900"/>
      <c r="M1399" s="900"/>
      <c r="N1399" s="900"/>
      <c r="O1399" s="900"/>
      <c r="P1399" s="900"/>
    </row>
    <row r="1400" spans="3:16" ht="14.25">
      <c r="C1400" s="900"/>
      <c r="D1400" s="900"/>
      <c r="E1400" s="900"/>
      <c r="F1400" s="900"/>
      <c r="G1400" s="900"/>
      <c r="H1400" s="900"/>
      <c r="I1400" s="900"/>
      <c r="J1400" s="900"/>
      <c r="K1400" s="900"/>
      <c r="L1400" s="900"/>
      <c r="M1400" s="900"/>
      <c r="N1400" s="900"/>
      <c r="O1400" s="900"/>
      <c r="P1400" s="900"/>
    </row>
    <row r="1401" spans="3:16" ht="14.25">
      <c r="C1401" s="900"/>
      <c r="D1401" s="900"/>
      <c r="E1401" s="900"/>
      <c r="F1401" s="900"/>
      <c r="G1401" s="900"/>
      <c r="H1401" s="900"/>
      <c r="I1401" s="900"/>
      <c r="J1401" s="900"/>
      <c r="K1401" s="900"/>
      <c r="L1401" s="900"/>
      <c r="M1401" s="900"/>
      <c r="N1401" s="900"/>
      <c r="O1401" s="900"/>
      <c r="P1401" s="900"/>
    </row>
    <row r="1402" spans="3:16" ht="14.25">
      <c r="C1402" s="900"/>
      <c r="D1402" s="900"/>
      <c r="E1402" s="900"/>
      <c r="F1402" s="900"/>
      <c r="G1402" s="900"/>
      <c r="H1402" s="900"/>
      <c r="I1402" s="900"/>
      <c r="J1402" s="900"/>
      <c r="K1402" s="900"/>
      <c r="L1402" s="900"/>
      <c r="M1402" s="900"/>
      <c r="N1402" s="900"/>
      <c r="O1402" s="900"/>
      <c r="P1402" s="900"/>
    </row>
    <row r="1403" spans="3:16" ht="14.25">
      <c r="C1403" s="900"/>
      <c r="D1403" s="900"/>
      <c r="E1403" s="900"/>
      <c r="F1403" s="900"/>
      <c r="G1403" s="900"/>
      <c r="H1403" s="900"/>
      <c r="I1403" s="900"/>
      <c r="J1403" s="900"/>
      <c r="K1403" s="900"/>
      <c r="L1403" s="900"/>
      <c r="M1403" s="900"/>
      <c r="N1403" s="900"/>
      <c r="O1403" s="900"/>
      <c r="P1403" s="900"/>
    </row>
    <row r="1404" spans="3:16" ht="14.25">
      <c r="C1404" s="900"/>
      <c r="D1404" s="900"/>
      <c r="E1404" s="900"/>
      <c r="F1404" s="900"/>
      <c r="G1404" s="900"/>
      <c r="H1404" s="900"/>
      <c r="I1404" s="900"/>
      <c r="J1404" s="900"/>
      <c r="K1404" s="900"/>
      <c r="L1404" s="900"/>
      <c r="M1404" s="900"/>
      <c r="N1404" s="900"/>
      <c r="O1404" s="900"/>
      <c r="P1404" s="900"/>
    </row>
    <row r="1405" spans="3:16" ht="14.25">
      <c r="C1405" s="900"/>
      <c r="D1405" s="900"/>
      <c r="E1405" s="900"/>
      <c r="F1405" s="900"/>
      <c r="G1405" s="900"/>
      <c r="H1405" s="900"/>
      <c r="I1405" s="900"/>
      <c r="J1405" s="900"/>
      <c r="K1405" s="900"/>
      <c r="L1405" s="900"/>
      <c r="M1405" s="900"/>
      <c r="N1405" s="900"/>
      <c r="O1405" s="900"/>
      <c r="P1405" s="900"/>
    </row>
    <row r="1406" spans="3:16" ht="14.25">
      <c r="C1406" s="900"/>
      <c r="D1406" s="900"/>
      <c r="E1406" s="900"/>
      <c r="F1406" s="900"/>
      <c r="G1406" s="900"/>
      <c r="H1406" s="900"/>
      <c r="I1406" s="900"/>
      <c r="J1406" s="900"/>
      <c r="K1406" s="900"/>
      <c r="L1406" s="900"/>
      <c r="M1406" s="900"/>
      <c r="N1406" s="900"/>
      <c r="O1406" s="900"/>
      <c r="P1406" s="900"/>
    </row>
    <row r="1407" spans="3:16" ht="14.25">
      <c r="C1407" s="900"/>
      <c r="D1407" s="900"/>
      <c r="E1407" s="900"/>
      <c r="F1407" s="900"/>
      <c r="G1407" s="900"/>
      <c r="H1407" s="900"/>
      <c r="I1407" s="900"/>
      <c r="J1407" s="900"/>
      <c r="K1407" s="900"/>
      <c r="L1407" s="900"/>
      <c r="M1407" s="900"/>
      <c r="N1407" s="900"/>
      <c r="O1407" s="900"/>
      <c r="P1407" s="900"/>
    </row>
    <row r="1408" spans="3:16" ht="14.25">
      <c r="C1408" s="900"/>
      <c r="D1408" s="900"/>
      <c r="E1408" s="900"/>
      <c r="F1408" s="900"/>
      <c r="G1408" s="900"/>
      <c r="H1408" s="900"/>
      <c r="I1408" s="900"/>
      <c r="J1408" s="900"/>
      <c r="K1408" s="900"/>
      <c r="L1408" s="900"/>
      <c r="M1408" s="900"/>
      <c r="N1408" s="900"/>
      <c r="O1408" s="900"/>
      <c r="P1408" s="900"/>
    </row>
    <row r="1409" spans="3:16" ht="14.25">
      <c r="C1409" s="900"/>
      <c r="D1409" s="900"/>
      <c r="E1409" s="900"/>
      <c r="F1409" s="900"/>
      <c r="G1409" s="900"/>
      <c r="H1409" s="900"/>
      <c r="I1409" s="900"/>
      <c r="J1409" s="900"/>
      <c r="K1409" s="900"/>
      <c r="L1409" s="900"/>
      <c r="M1409" s="900"/>
      <c r="N1409" s="900"/>
      <c r="O1409" s="900"/>
      <c r="P1409" s="900"/>
    </row>
    <row r="1410" spans="3:16" ht="14.25">
      <c r="C1410" s="900"/>
      <c r="D1410" s="900"/>
      <c r="E1410" s="900"/>
      <c r="F1410" s="900"/>
      <c r="G1410" s="900"/>
      <c r="H1410" s="900"/>
      <c r="I1410" s="900"/>
      <c r="J1410" s="900"/>
      <c r="K1410" s="900"/>
      <c r="L1410" s="900"/>
      <c r="M1410" s="900"/>
      <c r="N1410" s="900"/>
      <c r="O1410" s="900"/>
      <c r="P1410" s="900"/>
    </row>
    <row r="1411" spans="3:16" ht="14.25">
      <c r="C1411" s="900"/>
      <c r="D1411" s="900"/>
      <c r="E1411" s="900"/>
      <c r="F1411" s="900"/>
      <c r="G1411" s="900"/>
      <c r="H1411" s="900"/>
      <c r="I1411" s="900"/>
      <c r="J1411" s="900"/>
      <c r="K1411" s="900"/>
      <c r="L1411" s="900"/>
      <c r="M1411" s="900"/>
      <c r="N1411" s="900"/>
      <c r="O1411" s="900"/>
      <c r="P1411" s="900"/>
    </row>
    <row r="1412" spans="3:16" ht="14.25">
      <c r="C1412" s="900"/>
      <c r="D1412" s="900"/>
      <c r="E1412" s="900"/>
      <c r="F1412" s="900"/>
      <c r="G1412" s="900"/>
      <c r="H1412" s="900"/>
      <c r="I1412" s="900"/>
      <c r="J1412" s="900"/>
      <c r="K1412" s="900"/>
      <c r="L1412" s="900"/>
      <c r="M1412" s="900"/>
      <c r="N1412" s="900"/>
      <c r="O1412" s="900"/>
      <c r="P1412" s="900"/>
    </row>
    <row r="1413" spans="3:16" ht="14.25">
      <c r="C1413" s="900"/>
      <c r="D1413" s="900"/>
      <c r="E1413" s="900"/>
      <c r="F1413" s="900"/>
      <c r="G1413" s="900"/>
      <c r="H1413" s="900"/>
      <c r="I1413" s="900"/>
      <c r="J1413" s="900"/>
      <c r="K1413" s="900"/>
      <c r="L1413" s="900"/>
      <c r="M1413" s="900"/>
      <c r="N1413" s="900"/>
      <c r="O1413" s="900"/>
      <c r="P1413" s="900"/>
    </row>
    <row r="1414" spans="3:16" ht="14.25">
      <c r="C1414" s="900"/>
      <c r="D1414" s="900"/>
      <c r="E1414" s="900"/>
      <c r="F1414" s="900"/>
      <c r="G1414" s="900"/>
      <c r="H1414" s="900"/>
      <c r="I1414" s="900"/>
      <c r="J1414" s="900"/>
      <c r="K1414" s="900"/>
      <c r="L1414" s="900"/>
      <c r="M1414" s="900"/>
      <c r="N1414" s="900"/>
      <c r="O1414" s="900"/>
      <c r="P1414" s="900"/>
    </row>
    <row r="1415" spans="3:16" ht="14.25">
      <c r="C1415" s="900"/>
      <c r="D1415" s="900"/>
      <c r="E1415" s="900"/>
      <c r="F1415" s="900"/>
      <c r="G1415" s="900"/>
      <c r="H1415" s="900"/>
      <c r="I1415" s="900"/>
      <c r="J1415" s="900"/>
      <c r="K1415" s="900"/>
      <c r="L1415" s="900"/>
      <c r="M1415" s="900"/>
      <c r="N1415" s="900"/>
      <c r="O1415" s="900"/>
      <c r="P1415" s="900"/>
    </row>
    <row r="1416" spans="3:16" ht="14.25">
      <c r="C1416" s="900"/>
      <c r="D1416" s="900"/>
      <c r="E1416" s="900"/>
      <c r="F1416" s="900"/>
      <c r="G1416" s="900"/>
      <c r="H1416" s="900"/>
      <c r="I1416" s="900"/>
      <c r="J1416" s="900"/>
      <c r="K1416" s="900"/>
      <c r="L1416" s="900"/>
      <c r="M1416" s="900"/>
      <c r="N1416" s="900"/>
      <c r="O1416" s="900"/>
      <c r="P1416" s="900"/>
    </row>
    <row r="1417" spans="3:16" ht="14.25">
      <c r="C1417" s="900"/>
      <c r="D1417" s="900"/>
      <c r="E1417" s="900"/>
      <c r="F1417" s="900"/>
      <c r="G1417" s="900"/>
      <c r="H1417" s="900"/>
      <c r="I1417" s="900"/>
      <c r="J1417" s="900"/>
      <c r="K1417" s="900"/>
      <c r="L1417" s="900"/>
      <c r="M1417" s="900"/>
      <c r="N1417" s="900"/>
      <c r="O1417" s="900"/>
      <c r="P1417" s="900"/>
    </row>
    <row r="1418" spans="3:16" ht="14.25">
      <c r="C1418" s="900"/>
      <c r="D1418" s="900"/>
      <c r="E1418" s="900"/>
      <c r="F1418" s="900"/>
      <c r="G1418" s="900"/>
      <c r="H1418" s="900"/>
      <c r="I1418" s="900"/>
      <c r="J1418" s="900"/>
      <c r="K1418" s="900"/>
      <c r="L1418" s="900"/>
      <c r="M1418" s="900"/>
      <c r="N1418" s="900"/>
      <c r="O1418" s="900"/>
      <c r="P1418" s="900"/>
    </row>
    <row r="1419" spans="3:16" ht="14.25">
      <c r="C1419" s="900"/>
      <c r="D1419" s="900"/>
      <c r="E1419" s="900"/>
      <c r="F1419" s="900"/>
      <c r="G1419" s="900"/>
      <c r="H1419" s="900"/>
      <c r="I1419" s="900"/>
      <c r="J1419" s="900"/>
      <c r="K1419" s="900"/>
      <c r="L1419" s="900"/>
      <c r="M1419" s="900"/>
      <c r="N1419" s="900"/>
      <c r="O1419" s="900"/>
      <c r="P1419" s="900"/>
    </row>
    <row r="1420" spans="3:16" ht="14.25">
      <c r="C1420" s="900"/>
      <c r="D1420" s="900"/>
      <c r="E1420" s="900"/>
      <c r="F1420" s="900"/>
      <c r="G1420" s="900"/>
      <c r="H1420" s="900"/>
      <c r="I1420" s="900"/>
      <c r="J1420" s="900"/>
      <c r="K1420" s="900"/>
      <c r="L1420" s="900"/>
      <c r="M1420" s="900"/>
      <c r="N1420" s="900"/>
      <c r="O1420" s="900"/>
      <c r="P1420" s="900"/>
    </row>
    <row r="1421" spans="3:16" ht="14.25">
      <c r="C1421" s="900"/>
      <c r="D1421" s="900"/>
      <c r="E1421" s="900"/>
      <c r="F1421" s="900"/>
      <c r="G1421" s="900"/>
      <c r="H1421" s="900"/>
      <c r="I1421" s="900"/>
      <c r="J1421" s="900"/>
      <c r="K1421" s="900"/>
      <c r="L1421" s="900"/>
      <c r="M1421" s="900"/>
      <c r="N1421" s="900"/>
      <c r="O1421" s="900"/>
      <c r="P1421" s="900"/>
    </row>
    <row r="1422" spans="3:16" ht="14.25">
      <c r="C1422" s="900"/>
      <c r="D1422" s="900"/>
      <c r="E1422" s="900"/>
      <c r="F1422" s="900"/>
      <c r="G1422" s="900"/>
      <c r="H1422" s="900"/>
      <c r="I1422" s="900"/>
      <c r="J1422" s="900"/>
      <c r="K1422" s="900"/>
      <c r="L1422" s="900"/>
      <c r="M1422" s="900"/>
      <c r="N1422" s="900"/>
      <c r="O1422" s="900"/>
      <c r="P1422" s="900"/>
    </row>
    <row r="1423" spans="3:16" ht="14.25">
      <c r="C1423" s="900"/>
      <c r="D1423" s="900"/>
      <c r="E1423" s="900"/>
      <c r="F1423" s="900"/>
      <c r="G1423" s="900"/>
      <c r="H1423" s="900"/>
      <c r="I1423" s="900"/>
      <c r="J1423" s="900"/>
      <c r="K1423" s="900"/>
      <c r="L1423" s="900"/>
      <c r="M1423" s="900"/>
      <c r="N1423" s="900"/>
      <c r="O1423" s="900"/>
      <c r="P1423" s="900"/>
    </row>
    <row r="1424" spans="3:16" ht="14.25">
      <c r="C1424" s="900"/>
      <c r="D1424" s="900"/>
      <c r="E1424" s="900"/>
      <c r="F1424" s="900"/>
      <c r="G1424" s="900"/>
      <c r="H1424" s="900"/>
      <c r="I1424" s="900"/>
      <c r="J1424" s="900"/>
      <c r="K1424" s="900"/>
      <c r="L1424" s="900"/>
      <c r="M1424" s="900"/>
      <c r="N1424" s="900"/>
      <c r="O1424" s="900"/>
      <c r="P1424" s="900"/>
    </row>
    <row r="1425" spans="3:16" ht="14.25">
      <c r="C1425" s="900"/>
      <c r="D1425" s="900"/>
      <c r="E1425" s="900"/>
      <c r="F1425" s="900"/>
      <c r="G1425" s="900"/>
      <c r="H1425" s="900"/>
      <c r="I1425" s="900"/>
      <c r="J1425" s="900"/>
      <c r="K1425" s="900"/>
      <c r="L1425" s="900"/>
      <c r="M1425" s="900"/>
      <c r="N1425" s="900"/>
      <c r="O1425" s="900"/>
      <c r="P1425" s="900"/>
    </row>
    <row r="1426" spans="3:16" ht="14.25">
      <c r="C1426" s="900"/>
      <c r="D1426" s="900"/>
      <c r="E1426" s="900"/>
      <c r="F1426" s="900"/>
      <c r="G1426" s="900"/>
      <c r="H1426" s="900"/>
      <c r="I1426" s="900"/>
      <c r="J1426" s="900"/>
      <c r="K1426" s="900"/>
      <c r="L1426" s="900"/>
      <c r="M1426" s="900"/>
      <c r="N1426" s="900"/>
      <c r="O1426" s="900"/>
      <c r="P1426" s="900"/>
    </row>
    <row r="1427" spans="3:16" ht="14.25">
      <c r="C1427" s="900"/>
      <c r="D1427" s="900"/>
      <c r="E1427" s="900"/>
      <c r="F1427" s="900"/>
      <c r="G1427" s="900"/>
      <c r="H1427" s="900"/>
      <c r="I1427" s="900"/>
      <c r="J1427" s="900"/>
      <c r="K1427" s="900"/>
      <c r="L1427" s="900"/>
      <c r="M1427" s="900"/>
      <c r="N1427" s="900"/>
      <c r="O1427" s="900"/>
      <c r="P1427" s="900"/>
    </row>
    <row r="1428" spans="3:16" ht="14.25">
      <c r="C1428" s="900"/>
      <c r="D1428" s="900"/>
      <c r="E1428" s="900"/>
      <c r="F1428" s="900"/>
      <c r="G1428" s="900"/>
      <c r="H1428" s="900"/>
      <c r="I1428" s="900"/>
      <c r="J1428" s="900"/>
      <c r="K1428" s="900"/>
      <c r="L1428" s="900"/>
      <c r="M1428" s="900"/>
      <c r="N1428" s="900"/>
      <c r="O1428" s="900"/>
      <c r="P1428" s="900"/>
    </row>
    <row r="1429" spans="3:16" ht="14.25">
      <c r="C1429" s="900"/>
      <c r="D1429" s="900"/>
      <c r="E1429" s="900"/>
      <c r="F1429" s="900"/>
      <c r="G1429" s="900"/>
      <c r="H1429" s="900"/>
      <c r="I1429" s="900"/>
      <c r="J1429" s="900"/>
      <c r="K1429" s="900"/>
      <c r="L1429" s="900"/>
      <c r="M1429" s="900"/>
      <c r="N1429" s="900"/>
      <c r="O1429" s="900"/>
      <c r="P1429" s="900"/>
    </row>
    <row r="1430" spans="3:16" ht="14.25">
      <c r="C1430" s="900"/>
      <c r="D1430" s="900"/>
      <c r="E1430" s="900"/>
      <c r="F1430" s="900"/>
      <c r="G1430" s="900"/>
      <c r="H1430" s="900"/>
      <c r="I1430" s="900"/>
      <c r="J1430" s="900"/>
      <c r="K1430" s="900"/>
      <c r="L1430" s="900"/>
      <c r="M1430" s="900"/>
      <c r="N1430" s="900"/>
      <c r="O1430" s="900"/>
      <c r="P1430" s="900"/>
    </row>
    <row r="1431" spans="3:16" ht="14.25">
      <c r="C1431" s="900"/>
      <c r="D1431" s="900"/>
      <c r="E1431" s="900"/>
      <c r="F1431" s="900"/>
      <c r="G1431" s="900"/>
      <c r="H1431" s="900"/>
      <c r="I1431" s="900"/>
      <c r="J1431" s="900"/>
      <c r="K1431" s="900"/>
      <c r="L1431" s="900"/>
      <c r="M1431" s="900"/>
      <c r="N1431" s="900"/>
      <c r="O1431" s="900"/>
      <c r="P1431" s="900"/>
    </row>
    <row r="1432" spans="3:16" ht="14.25">
      <c r="C1432" s="900"/>
      <c r="D1432" s="900"/>
      <c r="E1432" s="900"/>
      <c r="F1432" s="900"/>
      <c r="G1432" s="900"/>
      <c r="H1432" s="900"/>
      <c r="I1432" s="900"/>
      <c r="J1432" s="900"/>
      <c r="K1432" s="900"/>
      <c r="L1432" s="900"/>
      <c r="M1432" s="900"/>
      <c r="N1432" s="900"/>
      <c r="O1432" s="900"/>
      <c r="P1432" s="900"/>
    </row>
    <row r="1433" spans="3:16" ht="14.25">
      <c r="C1433" s="900"/>
      <c r="D1433" s="900"/>
      <c r="E1433" s="900"/>
      <c r="F1433" s="900"/>
      <c r="G1433" s="900"/>
      <c r="H1433" s="900"/>
      <c r="I1433" s="900"/>
      <c r="J1433" s="900"/>
      <c r="K1433" s="900"/>
      <c r="L1433" s="900"/>
      <c r="M1433" s="900"/>
      <c r="N1433" s="900"/>
      <c r="O1433" s="900"/>
      <c r="P1433" s="900"/>
    </row>
    <row r="1434" spans="3:16" ht="14.25">
      <c r="C1434" s="900"/>
      <c r="D1434" s="900"/>
      <c r="E1434" s="900"/>
      <c r="F1434" s="900"/>
      <c r="G1434" s="900"/>
      <c r="H1434" s="900"/>
      <c r="I1434" s="900"/>
      <c r="J1434" s="900"/>
      <c r="K1434" s="900"/>
      <c r="L1434" s="900"/>
      <c r="M1434" s="900"/>
      <c r="N1434" s="900"/>
      <c r="O1434" s="900"/>
      <c r="P1434" s="900"/>
    </row>
    <row r="1435" spans="3:16" ht="14.25">
      <c r="C1435" s="900"/>
      <c r="D1435" s="900"/>
      <c r="E1435" s="900"/>
      <c r="F1435" s="900"/>
      <c r="G1435" s="900"/>
      <c r="H1435" s="900"/>
      <c r="I1435" s="900"/>
      <c r="J1435" s="900"/>
      <c r="K1435" s="900"/>
      <c r="L1435" s="900"/>
      <c r="M1435" s="900"/>
      <c r="N1435" s="900"/>
      <c r="O1435" s="900"/>
      <c r="P1435" s="900"/>
    </row>
    <row r="1436" spans="3:16" ht="14.25">
      <c r="C1436" s="900"/>
      <c r="D1436" s="900"/>
      <c r="E1436" s="900"/>
      <c r="F1436" s="900"/>
      <c r="G1436" s="900"/>
      <c r="H1436" s="900"/>
      <c r="I1436" s="900"/>
      <c r="J1436" s="900"/>
      <c r="K1436" s="900"/>
      <c r="L1436" s="900"/>
      <c r="M1436" s="900"/>
      <c r="N1436" s="900"/>
      <c r="O1436" s="900"/>
      <c r="P1436" s="900"/>
    </row>
    <row r="1437" spans="3:16" ht="14.25">
      <c r="C1437" s="900"/>
      <c r="D1437" s="900"/>
      <c r="E1437" s="900"/>
      <c r="F1437" s="900"/>
      <c r="G1437" s="900"/>
      <c r="H1437" s="900"/>
      <c r="I1437" s="900"/>
      <c r="J1437" s="900"/>
      <c r="K1437" s="900"/>
      <c r="L1437" s="900"/>
      <c r="M1437" s="900"/>
      <c r="N1437" s="900"/>
      <c r="O1437" s="900"/>
      <c r="P1437" s="900"/>
    </row>
    <row r="1438" spans="3:16" ht="14.25">
      <c r="C1438" s="900"/>
      <c r="D1438" s="900"/>
      <c r="E1438" s="900"/>
      <c r="F1438" s="900"/>
      <c r="G1438" s="900"/>
      <c r="H1438" s="900"/>
      <c r="I1438" s="900"/>
      <c r="J1438" s="900"/>
      <c r="K1438" s="900"/>
      <c r="L1438" s="900"/>
      <c r="M1438" s="900"/>
      <c r="N1438" s="900"/>
      <c r="O1438" s="900"/>
      <c r="P1438" s="900"/>
    </row>
    <row r="1439" spans="3:16" ht="14.25">
      <c r="C1439" s="900"/>
      <c r="D1439" s="900"/>
      <c r="E1439" s="900"/>
      <c r="F1439" s="900"/>
      <c r="G1439" s="900"/>
      <c r="H1439" s="900"/>
      <c r="I1439" s="900"/>
      <c r="J1439" s="900"/>
      <c r="K1439" s="900"/>
      <c r="L1439" s="900"/>
      <c r="M1439" s="900"/>
      <c r="N1439" s="900"/>
      <c r="O1439" s="900"/>
      <c r="P1439" s="900"/>
    </row>
    <row r="1440" spans="3:16" ht="14.25">
      <c r="C1440" s="900"/>
      <c r="D1440" s="900"/>
      <c r="E1440" s="900"/>
      <c r="F1440" s="900"/>
      <c r="G1440" s="900"/>
      <c r="H1440" s="900"/>
      <c r="I1440" s="900"/>
      <c r="J1440" s="900"/>
      <c r="K1440" s="900"/>
      <c r="L1440" s="900"/>
      <c r="M1440" s="900"/>
      <c r="N1440" s="900"/>
      <c r="O1440" s="900"/>
      <c r="P1440" s="900"/>
    </row>
    <row r="1441" spans="3:16" ht="14.25">
      <c r="C1441" s="900"/>
      <c r="D1441" s="900"/>
      <c r="E1441" s="900"/>
      <c r="F1441" s="900"/>
      <c r="G1441" s="900"/>
      <c r="H1441" s="900"/>
      <c r="I1441" s="900"/>
      <c r="J1441" s="900"/>
      <c r="K1441" s="900"/>
      <c r="L1441" s="900"/>
      <c r="M1441" s="900"/>
      <c r="N1441" s="900"/>
      <c r="O1441" s="900"/>
      <c r="P1441" s="900"/>
    </row>
    <row r="1442" spans="3:16" ht="14.25">
      <c r="C1442" s="900"/>
      <c r="D1442" s="900"/>
      <c r="E1442" s="900"/>
      <c r="F1442" s="900"/>
      <c r="G1442" s="900"/>
      <c r="H1442" s="900"/>
      <c r="I1442" s="900"/>
      <c r="J1442" s="900"/>
      <c r="K1442" s="900"/>
      <c r="L1442" s="900"/>
      <c r="M1442" s="900"/>
      <c r="N1442" s="900"/>
      <c r="O1442" s="900"/>
      <c r="P1442" s="900"/>
    </row>
    <row r="1443" spans="3:16" ht="14.25">
      <c r="C1443" s="900"/>
      <c r="D1443" s="900"/>
      <c r="E1443" s="900"/>
      <c r="F1443" s="900"/>
      <c r="G1443" s="900"/>
      <c r="H1443" s="900"/>
      <c r="I1443" s="900"/>
      <c r="J1443" s="900"/>
      <c r="K1443" s="900"/>
      <c r="L1443" s="900"/>
      <c r="M1443" s="900"/>
      <c r="N1443" s="900"/>
      <c r="O1443" s="900"/>
      <c r="P1443" s="900"/>
    </row>
    <row r="1444" spans="3:16" ht="14.25">
      <c r="C1444" s="900"/>
      <c r="D1444" s="900"/>
      <c r="E1444" s="900"/>
      <c r="F1444" s="900"/>
      <c r="G1444" s="900"/>
      <c r="H1444" s="900"/>
      <c r="I1444" s="900"/>
      <c r="J1444" s="900"/>
      <c r="K1444" s="900"/>
      <c r="L1444" s="900"/>
      <c r="M1444" s="900"/>
      <c r="N1444" s="900"/>
      <c r="O1444" s="900"/>
      <c r="P1444" s="900"/>
    </row>
    <row r="1445" spans="3:16" ht="14.25">
      <c r="C1445" s="900"/>
      <c r="D1445" s="900"/>
      <c r="E1445" s="900"/>
      <c r="F1445" s="900"/>
      <c r="G1445" s="900"/>
      <c r="H1445" s="900"/>
      <c r="I1445" s="900"/>
      <c r="J1445" s="900"/>
      <c r="K1445" s="900"/>
      <c r="L1445" s="900"/>
      <c r="M1445" s="900"/>
      <c r="N1445" s="900"/>
      <c r="O1445" s="900"/>
      <c r="P1445" s="900"/>
    </row>
    <row r="1446" spans="3:16" ht="14.25">
      <c r="C1446" s="900"/>
      <c r="D1446" s="900"/>
      <c r="E1446" s="900"/>
      <c r="F1446" s="900"/>
      <c r="G1446" s="900"/>
      <c r="H1446" s="900"/>
      <c r="I1446" s="900"/>
      <c r="J1446" s="900"/>
      <c r="K1446" s="900"/>
      <c r="L1446" s="900"/>
      <c r="M1446" s="900"/>
      <c r="N1446" s="900"/>
      <c r="O1446" s="900"/>
      <c r="P1446" s="900"/>
    </row>
    <row r="1447" spans="3:16" ht="14.25">
      <c r="C1447" s="900"/>
      <c r="D1447" s="900"/>
      <c r="E1447" s="900"/>
      <c r="F1447" s="900"/>
      <c r="G1447" s="900"/>
      <c r="H1447" s="900"/>
      <c r="I1447" s="900"/>
      <c r="J1447" s="900"/>
      <c r="K1447" s="900"/>
      <c r="L1447" s="900"/>
      <c r="M1447" s="900"/>
      <c r="N1447" s="900"/>
      <c r="O1447" s="900"/>
      <c r="P1447" s="900"/>
    </row>
    <row r="1448" spans="3:16" ht="14.25">
      <c r="C1448" s="900"/>
      <c r="D1448" s="900"/>
      <c r="E1448" s="900"/>
      <c r="F1448" s="900"/>
      <c r="G1448" s="900"/>
      <c r="H1448" s="900"/>
      <c r="I1448" s="900"/>
      <c r="J1448" s="900"/>
      <c r="K1448" s="900"/>
      <c r="L1448" s="900"/>
      <c r="M1448" s="900"/>
      <c r="N1448" s="900"/>
      <c r="O1448" s="900"/>
      <c r="P1448" s="900"/>
    </row>
    <row r="1449" spans="3:16" ht="14.25">
      <c r="C1449" s="900"/>
      <c r="D1449" s="900"/>
      <c r="E1449" s="900"/>
      <c r="F1449" s="900"/>
      <c r="G1449" s="900"/>
      <c r="H1449" s="900"/>
      <c r="I1449" s="900"/>
      <c r="J1449" s="900"/>
      <c r="K1449" s="900"/>
      <c r="L1449" s="900"/>
      <c r="M1449" s="900"/>
      <c r="N1449" s="900"/>
      <c r="O1449" s="900"/>
      <c r="P1449" s="900"/>
    </row>
    <row r="1450" spans="3:16" ht="14.25">
      <c r="C1450" s="900"/>
      <c r="D1450" s="900"/>
      <c r="E1450" s="900"/>
      <c r="F1450" s="900"/>
      <c r="G1450" s="900"/>
      <c r="H1450" s="900"/>
      <c r="I1450" s="900"/>
      <c r="J1450" s="900"/>
      <c r="K1450" s="900"/>
      <c r="L1450" s="900"/>
      <c r="M1450" s="900"/>
      <c r="N1450" s="900"/>
      <c r="O1450" s="900"/>
      <c r="P1450" s="900"/>
    </row>
    <row r="1451" spans="3:16" ht="14.25">
      <c r="C1451" s="900"/>
      <c r="D1451" s="900"/>
      <c r="E1451" s="900"/>
      <c r="F1451" s="900"/>
      <c r="G1451" s="900"/>
      <c r="H1451" s="900"/>
      <c r="I1451" s="900"/>
      <c r="J1451" s="900"/>
      <c r="K1451" s="900"/>
      <c r="L1451" s="900"/>
      <c r="M1451" s="900"/>
      <c r="N1451" s="900"/>
      <c r="O1451" s="900"/>
      <c r="P1451" s="900"/>
    </row>
    <row r="1452" spans="3:16" ht="14.25">
      <c r="C1452" s="900"/>
      <c r="D1452" s="900"/>
      <c r="E1452" s="900"/>
      <c r="F1452" s="900"/>
      <c r="G1452" s="900"/>
      <c r="H1452" s="900"/>
      <c r="I1452" s="900"/>
      <c r="J1452" s="900"/>
      <c r="K1452" s="900"/>
      <c r="L1452" s="900"/>
      <c r="M1452" s="900"/>
      <c r="N1452" s="900"/>
      <c r="O1452" s="900"/>
      <c r="P1452" s="900"/>
    </row>
    <row r="1453" spans="3:16" ht="14.25">
      <c r="C1453" s="900"/>
      <c r="D1453" s="900"/>
      <c r="E1453" s="900"/>
      <c r="F1453" s="900"/>
      <c r="G1453" s="900"/>
      <c r="H1453" s="900"/>
      <c r="I1453" s="900"/>
      <c r="J1453" s="900"/>
      <c r="K1453" s="900"/>
      <c r="L1453" s="900"/>
      <c r="M1453" s="900"/>
      <c r="N1453" s="900"/>
      <c r="O1453" s="900"/>
      <c r="P1453" s="900"/>
    </row>
    <row r="1454" spans="3:16" ht="14.25">
      <c r="C1454" s="900"/>
      <c r="D1454" s="900"/>
      <c r="E1454" s="900"/>
      <c r="F1454" s="900"/>
      <c r="G1454" s="900"/>
      <c r="H1454" s="900"/>
      <c r="I1454" s="900"/>
      <c r="J1454" s="900"/>
      <c r="K1454" s="900"/>
      <c r="L1454" s="900"/>
      <c r="M1454" s="900"/>
      <c r="N1454" s="900"/>
      <c r="O1454" s="900"/>
      <c r="P1454" s="900"/>
    </row>
    <row r="1455" spans="3:16" ht="14.25">
      <c r="C1455" s="900"/>
      <c r="D1455" s="900"/>
      <c r="E1455" s="900"/>
      <c r="F1455" s="900"/>
      <c r="G1455" s="900"/>
      <c r="H1455" s="900"/>
      <c r="I1455" s="900"/>
      <c r="J1455" s="900"/>
      <c r="K1455" s="900"/>
      <c r="L1455" s="900"/>
      <c r="M1455" s="900"/>
      <c r="N1455" s="900"/>
      <c r="O1455" s="900"/>
      <c r="P1455" s="900"/>
    </row>
    <row r="1456" spans="3:16" ht="14.25">
      <c r="C1456" s="900"/>
      <c r="D1456" s="900"/>
      <c r="E1456" s="900"/>
      <c r="F1456" s="900"/>
      <c r="G1456" s="900"/>
      <c r="H1456" s="900"/>
      <c r="I1456" s="900"/>
      <c r="J1456" s="900"/>
      <c r="K1456" s="900"/>
      <c r="L1456" s="900"/>
      <c r="M1456" s="900"/>
      <c r="N1456" s="900"/>
      <c r="O1456" s="900"/>
      <c r="P1456" s="900"/>
    </row>
    <row r="1457" spans="3:16" ht="14.25">
      <c r="C1457" s="900"/>
      <c r="D1457" s="900"/>
      <c r="E1457" s="900"/>
      <c r="F1457" s="900"/>
      <c r="G1457" s="900"/>
      <c r="H1457" s="900"/>
      <c r="I1457" s="900"/>
      <c r="J1457" s="900"/>
      <c r="K1457" s="900"/>
      <c r="L1457" s="900"/>
      <c r="M1457" s="900"/>
      <c r="N1457" s="900"/>
      <c r="O1457" s="900"/>
      <c r="P1457" s="900"/>
    </row>
    <row r="1458" spans="3:16" ht="14.25">
      <c r="C1458" s="900"/>
      <c r="D1458" s="900"/>
      <c r="E1458" s="900"/>
      <c r="F1458" s="900"/>
      <c r="G1458" s="900"/>
      <c r="H1458" s="900"/>
      <c r="I1458" s="900"/>
      <c r="J1458" s="900"/>
      <c r="K1458" s="900"/>
      <c r="L1458" s="900"/>
      <c r="M1458" s="900"/>
      <c r="N1458" s="900"/>
      <c r="O1458" s="900"/>
      <c r="P1458" s="900"/>
    </row>
    <row r="1459" spans="3:16" ht="14.25">
      <c r="C1459" s="900"/>
      <c r="D1459" s="900"/>
      <c r="E1459" s="900"/>
      <c r="F1459" s="900"/>
      <c r="G1459" s="900"/>
      <c r="H1459" s="900"/>
      <c r="I1459" s="900"/>
      <c r="J1459" s="900"/>
      <c r="K1459" s="900"/>
      <c r="L1459" s="900"/>
      <c r="M1459" s="900"/>
      <c r="N1459" s="900"/>
      <c r="O1459" s="900"/>
      <c r="P1459" s="900"/>
    </row>
    <row r="1460" spans="3:16" ht="14.25">
      <c r="C1460" s="900"/>
      <c r="D1460" s="900"/>
      <c r="E1460" s="900"/>
      <c r="F1460" s="900"/>
      <c r="G1460" s="900"/>
      <c r="H1460" s="900"/>
      <c r="I1460" s="900"/>
      <c r="J1460" s="900"/>
      <c r="K1460" s="900"/>
      <c r="L1460" s="900"/>
      <c r="M1460" s="900"/>
      <c r="N1460" s="900"/>
      <c r="O1460" s="900"/>
      <c r="P1460" s="900"/>
    </row>
    <row r="1461" spans="3:16" ht="14.25">
      <c r="C1461" s="900"/>
      <c r="D1461" s="900"/>
      <c r="E1461" s="900"/>
      <c r="F1461" s="900"/>
      <c r="G1461" s="900"/>
      <c r="H1461" s="900"/>
      <c r="I1461" s="900"/>
      <c r="J1461" s="900"/>
      <c r="K1461" s="900"/>
      <c r="L1461" s="900"/>
      <c r="M1461" s="900"/>
      <c r="N1461" s="900"/>
      <c r="O1461" s="900"/>
      <c r="P1461" s="900"/>
    </row>
    <row r="1462" spans="3:16" ht="14.25">
      <c r="C1462" s="900"/>
      <c r="D1462" s="900"/>
      <c r="E1462" s="900"/>
      <c r="F1462" s="900"/>
      <c r="G1462" s="900"/>
      <c r="H1462" s="900"/>
      <c r="I1462" s="900"/>
      <c r="J1462" s="900"/>
      <c r="K1462" s="900"/>
      <c r="L1462" s="900"/>
      <c r="M1462" s="900"/>
      <c r="N1462" s="900"/>
      <c r="O1462" s="900"/>
      <c r="P1462" s="900"/>
    </row>
    <row r="1463" spans="3:16" ht="14.25">
      <c r="C1463" s="900"/>
      <c r="D1463" s="900"/>
      <c r="E1463" s="900"/>
      <c r="F1463" s="900"/>
      <c r="G1463" s="900"/>
      <c r="H1463" s="900"/>
      <c r="I1463" s="900"/>
      <c r="J1463" s="900"/>
      <c r="K1463" s="900"/>
      <c r="L1463" s="900"/>
      <c r="M1463" s="900"/>
      <c r="N1463" s="900"/>
      <c r="O1463" s="900"/>
      <c r="P1463" s="900"/>
    </row>
    <row r="1464" spans="3:16" ht="14.25">
      <c r="C1464" s="900"/>
      <c r="D1464" s="900"/>
      <c r="E1464" s="900"/>
      <c r="F1464" s="900"/>
      <c r="G1464" s="900"/>
      <c r="H1464" s="900"/>
      <c r="I1464" s="900"/>
      <c r="J1464" s="900"/>
      <c r="K1464" s="900"/>
      <c r="L1464" s="900"/>
      <c r="M1464" s="900"/>
      <c r="N1464" s="900"/>
      <c r="O1464" s="900"/>
      <c r="P1464" s="900"/>
    </row>
    <row r="1465" spans="3:16" ht="14.25">
      <c r="C1465" s="900"/>
      <c r="D1465" s="900"/>
      <c r="E1465" s="900"/>
      <c r="F1465" s="900"/>
      <c r="G1465" s="900"/>
      <c r="H1465" s="900"/>
      <c r="I1465" s="900"/>
      <c r="J1465" s="900"/>
      <c r="K1465" s="900"/>
      <c r="L1465" s="900"/>
      <c r="M1465" s="900"/>
      <c r="N1465" s="900"/>
      <c r="O1465" s="900"/>
      <c r="P1465" s="900"/>
    </row>
    <row r="1466" spans="3:16" ht="14.25">
      <c r="C1466" s="900"/>
      <c r="D1466" s="900"/>
      <c r="E1466" s="900"/>
      <c r="F1466" s="900"/>
      <c r="G1466" s="900"/>
      <c r="H1466" s="900"/>
      <c r="I1466" s="900"/>
      <c r="J1466" s="900"/>
      <c r="K1466" s="900"/>
      <c r="L1466" s="900"/>
      <c r="M1466" s="900"/>
      <c r="N1466" s="900"/>
      <c r="O1466" s="900"/>
      <c r="P1466" s="900"/>
    </row>
    <row r="1467" spans="3:16" ht="14.25">
      <c r="C1467" s="900"/>
      <c r="D1467" s="900"/>
      <c r="E1467" s="900"/>
      <c r="F1467" s="900"/>
      <c r="G1467" s="900"/>
      <c r="H1467" s="900"/>
      <c r="I1467" s="900"/>
      <c r="J1467" s="900"/>
      <c r="K1467" s="900"/>
      <c r="L1467" s="900"/>
      <c r="M1467" s="900"/>
      <c r="N1467" s="900"/>
      <c r="O1467" s="900"/>
      <c r="P1467" s="900"/>
    </row>
    <row r="1468" spans="3:16" ht="14.25">
      <c r="C1468" s="900"/>
      <c r="D1468" s="900"/>
      <c r="E1468" s="900"/>
      <c r="F1468" s="900"/>
      <c r="G1468" s="900"/>
      <c r="H1468" s="900"/>
      <c r="I1468" s="900"/>
      <c r="J1468" s="900"/>
      <c r="K1468" s="900"/>
      <c r="L1468" s="900"/>
      <c r="M1468" s="900"/>
      <c r="N1468" s="900"/>
      <c r="O1468" s="900"/>
      <c r="P1468" s="900"/>
    </row>
    <row r="1469" spans="3:16" ht="14.25">
      <c r="C1469" s="900"/>
      <c r="D1469" s="900"/>
      <c r="E1469" s="900"/>
      <c r="F1469" s="900"/>
      <c r="G1469" s="900"/>
      <c r="H1469" s="900"/>
      <c r="I1469" s="900"/>
      <c r="J1469" s="900"/>
      <c r="K1469" s="900"/>
      <c r="L1469" s="900"/>
      <c r="M1469" s="900"/>
      <c r="N1469" s="900"/>
      <c r="O1469" s="900"/>
      <c r="P1469" s="900"/>
    </row>
    <row r="1470" spans="3:16" ht="14.25">
      <c r="C1470" s="900"/>
      <c r="D1470" s="900"/>
      <c r="E1470" s="900"/>
      <c r="F1470" s="900"/>
      <c r="G1470" s="900"/>
      <c r="H1470" s="900"/>
      <c r="I1470" s="900"/>
      <c r="J1470" s="900"/>
      <c r="K1470" s="900"/>
      <c r="L1470" s="900"/>
      <c r="M1470" s="900"/>
      <c r="N1470" s="900"/>
      <c r="O1470" s="900"/>
      <c r="P1470" s="900"/>
    </row>
    <row r="1471" spans="3:16" ht="14.25">
      <c r="C1471" s="900"/>
      <c r="D1471" s="900"/>
      <c r="E1471" s="900"/>
      <c r="F1471" s="900"/>
      <c r="G1471" s="900"/>
      <c r="H1471" s="900"/>
      <c r="I1471" s="900"/>
      <c r="J1471" s="900"/>
      <c r="K1471" s="900"/>
      <c r="L1471" s="900"/>
      <c r="M1471" s="900"/>
      <c r="N1471" s="900"/>
      <c r="O1471" s="900"/>
      <c r="P1471" s="900"/>
    </row>
    <row r="1472" spans="3:16" ht="14.25">
      <c r="C1472" s="900"/>
      <c r="D1472" s="900"/>
      <c r="E1472" s="900"/>
      <c r="F1472" s="900"/>
      <c r="G1472" s="900"/>
      <c r="H1472" s="900"/>
      <c r="I1472" s="900"/>
      <c r="J1472" s="900"/>
      <c r="K1472" s="900"/>
      <c r="L1472" s="900"/>
      <c r="M1472" s="900"/>
      <c r="N1472" s="900"/>
      <c r="O1472" s="900"/>
      <c r="P1472" s="900"/>
    </row>
    <row r="1473" spans="3:16" ht="14.25">
      <c r="C1473" s="900"/>
      <c r="D1473" s="900"/>
      <c r="E1473" s="900"/>
      <c r="F1473" s="900"/>
      <c r="G1473" s="900"/>
      <c r="H1473" s="900"/>
      <c r="I1473" s="900"/>
      <c r="J1473" s="900"/>
      <c r="K1473" s="900"/>
      <c r="L1473" s="900"/>
      <c r="M1473" s="900"/>
      <c r="N1473" s="900"/>
      <c r="O1473" s="900"/>
      <c r="P1473" s="900"/>
    </row>
    <row r="1474" spans="3:16" ht="14.25">
      <c r="C1474" s="900"/>
      <c r="D1474" s="900"/>
      <c r="E1474" s="900"/>
      <c r="F1474" s="900"/>
      <c r="G1474" s="900"/>
      <c r="H1474" s="900"/>
      <c r="I1474" s="900"/>
      <c r="J1474" s="900"/>
      <c r="K1474" s="900"/>
      <c r="L1474" s="900"/>
      <c r="M1474" s="900"/>
      <c r="N1474" s="900"/>
      <c r="O1474" s="900"/>
      <c r="P1474" s="900"/>
    </row>
    <row r="1475" spans="3:16" ht="14.25">
      <c r="C1475" s="900"/>
      <c r="D1475" s="900"/>
      <c r="E1475" s="900"/>
      <c r="F1475" s="900"/>
      <c r="G1475" s="900"/>
      <c r="H1475" s="900"/>
      <c r="I1475" s="900"/>
      <c r="J1475" s="900"/>
      <c r="K1475" s="900"/>
      <c r="L1475" s="900"/>
      <c r="M1475" s="900"/>
      <c r="N1475" s="900"/>
      <c r="O1475" s="900"/>
      <c r="P1475" s="900"/>
    </row>
    <row r="1476" spans="3:16" ht="14.25">
      <c r="C1476" s="900"/>
      <c r="D1476" s="900"/>
      <c r="E1476" s="900"/>
      <c r="F1476" s="900"/>
      <c r="G1476" s="900"/>
      <c r="H1476" s="900"/>
      <c r="I1476" s="900"/>
      <c r="J1476" s="900"/>
      <c r="K1476" s="900"/>
      <c r="L1476" s="900"/>
      <c r="M1476" s="900"/>
      <c r="N1476" s="900"/>
      <c r="O1476" s="900"/>
      <c r="P1476" s="900"/>
    </row>
    <row r="1477" spans="3:16" ht="14.25">
      <c r="C1477" s="900"/>
      <c r="D1477" s="900"/>
      <c r="E1477" s="900"/>
      <c r="F1477" s="900"/>
      <c r="G1477" s="900"/>
      <c r="H1477" s="900"/>
      <c r="I1477" s="900"/>
      <c r="J1477" s="900"/>
      <c r="K1477" s="900"/>
      <c r="L1477" s="900"/>
      <c r="M1477" s="900"/>
      <c r="N1477" s="900"/>
      <c r="O1477" s="900"/>
      <c r="P1477" s="900"/>
    </row>
    <row r="1478" spans="3:16" ht="14.25">
      <c r="C1478" s="900"/>
      <c r="D1478" s="900"/>
      <c r="E1478" s="900"/>
      <c r="F1478" s="900"/>
      <c r="G1478" s="900"/>
      <c r="H1478" s="900"/>
      <c r="I1478" s="900"/>
      <c r="J1478" s="900"/>
      <c r="K1478" s="900"/>
      <c r="L1478" s="900"/>
      <c r="M1478" s="900"/>
      <c r="N1478" s="900"/>
      <c r="O1478" s="900"/>
      <c r="P1478" s="900"/>
    </row>
    <row r="1479" spans="3:16" ht="14.25">
      <c r="C1479" s="900"/>
      <c r="D1479" s="900"/>
      <c r="E1479" s="900"/>
      <c r="F1479" s="900"/>
      <c r="G1479" s="900"/>
      <c r="H1479" s="900"/>
      <c r="I1479" s="900"/>
      <c r="J1479" s="900"/>
      <c r="K1479" s="900"/>
      <c r="L1479" s="900"/>
      <c r="M1479" s="900"/>
      <c r="N1479" s="900"/>
      <c r="O1479" s="900"/>
      <c r="P1479" s="900"/>
    </row>
    <row r="1480" spans="3:16" ht="14.25">
      <c r="C1480" s="900"/>
      <c r="D1480" s="900"/>
      <c r="E1480" s="900"/>
      <c r="F1480" s="900"/>
      <c r="G1480" s="900"/>
      <c r="H1480" s="900"/>
      <c r="I1480" s="900"/>
      <c r="J1480" s="900"/>
      <c r="K1480" s="900"/>
      <c r="L1480" s="900"/>
      <c r="M1480" s="900"/>
      <c r="N1480" s="900"/>
      <c r="O1480" s="900"/>
      <c r="P1480" s="900"/>
    </row>
    <row r="1481" spans="3:16" ht="14.25">
      <c r="C1481" s="900"/>
      <c r="D1481" s="900"/>
      <c r="E1481" s="900"/>
      <c r="F1481" s="900"/>
      <c r="G1481" s="900"/>
      <c r="H1481" s="900"/>
      <c r="I1481" s="900"/>
      <c r="J1481" s="900"/>
      <c r="K1481" s="900"/>
      <c r="L1481" s="900"/>
      <c r="M1481" s="900"/>
      <c r="N1481" s="900"/>
      <c r="O1481" s="900"/>
      <c r="P1481" s="900"/>
    </row>
    <row r="1482" spans="3:16" ht="14.25">
      <c r="C1482" s="900"/>
      <c r="D1482" s="900"/>
      <c r="E1482" s="900"/>
      <c r="F1482" s="900"/>
      <c r="G1482" s="900"/>
      <c r="H1482" s="900"/>
      <c r="I1482" s="900"/>
      <c r="J1482" s="900"/>
      <c r="K1482" s="900"/>
      <c r="L1482" s="900"/>
      <c r="M1482" s="900"/>
      <c r="N1482" s="900"/>
      <c r="O1482" s="900"/>
      <c r="P1482" s="900"/>
    </row>
    <row r="1483" spans="3:16" ht="14.25">
      <c r="C1483" s="900"/>
      <c r="D1483" s="900"/>
      <c r="E1483" s="900"/>
      <c r="F1483" s="900"/>
      <c r="G1483" s="900"/>
      <c r="H1483" s="900"/>
      <c r="I1483" s="900"/>
      <c r="J1483" s="900"/>
      <c r="K1483" s="900"/>
      <c r="L1483" s="900"/>
      <c r="M1483" s="900"/>
      <c r="N1483" s="900"/>
      <c r="O1483" s="900"/>
      <c r="P1483" s="900"/>
    </row>
    <row r="1484" spans="3:16" ht="14.25">
      <c r="C1484" s="900"/>
      <c r="D1484" s="900"/>
      <c r="E1484" s="900"/>
      <c r="F1484" s="900"/>
      <c r="G1484" s="900"/>
      <c r="H1484" s="900"/>
      <c r="I1484" s="900"/>
      <c r="J1484" s="900"/>
      <c r="K1484" s="900"/>
      <c r="L1484" s="900"/>
      <c r="M1484" s="900"/>
      <c r="N1484" s="900"/>
      <c r="O1484" s="900"/>
      <c r="P1484" s="900"/>
    </row>
    <row r="1485" spans="3:16" ht="14.25">
      <c r="C1485" s="900"/>
      <c r="D1485" s="900"/>
      <c r="E1485" s="900"/>
      <c r="F1485" s="900"/>
      <c r="G1485" s="900"/>
      <c r="H1485" s="900"/>
      <c r="I1485" s="900"/>
      <c r="J1485" s="900"/>
      <c r="K1485" s="900"/>
      <c r="L1485" s="900"/>
      <c r="M1485" s="900"/>
      <c r="N1485" s="900"/>
      <c r="O1485" s="900"/>
      <c r="P1485" s="900"/>
    </row>
    <row r="1486" spans="3:16" ht="14.25">
      <c r="C1486" s="900"/>
      <c r="D1486" s="900"/>
      <c r="E1486" s="900"/>
      <c r="F1486" s="900"/>
      <c r="G1486" s="900"/>
      <c r="H1486" s="900"/>
      <c r="I1486" s="900"/>
      <c r="J1486" s="900"/>
      <c r="K1486" s="900"/>
      <c r="L1486" s="900"/>
      <c r="M1486" s="900"/>
      <c r="N1486" s="900"/>
      <c r="O1486" s="900"/>
      <c r="P1486" s="900"/>
    </row>
    <row r="1487" spans="3:16" ht="14.25">
      <c r="C1487" s="900"/>
      <c r="D1487" s="900"/>
      <c r="E1487" s="900"/>
      <c r="F1487" s="900"/>
      <c r="G1487" s="900"/>
      <c r="H1487" s="900"/>
      <c r="I1487" s="900"/>
      <c r="J1487" s="900"/>
      <c r="K1487" s="900"/>
      <c r="L1487" s="900"/>
      <c r="M1487" s="900"/>
      <c r="N1487" s="900"/>
      <c r="O1487" s="900"/>
      <c r="P1487" s="900"/>
    </row>
    <row r="1488" spans="3:16" ht="14.25">
      <c r="C1488" s="900"/>
      <c r="D1488" s="900"/>
      <c r="E1488" s="900"/>
      <c r="F1488" s="900"/>
      <c r="G1488" s="900"/>
      <c r="H1488" s="900"/>
      <c r="I1488" s="900"/>
      <c r="J1488" s="900"/>
      <c r="K1488" s="900"/>
      <c r="L1488" s="900"/>
      <c r="M1488" s="900"/>
      <c r="N1488" s="900"/>
      <c r="O1488" s="900"/>
      <c r="P1488" s="900"/>
    </row>
    <row r="1489" spans="3:16" ht="14.25">
      <c r="C1489" s="900"/>
      <c r="D1489" s="900"/>
      <c r="E1489" s="900"/>
      <c r="F1489" s="900"/>
      <c r="G1489" s="900"/>
      <c r="H1489" s="900"/>
      <c r="I1489" s="900"/>
      <c r="J1489" s="900"/>
      <c r="K1489" s="900"/>
      <c r="L1489" s="900"/>
      <c r="M1489" s="900"/>
      <c r="N1489" s="900"/>
      <c r="O1489" s="900"/>
      <c r="P1489" s="900"/>
    </row>
    <row r="1490" spans="3:16" ht="14.25">
      <c r="C1490" s="900"/>
      <c r="D1490" s="900"/>
      <c r="E1490" s="900"/>
      <c r="F1490" s="900"/>
      <c r="G1490" s="900"/>
      <c r="H1490" s="900"/>
      <c r="I1490" s="900"/>
      <c r="J1490" s="900"/>
      <c r="K1490" s="900"/>
      <c r="L1490" s="900"/>
      <c r="M1490" s="900"/>
      <c r="N1490" s="900"/>
      <c r="O1490" s="900"/>
      <c r="P1490" s="900"/>
    </row>
    <row r="1491" spans="3:16" ht="14.25">
      <c r="C1491" s="900"/>
      <c r="D1491" s="900"/>
      <c r="E1491" s="900"/>
      <c r="F1491" s="900"/>
      <c r="G1491" s="900"/>
      <c r="H1491" s="900"/>
      <c r="I1491" s="900"/>
      <c r="J1491" s="900"/>
      <c r="K1491" s="900"/>
      <c r="L1491" s="900"/>
      <c r="M1491" s="900"/>
      <c r="N1491" s="900"/>
      <c r="O1491" s="900"/>
      <c r="P1491" s="900"/>
    </row>
    <row r="1492" spans="3:16" ht="14.25">
      <c r="C1492" s="900"/>
      <c r="D1492" s="900"/>
      <c r="E1492" s="900"/>
      <c r="F1492" s="900"/>
      <c r="G1492" s="900"/>
      <c r="H1492" s="900"/>
      <c r="I1492" s="900"/>
      <c r="J1492" s="900"/>
      <c r="K1492" s="900"/>
      <c r="L1492" s="900"/>
      <c r="M1492" s="900"/>
      <c r="N1492" s="900"/>
      <c r="O1492" s="900"/>
      <c r="P1492" s="900"/>
    </row>
    <row r="1493" spans="3:16" ht="14.25">
      <c r="C1493" s="900"/>
      <c r="D1493" s="900"/>
      <c r="E1493" s="900"/>
      <c r="F1493" s="900"/>
      <c r="G1493" s="900"/>
      <c r="H1493" s="900"/>
      <c r="I1493" s="900"/>
      <c r="J1493" s="900"/>
      <c r="K1493" s="900"/>
      <c r="L1493" s="900"/>
      <c r="M1493" s="900"/>
      <c r="N1493" s="900"/>
      <c r="O1493" s="900"/>
      <c r="P1493" s="900"/>
    </row>
    <row r="1494" spans="3:16" ht="14.25">
      <c r="C1494" s="900"/>
      <c r="D1494" s="900"/>
      <c r="E1494" s="900"/>
      <c r="F1494" s="900"/>
      <c r="G1494" s="900"/>
      <c r="H1494" s="900"/>
      <c r="I1494" s="900"/>
      <c r="J1494" s="900"/>
      <c r="K1494" s="900"/>
      <c r="L1494" s="900"/>
      <c r="M1494" s="900"/>
      <c r="N1494" s="900"/>
      <c r="O1494" s="900"/>
      <c r="P1494" s="900"/>
    </row>
    <row r="1495" spans="3:16" ht="14.25">
      <c r="C1495" s="900"/>
      <c r="D1495" s="900"/>
      <c r="E1495" s="900"/>
      <c r="F1495" s="900"/>
      <c r="G1495" s="900"/>
      <c r="H1495" s="900"/>
      <c r="I1495" s="900"/>
      <c r="J1495" s="900"/>
      <c r="K1495" s="900"/>
      <c r="L1495" s="900"/>
      <c r="M1495" s="900"/>
      <c r="N1495" s="900"/>
      <c r="O1495" s="900"/>
      <c r="P1495" s="900"/>
    </row>
    <row r="1496" spans="3:16" ht="14.25">
      <c r="C1496" s="900"/>
      <c r="D1496" s="900"/>
      <c r="E1496" s="900"/>
      <c r="F1496" s="900"/>
      <c r="G1496" s="900"/>
      <c r="H1496" s="900"/>
      <c r="I1496" s="900"/>
      <c r="J1496" s="900"/>
      <c r="K1496" s="900"/>
      <c r="L1496" s="900"/>
      <c r="M1496" s="900"/>
      <c r="N1496" s="900"/>
      <c r="O1496" s="900"/>
      <c r="P1496" s="900"/>
    </row>
    <row r="1497" spans="3:16" ht="14.25">
      <c r="C1497" s="900"/>
      <c r="D1497" s="900"/>
      <c r="E1497" s="900"/>
      <c r="F1497" s="900"/>
      <c r="G1497" s="900"/>
      <c r="H1497" s="900"/>
      <c r="I1497" s="900"/>
      <c r="J1497" s="900"/>
      <c r="K1497" s="900"/>
      <c r="L1497" s="900"/>
      <c r="M1497" s="900"/>
      <c r="N1497" s="900"/>
      <c r="O1497" s="900"/>
      <c r="P1497" s="900"/>
    </row>
    <row r="1498" spans="3:16" ht="14.25">
      <c r="C1498" s="900"/>
      <c r="D1498" s="900"/>
      <c r="E1498" s="900"/>
      <c r="F1498" s="900"/>
      <c r="G1498" s="900"/>
      <c r="H1498" s="900"/>
      <c r="I1498" s="900"/>
      <c r="J1498" s="900"/>
      <c r="K1498" s="900"/>
      <c r="L1498" s="900"/>
      <c r="M1498" s="900"/>
      <c r="N1498" s="900"/>
      <c r="O1498" s="900"/>
      <c r="P1498" s="900"/>
    </row>
    <row r="1499" spans="3:16" ht="14.25">
      <c r="C1499" s="900"/>
      <c r="D1499" s="900"/>
      <c r="E1499" s="900"/>
      <c r="F1499" s="900"/>
      <c r="G1499" s="900"/>
      <c r="H1499" s="900"/>
      <c r="I1499" s="900"/>
      <c r="J1499" s="900"/>
      <c r="K1499" s="900"/>
      <c r="L1499" s="900"/>
      <c r="M1499" s="900"/>
      <c r="N1499" s="900"/>
      <c r="O1499" s="900"/>
      <c r="P1499" s="900"/>
    </row>
    <row r="1500" spans="3:16" ht="14.25">
      <c r="C1500" s="900"/>
      <c r="D1500" s="900"/>
      <c r="E1500" s="900"/>
      <c r="F1500" s="900"/>
      <c r="G1500" s="900"/>
      <c r="H1500" s="900"/>
      <c r="I1500" s="900"/>
      <c r="J1500" s="900"/>
      <c r="K1500" s="900"/>
      <c r="L1500" s="900"/>
      <c r="M1500" s="900"/>
      <c r="N1500" s="900"/>
      <c r="O1500" s="900"/>
      <c r="P1500" s="900"/>
    </row>
    <row r="1501" spans="3:16" ht="14.25">
      <c r="C1501" s="900"/>
      <c r="D1501" s="900"/>
      <c r="E1501" s="900"/>
      <c r="F1501" s="900"/>
      <c r="G1501" s="900"/>
      <c r="H1501" s="900"/>
      <c r="I1501" s="900"/>
      <c r="J1501" s="900"/>
      <c r="K1501" s="900"/>
      <c r="L1501" s="900"/>
      <c r="M1501" s="900"/>
      <c r="N1501" s="900"/>
      <c r="O1501" s="900"/>
      <c r="P1501" s="900"/>
    </row>
    <row r="1502" spans="3:16" ht="14.25">
      <c r="C1502" s="900"/>
      <c r="D1502" s="900"/>
      <c r="E1502" s="900"/>
      <c r="F1502" s="900"/>
      <c r="G1502" s="900"/>
      <c r="H1502" s="900"/>
      <c r="I1502" s="900"/>
      <c r="J1502" s="900"/>
      <c r="K1502" s="900"/>
      <c r="L1502" s="900"/>
      <c r="M1502" s="900"/>
      <c r="N1502" s="900"/>
      <c r="O1502" s="900"/>
      <c r="P1502" s="900"/>
    </row>
    <row r="1503" spans="3:16" ht="14.25">
      <c r="C1503" s="900"/>
      <c r="D1503" s="900"/>
      <c r="E1503" s="900"/>
      <c r="F1503" s="900"/>
      <c r="G1503" s="900"/>
      <c r="H1503" s="900"/>
      <c r="I1503" s="900"/>
      <c r="J1503" s="900"/>
      <c r="K1503" s="900"/>
      <c r="L1503" s="900"/>
      <c r="M1503" s="900"/>
      <c r="N1503" s="900"/>
      <c r="O1503" s="900"/>
      <c r="P1503" s="900"/>
    </row>
    <row r="1504" spans="3:16" ht="14.25">
      <c r="C1504" s="900"/>
      <c r="D1504" s="900"/>
      <c r="E1504" s="900"/>
      <c r="F1504" s="900"/>
      <c r="G1504" s="900"/>
      <c r="H1504" s="900"/>
      <c r="I1504" s="900"/>
      <c r="J1504" s="900"/>
      <c r="K1504" s="900"/>
      <c r="L1504" s="900"/>
      <c r="M1504" s="900"/>
      <c r="N1504" s="900"/>
      <c r="O1504" s="900"/>
      <c r="P1504" s="900"/>
    </row>
    <row r="1505" spans="3:16" ht="14.25">
      <c r="C1505" s="900"/>
      <c r="D1505" s="900"/>
      <c r="E1505" s="900"/>
      <c r="F1505" s="900"/>
      <c r="G1505" s="900"/>
      <c r="H1505" s="900"/>
      <c r="I1505" s="900"/>
      <c r="J1505" s="900"/>
      <c r="K1505" s="900"/>
      <c r="L1505" s="900"/>
      <c r="M1505" s="900"/>
      <c r="N1505" s="900"/>
      <c r="O1505" s="900"/>
      <c r="P1505" s="900"/>
    </row>
    <row r="1506" spans="3:16" ht="14.25">
      <c r="C1506" s="900"/>
      <c r="D1506" s="900"/>
      <c r="E1506" s="900"/>
      <c r="F1506" s="900"/>
      <c r="G1506" s="900"/>
      <c r="H1506" s="900"/>
      <c r="I1506" s="900"/>
      <c r="J1506" s="900"/>
      <c r="K1506" s="900"/>
      <c r="L1506" s="900"/>
      <c r="M1506" s="900"/>
      <c r="N1506" s="900"/>
      <c r="O1506" s="900"/>
      <c r="P1506" s="900"/>
    </row>
    <row r="1507" spans="3:16" ht="14.25">
      <c r="C1507" s="900"/>
      <c r="D1507" s="900"/>
      <c r="E1507" s="900"/>
      <c r="F1507" s="900"/>
      <c r="G1507" s="900"/>
      <c r="H1507" s="900"/>
      <c r="I1507" s="900"/>
      <c r="J1507" s="900"/>
      <c r="K1507" s="900"/>
      <c r="L1507" s="900"/>
      <c r="M1507" s="900"/>
      <c r="N1507" s="900"/>
      <c r="O1507" s="900"/>
      <c r="P1507" s="900"/>
    </row>
    <row r="1508" spans="3:16" ht="14.25">
      <c r="C1508" s="900"/>
      <c r="D1508" s="900"/>
      <c r="E1508" s="900"/>
      <c r="F1508" s="900"/>
      <c r="G1508" s="900"/>
      <c r="H1508" s="900"/>
      <c r="I1508" s="900"/>
      <c r="J1508" s="900"/>
      <c r="K1508" s="900"/>
      <c r="L1508" s="900"/>
      <c r="M1508" s="900"/>
      <c r="N1508" s="900"/>
      <c r="O1508" s="900"/>
      <c r="P1508" s="900"/>
    </row>
    <row r="1509" spans="3:16" ht="14.25">
      <c r="C1509" s="900"/>
      <c r="D1509" s="900"/>
      <c r="E1509" s="900"/>
      <c r="F1509" s="900"/>
      <c r="G1509" s="900"/>
      <c r="H1509" s="900"/>
      <c r="I1509" s="900"/>
      <c r="J1509" s="900"/>
      <c r="K1509" s="900"/>
      <c r="L1509" s="900"/>
      <c r="M1509" s="900"/>
      <c r="N1509" s="900"/>
      <c r="O1509" s="900"/>
      <c r="P1509" s="900"/>
    </row>
    <row r="1510" spans="3:16" ht="14.25">
      <c r="C1510" s="900"/>
      <c r="D1510" s="900"/>
      <c r="E1510" s="900"/>
      <c r="F1510" s="900"/>
      <c r="G1510" s="900"/>
      <c r="H1510" s="900"/>
      <c r="I1510" s="900"/>
      <c r="J1510" s="900"/>
      <c r="K1510" s="900"/>
      <c r="L1510" s="900"/>
      <c r="M1510" s="900"/>
      <c r="N1510" s="900"/>
      <c r="O1510" s="900"/>
      <c r="P1510" s="900"/>
    </row>
    <row r="1511" spans="3:16" ht="14.25">
      <c r="C1511" s="900"/>
      <c r="D1511" s="900"/>
      <c r="E1511" s="900"/>
      <c r="F1511" s="900"/>
      <c r="G1511" s="900"/>
      <c r="H1511" s="900"/>
      <c r="I1511" s="900"/>
      <c r="J1511" s="900"/>
      <c r="K1511" s="900"/>
      <c r="L1511" s="900"/>
      <c r="M1511" s="900"/>
      <c r="N1511" s="900"/>
      <c r="O1511" s="900"/>
      <c r="P1511" s="900"/>
    </row>
    <row r="1512" spans="3:16" ht="14.25">
      <c r="C1512" s="900"/>
      <c r="D1512" s="900"/>
      <c r="E1512" s="900"/>
      <c r="F1512" s="900"/>
      <c r="G1512" s="900"/>
      <c r="H1512" s="900"/>
      <c r="I1512" s="900"/>
      <c r="J1512" s="900"/>
      <c r="K1512" s="900"/>
      <c r="L1512" s="900"/>
      <c r="M1512" s="900"/>
      <c r="N1512" s="900"/>
      <c r="O1512" s="900"/>
      <c r="P1512" s="900"/>
    </row>
    <row r="1513" spans="3:16" ht="14.25">
      <c r="C1513" s="900"/>
      <c r="D1513" s="900"/>
      <c r="E1513" s="900"/>
      <c r="F1513" s="900"/>
      <c r="G1513" s="900"/>
      <c r="H1513" s="900"/>
      <c r="I1513" s="900"/>
      <c r="J1513" s="900"/>
      <c r="K1513" s="900"/>
      <c r="L1513" s="900"/>
      <c r="M1513" s="900"/>
      <c r="N1513" s="900"/>
      <c r="O1513" s="900"/>
      <c r="P1513" s="900"/>
    </row>
    <row r="1514" spans="3:16" ht="14.25">
      <c r="C1514" s="900"/>
      <c r="D1514" s="900"/>
      <c r="E1514" s="900"/>
      <c r="F1514" s="900"/>
      <c r="G1514" s="900"/>
      <c r="H1514" s="900"/>
      <c r="I1514" s="900"/>
      <c r="J1514" s="900"/>
      <c r="K1514" s="900"/>
      <c r="L1514" s="900"/>
      <c r="M1514" s="900"/>
      <c r="N1514" s="900"/>
      <c r="O1514" s="900"/>
      <c r="P1514" s="900"/>
    </row>
    <row r="1515" spans="3:16" ht="14.25">
      <c r="C1515" s="900"/>
      <c r="D1515" s="900"/>
      <c r="E1515" s="900"/>
      <c r="F1515" s="900"/>
      <c r="G1515" s="900"/>
      <c r="H1515" s="900"/>
      <c r="I1515" s="900"/>
      <c r="J1515" s="900"/>
      <c r="K1515" s="900"/>
      <c r="L1515" s="900"/>
      <c r="M1515" s="900"/>
      <c r="N1515" s="900"/>
      <c r="O1515" s="900"/>
      <c r="P1515" s="900"/>
    </row>
    <row r="1516" spans="3:16" ht="14.25">
      <c r="C1516" s="900"/>
      <c r="D1516" s="900"/>
      <c r="E1516" s="900"/>
      <c r="F1516" s="900"/>
      <c r="G1516" s="900"/>
      <c r="H1516" s="900"/>
      <c r="I1516" s="900"/>
      <c r="J1516" s="900"/>
      <c r="K1516" s="900"/>
      <c r="L1516" s="900"/>
      <c r="M1516" s="900"/>
      <c r="N1516" s="900"/>
      <c r="O1516" s="900"/>
      <c r="P1516" s="900"/>
    </row>
    <row r="1517" spans="3:16" ht="14.25">
      <c r="C1517" s="900"/>
      <c r="D1517" s="900"/>
      <c r="E1517" s="900"/>
      <c r="F1517" s="900"/>
      <c r="G1517" s="900"/>
      <c r="H1517" s="900"/>
      <c r="I1517" s="900"/>
      <c r="J1517" s="900"/>
      <c r="K1517" s="900"/>
      <c r="L1517" s="900"/>
      <c r="M1517" s="900"/>
      <c r="N1517" s="900"/>
      <c r="O1517" s="900"/>
      <c r="P1517" s="900"/>
    </row>
    <row r="1518" spans="3:16" ht="14.25">
      <c r="C1518" s="900"/>
      <c r="D1518" s="900"/>
      <c r="E1518" s="900"/>
      <c r="F1518" s="900"/>
      <c r="G1518" s="900"/>
      <c r="H1518" s="900"/>
      <c r="I1518" s="900"/>
      <c r="J1518" s="900"/>
      <c r="K1518" s="900"/>
      <c r="L1518" s="900"/>
      <c r="M1518" s="900"/>
      <c r="N1518" s="900"/>
      <c r="O1518" s="900"/>
      <c r="P1518" s="900"/>
    </row>
    <row r="1519" spans="3:16" ht="14.25">
      <c r="C1519" s="900"/>
      <c r="D1519" s="900"/>
      <c r="E1519" s="900"/>
      <c r="F1519" s="900"/>
      <c r="G1519" s="900"/>
      <c r="H1519" s="900"/>
      <c r="I1519" s="900"/>
      <c r="J1519" s="900"/>
      <c r="K1519" s="900"/>
      <c r="L1519" s="900"/>
      <c r="M1519" s="900"/>
      <c r="N1519" s="900"/>
      <c r="O1519" s="900"/>
      <c r="P1519" s="900"/>
    </row>
    <row r="1520" spans="3:16" ht="14.25">
      <c r="C1520" s="900"/>
      <c r="D1520" s="900"/>
      <c r="E1520" s="900"/>
      <c r="F1520" s="900"/>
      <c r="G1520" s="900"/>
      <c r="H1520" s="900"/>
      <c r="I1520" s="900"/>
      <c r="J1520" s="900"/>
      <c r="K1520" s="900"/>
      <c r="L1520" s="900"/>
      <c r="M1520" s="900"/>
      <c r="N1520" s="900"/>
      <c r="O1520" s="900"/>
      <c r="P1520" s="900"/>
    </row>
    <row r="1521" spans="3:16" ht="14.25">
      <c r="C1521" s="900"/>
      <c r="D1521" s="900"/>
      <c r="E1521" s="900"/>
      <c r="F1521" s="900"/>
      <c r="G1521" s="900"/>
      <c r="H1521" s="900"/>
      <c r="I1521" s="900"/>
      <c r="J1521" s="900"/>
      <c r="K1521" s="900"/>
      <c r="L1521" s="900"/>
      <c r="M1521" s="900"/>
      <c r="N1521" s="900"/>
      <c r="O1521" s="900"/>
      <c r="P1521" s="900"/>
    </row>
    <row r="1522" spans="3:16" ht="14.25">
      <c r="C1522" s="900"/>
      <c r="D1522" s="900"/>
      <c r="E1522" s="900"/>
      <c r="F1522" s="900"/>
      <c r="G1522" s="900"/>
      <c r="H1522" s="900"/>
      <c r="I1522" s="900"/>
      <c r="J1522" s="900"/>
      <c r="K1522" s="900"/>
      <c r="L1522" s="900"/>
      <c r="M1522" s="900"/>
      <c r="N1522" s="900"/>
      <c r="O1522" s="900"/>
      <c r="P1522" s="900"/>
    </row>
    <row r="1523" spans="3:16" ht="14.25">
      <c r="C1523" s="900"/>
      <c r="D1523" s="900"/>
      <c r="E1523" s="900"/>
      <c r="F1523" s="900"/>
      <c r="G1523" s="900"/>
      <c r="H1523" s="900"/>
      <c r="I1523" s="900"/>
      <c r="J1523" s="900"/>
      <c r="K1523" s="900"/>
      <c r="L1523" s="900"/>
      <c r="M1523" s="900"/>
      <c r="N1523" s="900"/>
      <c r="O1523" s="900"/>
      <c r="P1523" s="900"/>
    </row>
    <row r="1524" spans="3:16" ht="14.25">
      <c r="C1524" s="900"/>
      <c r="D1524" s="900"/>
      <c r="E1524" s="900"/>
      <c r="F1524" s="900"/>
      <c r="G1524" s="900"/>
      <c r="H1524" s="900"/>
      <c r="I1524" s="900"/>
      <c r="J1524" s="900"/>
      <c r="K1524" s="900"/>
      <c r="L1524" s="900"/>
      <c r="M1524" s="900"/>
      <c r="N1524" s="900"/>
      <c r="O1524" s="900"/>
      <c r="P1524" s="900"/>
    </row>
    <row r="1525" spans="3:16" ht="14.25">
      <c r="C1525" s="900"/>
      <c r="D1525" s="900"/>
      <c r="E1525" s="900"/>
      <c r="F1525" s="900"/>
      <c r="G1525" s="900"/>
      <c r="H1525" s="900"/>
      <c r="I1525" s="900"/>
      <c r="J1525" s="900"/>
      <c r="K1525" s="900"/>
      <c r="L1525" s="900"/>
      <c r="M1525" s="900"/>
      <c r="N1525" s="900"/>
      <c r="O1525" s="900"/>
      <c r="P1525" s="900"/>
    </row>
    <row r="1526" spans="3:16" ht="14.25">
      <c r="C1526" s="900"/>
      <c r="D1526" s="900"/>
      <c r="E1526" s="900"/>
      <c r="F1526" s="900"/>
      <c r="G1526" s="900"/>
      <c r="H1526" s="900"/>
      <c r="I1526" s="900"/>
      <c r="J1526" s="900"/>
      <c r="K1526" s="900"/>
      <c r="L1526" s="900"/>
      <c r="M1526" s="900"/>
      <c r="N1526" s="900"/>
      <c r="O1526" s="900"/>
      <c r="P1526" s="900"/>
    </row>
    <row r="1527" spans="3:16" ht="14.25">
      <c r="C1527" s="900"/>
      <c r="D1527" s="900"/>
      <c r="E1527" s="900"/>
      <c r="F1527" s="900"/>
      <c r="G1527" s="900"/>
      <c r="H1527" s="900"/>
      <c r="I1527" s="900"/>
      <c r="J1527" s="900"/>
      <c r="K1527" s="900"/>
      <c r="L1527" s="900"/>
      <c r="M1527" s="900"/>
      <c r="N1527" s="900"/>
      <c r="O1527" s="900"/>
      <c r="P1527" s="900"/>
    </row>
    <row r="1528" spans="3:16" ht="14.25">
      <c r="C1528" s="900"/>
      <c r="D1528" s="900"/>
      <c r="E1528" s="900"/>
      <c r="F1528" s="900"/>
      <c r="G1528" s="900"/>
      <c r="H1528" s="900"/>
      <c r="I1528" s="900"/>
      <c r="J1528" s="900"/>
      <c r="K1528" s="900"/>
      <c r="L1528" s="900"/>
      <c r="M1528" s="900"/>
      <c r="N1528" s="900"/>
      <c r="O1528" s="900"/>
      <c r="P1528" s="900"/>
    </row>
    <row r="1529" spans="3:16" ht="14.25">
      <c r="C1529" s="900"/>
      <c r="D1529" s="900"/>
      <c r="E1529" s="900"/>
      <c r="F1529" s="900"/>
      <c r="G1529" s="900"/>
      <c r="H1529" s="900"/>
      <c r="I1529" s="900"/>
      <c r="J1529" s="900"/>
      <c r="K1529" s="900"/>
      <c r="L1529" s="900"/>
      <c r="M1529" s="900"/>
      <c r="N1529" s="900"/>
      <c r="O1529" s="900"/>
      <c r="P1529" s="900"/>
    </row>
    <row r="1530" spans="3:16" ht="14.25">
      <c r="C1530" s="900"/>
      <c r="D1530" s="900"/>
      <c r="E1530" s="900"/>
      <c r="F1530" s="900"/>
      <c r="G1530" s="900"/>
      <c r="H1530" s="900"/>
      <c r="I1530" s="900"/>
      <c r="J1530" s="900"/>
      <c r="K1530" s="900"/>
      <c r="L1530" s="900"/>
      <c r="M1530" s="900"/>
      <c r="N1530" s="900"/>
      <c r="O1530" s="900"/>
      <c r="P1530" s="900"/>
    </row>
    <row r="1531" spans="3:16" ht="14.25">
      <c r="C1531" s="900"/>
      <c r="D1531" s="900"/>
      <c r="E1531" s="900"/>
      <c r="F1531" s="900"/>
      <c r="G1531" s="900"/>
      <c r="H1531" s="900"/>
      <c r="I1531" s="900"/>
      <c r="J1531" s="900"/>
      <c r="K1531" s="900"/>
      <c r="L1531" s="900"/>
      <c r="M1531" s="900"/>
      <c r="N1531" s="900"/>
      <c r="O1531" s="900"/>
      <c r="P1531" s="900"/>
    </row>
    <row r="1532" spans="3:16" ht="14.25">
      <c r="C1532" s="900"/>
      <c r="D1532" s="900"/>
      <c r="E1532" s="900"/>
      <c r="F1532" s="900"/>
      <c r="G1532" s="900"/>
      <c r="H1532" s="900"/>
      <c r="I1532" s="900"/>
      <c r="J1532" s="900"/>
      <c r="K1532" s="900"/>
      <c r="L1532" s="900"/>
      <c r="M1532" s="900"/>
      <c r="N1532" s="900"/>
      <c r="O1532" s="900"/>
      <c r="P1532" s="900"/>
    </row>
    <row r="1533" spans="3:16" ht="14.25">
      <c r="C1533" s="900"/>
      <c r="D1533" s="900"/>
      <c r="E1533" s="900"/>
      <c r="F1533" s="900"/>
      <c r="G1533" s="900"/>
      <c r="H1533" s="900"/>
      <c r="I1533" s="900"/>
      <c r="J1533" s="900"/>
      <c r="K1533" s="900"/>
      <c r="L1533" s="900"/>
      <c r="M1533" s="900"/>
      <c r="N1533" s="900"/>
      <c r="O1533" s="900"/>
      <c r="P1533" s="900"/>
    </row>
    <row r="1534" spans="3:16" ht="14.25">
      <c r="C1534" s="900"/>
      <c r="D1534" s="900"/>
      <c r="E1534" s="900"/>
      <c r="F1534" s="900"/>
      <c r="G1534" s="900"/>
      <c r="H1534" s="900"/>
      <c r="I1534" s="900"/>
      <c r="J1534" s="900"/>
      <c r="K1534" s="900"/>
      <c r="L1534" s="900"/>
      <c r="M1534" s="900"/>
      <c r="N1534" s="900"/>
      <c r="O1534" s="900"/>
      <c r="P1534" s="900"/>
    </row>
    <row r="1535" spans="3:16" ht="14.25">
      <c r="C1535" s="900"/>
      <c r="D1535" s="900"/>
      <c r="E1535" s="900"/>
      <c r="F1535" s="900"/>
      <c r="G1535" s="900"/>
      <c r="H1535" s="900"/>
      <c r="I1535" s="900"/>
      <c r="J1535" s="900"/>
      <c r="K1535" s="900"/>
      <c r="L1535" s="900"/>
      <c r="M1535" s="900"/>
      <c r="N1535" s="900"/>
      <c r="O1535" s="900"/>
      <c r="P1535" s="900"/>
    </row>
    <row r="1536" spans="3:16" ht="14.25">
      <c r="C1536" s="900"/>
      <c r="D1536" s="900"/>
      <c r="E1536" s="900"/>
      <c r="F1536" s="900"/>
      <c r="G1536" s="900"/>
      <c r="H1536" s="900"/>
      <c r="I1536" s="900"/>
      <c r="J1536" s="900"/>
      <c r="K1536" s="900"/>
      <c r="L1536" s="900"/>
      <c r="M1536" s="900"/>
      <c r="N1536" s="900"/>
      <c r="O1536" s="900"/>
      <c r="P1536" s="900"/>
    </row>
    <row r="1537" spans="3:16" ht="14.25">
      <c r="C1537" s="900"/>
      <c r="D1537" s="900"/>
      <c r="E1537" s="900"/>
      <c r="F1537" s="900"/>
      <c r="G1537" s="900"/>
      <c r="H1537" s="900"/>
      <c r="I1537" s="900"/>
      <c r="J1537" s="900"/>
      <c r="K1537" s="900"/>
      <c r="L1537" s="900"/>
      <c r="M1537" s="900"/>
      <c r="N1537" s="900"/>
      <c r="O1537" s="900"/>
      <c r="P1537" s="900"/>
    </row>
    <row r="1538" spans="3:16" ht="14.25">
      <c r="C1538" s="900"/>
      <c r="D1538" s="900"/>
      <c r="E1538" s="900"/>
      <c r="F1538" s="900"/>
      <c r="G1538" s="900"/>
      <c r="H1538" s="900"/>
      <c r="I1538" s="900"/>
      <c r="J1538" s="900"/>
      <c r="K1538" s="900"/>
      <c r="L1538" s="900"/>
      <c r="M1538" s="900"/>
      <c r="N1538" s="900"/>
      <c r="O1538" s="900"/>
      <c r="P1538" s="900"/>
    </row>
    <row r="1539" spans="3:16" ht="14.25">
      <c r="C1539" s="900"/>
      <c r="D1539" s="900"/>
      <c r="E1539" s="900"/>
      <c r="F1539" s="900"/>
      <c r="G1539" s="900"/>
      <c r="H1539" s="900"/>
      <c r="I1539" s="900"/>
      <c r="J1539" s="900"/>
      <c r="K1539" s="900"/>
      <c r="L1539" s="900"/>
      <c r="M1539" s="900"/>
      <c r="N1539" s="900"/>
      <c r="O1539" s="900"/>
      <c r="P1539" s="900"/>
    </row>
    <row r="1540" spans="3:16" ht="14.25">
      <c r="C1540" s="900"/>
      <c r="D1540" s="900"/>
      <c r="E1540" s="900"/>
      <c r="F1540" s="900"/>
      <c r="G1540" s="900"/>
      <c r="H1540" s="900"/>
      <c r="I1540" s="900"/>
      <c r="J1540" s="900"/>
      <c r="K1540" s="900"/>
      <c r="L1540" s="900"/>
      <c r="M1540" s="900"/>
      <c r="N1540" s="900"/>
      <c r="O1540" s="900"/>
      <c r="P1540" s="900"/>
    </row>
    <row r="1541" spans="3:16" ht="14.25">
      <c r="C1541" s="900"/>
      <c r="D1541" s="900"/>
      <c r="E1541" s="900"/>
      <c r="F1541" s="900"/>
      <c r="G1541" s="900"/>
      <c r="H1541" s="900"/>
      <c r="I1541" s="900"/>
      <c r="J1541" s="900"/>
      <c r="K1541" s="900"/>
      <c r="L1541" s="900"/>
      <c r="M1541" s="900"/>
      <c r="N1541" s="900"/>
      <c r="O1541" s="900"/>
      <c r="P1541" s="900"/>
    </row>
    <row r="1542" spans="3:16" ht="14.25">
      <c r="C1542" s="900"/>
      <c r="D1542" s="900"/>
      <c r="E1542" s="900"/>
      <c r="F1542" s="900"/>
      <c r="G1542" s="900"/>
      <c r="H1542" s="900"/>
      <c r="I1542" s="900"/>
      <c r="J1542" s="900"/>
      <c r="K1542" s="900"/>
      <c r="L1542" s="900"/>
      <c r="M1542" s="900"/>
      <c r="N1542" s="900"/>
      <c r="O1542" s="900"/>
      <c r="P1542" s="900"/>
    </row>
    <row r="1543" spans="3:16" ht="14.25">
      <c r="C1543" s="900"/>
      <c r="D1543" s="900"/>
      <c r="E1543" s="900"/>
      <c r="F1543" s="900"/>
      <c r="G1543" s="900"/>
      <c r="H1543" s="900"/>
      <c r="I1543" s="900"/>
      <c r="J1543" s="900"/>
      <c r="K1543" s="900"/>
      <c r="L1543" s="900"/>
      <c r="M1543" s="900"/>
      <c r="N1543" s="900"/>
      <c r="O1543" s="900"/>
      <c r="P1543" s="900"/>
    </row>
    <row r="1544" spans="3:16" ht="14.25">
      <c r="C1544" s="900"/>
      <c r="D1544" s="900"/>
      <c r="E1544" s="900"/>
      <c r="F1544" s="900"/>
      <c r="G1544" s="900"/>
      <c r="H1544" s="900"/>
      <c r="I1544" s="900"/>
      <c r="J1544" s="900"/>
      <c r="K1544" s="900"/>
      <c r="L1544" s="900"/>
      <c r="M1544" s="900"/>
      <c r="N1544" s="900"/>
      <c r="O1544" s="900"/>
      <c r="P1544" s="900"/>
    </row>
    <row r="1545" spans="3:16" ht="14.25">
      <c r="C1545" s="900"/>
      <c r="D1545" s="900"/>
      <c r="E1545" s="900"/>
      <c r="F1545" s="900"/>
      <c r="G1545" s="900"/>
      <c r="H1545" s="900"/>
      <c r="I1545" s="900"/>
      <c r="J1545" s="900"/>
      <c r="K1545" s="900"/>
      <c r="L1545" s="900"/>
      <c r="M1545" s="900"/>
      <c r="N1545" s="900"/>
      <c r="O1545" s="900"/>
      <c r="P1545" s="900"/>
    </row>
    <row r="1546" spans="3:16" ht="14.25">
      <c r="C1546" s="900"/>
      <c r="D1546" s="900"/>
      <c r="E1546" s="900"/>
      <c r="F1546" s="900"/>
      <c r="G1546" s="900"/>
      <c r="H1546" s="900"/>
      <c r="I1546" s="900"/>
      <c r="J1546" s="900"/>
      <c r="K1546" s="900"/>
      <c r="L1546" s="900"/>
      <c r="M1546" s="900"/>
      <c r="N1546" s="900"/>
      <c r="O1546" s="900"/>
      <c r="P1546" s="900"/>
    </row>
    <row r="1547" spans="3:16" ht="14.25">
      <c r="C1547" s="900"/>
      <c r="D1547" s="900"/>
      <c r="E1547" s="900"/>
      <c r="F1547" s="900"/>
      <c r="G1547" s="900"/>
      <c r="H1547" s="900"/>
      <c r="I1547" s="900"/>
      <c r="J1547" s="900"/>
      <c r="K1547" s="900"/>
      <c r="L1547" s="900"/>
      <c r="M1547" s="900"/>
      <c r="N1547" s="900"/>
      <c r="O1547" s="900"/>
      <c r="P1547" s="900"/>
    </row>
    <row r="1548" spans="3:16" ht="14.25">
      <c r="C1548" s="900"/>
      <c r="D1548" s="900"/>
      <c r="E1548" s="900"/>
      <c r="F1548" s="900"/>
      <c r="G1548" s="900"/>
      <c r="H1548" s="900"/>
      <c r="I1548" s="900"/>
      <c r="J1548" s="900"/>
      <c r="K1548" s="900"/>
      <c r="L1548" s="900"/>
      <c r="M1548" s="900"/>
      <c r="N1548" s="900"/>
      <c r="O1548" s="900"/>
      <c r="P1548" s="900"/>
    </row>
    <row r="1549" spans="3:16" ht="14.25">
      <c r="C1549" s="900"/>
      <c r="D1549" s="900"/>
      <c r="E1549" s="900"/>
      <c r="F1549" s="900"/>
      <c r="G1549" s="900"/>
      <c r="H1549" s="900"/>
      <c r="I1549" s="900"/>
      <c r="J1549" s="900"/>
      <c r="K1549" s="900"/>
      <c r="L1549" s="900"/>
      <c r="M1549" s="900"/>
      <c r="N1549" s="900"/>
      <c r="O1549" s="900"/>
      <c r="P1549" s="900"/>
    </row>
    <row r="1550" spans="3:16" ht="14.25">
      <c r="C1550" s="900"/>
      <c r="D1550" s="900"/>
      <c r="E1550" s="900"/>
      <c r="F1550" s="900"/>
      <c r="G1550" s="900"/>
      <c r="H1550" s="900"/>
      <c r="I1550" s="900"/>
      <c r="J1550" s="900"/>
      <c r="K1550" s="900"/>
      <c r="L1550" s="900"/>
      <c r="M1550" s="900"/>
      <c r="N1550" s="900"/>
      <c r="O1550" s="900"/>
      <c r="P1550" s="900"/>
    </row>
    <row r="1551" spans="3:16" ht="14.25">
      <c r="C1551" s="900"/>
      <c r="D1551" s="900"/>
      <c r="E1551" s="900"/>
      <c r="F1551" s="900"/>
      <c r="G1551" s="900"/>
      <c r="H1551" s="900"/>
      <c r="I1551" s="900"/>
      <c r="J1551" s="900"/>
      <c r="K1551" s="900"/>
      <c r="L1551" s="900"/>
      <c r="M1551" s="900"/>
      <c r="N1551" s="900"/>
      <c r="O1551" s="900"/>
      <c r="P1551" s="900"/>
    </row>
    <row r="1552" spans="3:16" ht="14.25">
      <c r="C1552" s="900"/>
      <c r="D1552" s="900"/>
      <c r="E1552" s="900"/>
      <c r="F1552" s="900"/>
      <c r="G1552" s="900"/>
      <c r="H1552" s="900"/>
      <c r="I1552" s="900"/>
      <c r="J1552" s="900"/>
      <c r="K1552" s="900"/>
      <c r="L1552" s="900"/>
      <c r="M1552" s="900"/>
      <c r="N1552" s="900"/>
      <c r="O1552" s="900"/>
      <c r="P1552" s="900"/>
    </row>
    <row r="1553" spans="3:16" ht="14.25">
      <c r="C1553" s="900"/>
      <c r="D1553" s="900"/>
      <c r="E1553" s="900"/>
      <c r="F1553" s="900"/>
      <c r="G1553" s="900"/>
      <c r="H1553" s="900"/>
      <c r="I1553" s="900"/>
      <c r="J1553" s="900"/>
      <c r="K1553" s="900"/>
      <c r="L1553" s="900"/>
      <c r="M1553" s="900"/>
      <c r="N1553" s="900"/>
      <c r="O1553" s="900"/>
      <c r="P1553" s="900"/>
    </row>
    <row r="1554" spans="3:16" ht="14.25">
      <c r="C1554" s="900"/>
      <c r="D1554" s="900"/>
      <c r="E1554" s="900"/>
      <c r="F1554" s="900"/>
      <c r="G1554" s="900"/>
      <c r="H1554" s="900"/>
      <c r="I1554" s="900"/>
      <c r="J1554" s="900"/>
      <c r="K1554" s="900"/>
      <c r="L1554" s="900"/>
      <c r="M1554" s="900"/>
      <c r="N1554" s="900"/>
      <c r="O1554" s="900"/>
      <c r="P1554" s="900"/>
    </row>
    <row r="1555" spans="3:16" ht="14.25">
      <c r="C1555" s="900"/>
      <c r="D1555" s="900"/>
      <c r="E1555" s="900"/>
      <c r="F1555" s="900"/>
      <c r="G1555" s="900"/>
      <c r="H1555" s="900"/>
      <c r="I1555" s="900"/>
      <c r="J1555" s="900"/>
      <c r="K1555" s="900"/>
      <c r="L1555" s="900"/>
      <c r="M1555" s="900"/>
      <c r="N1555" s="900"/>
      <c r="O1555" s="900"/>
      <c r="P1555" s="900"/>
    </row>
    <row r="1556" spans="3:16" ht="14.25">
      <c r="C1556" s="900"/>
      <c r="D1556" s="900"/>
      <c r="E1556" s="900"/>
      <c r="F1556" s="900"/>
      <c r="G1556" s="900"/>
      <c r="H1556" s="900"/>
      <c r="I1556" s="900"/>
      <c r="J1556" s="900"/>
      <c r="K1556" s="900"/>
      <c r="L1556" s="900"/>
      <c r="M1556" s="900"/>
      <c r="N1556" s="900"/>
      <c r="O1556" s="900"/>
      <c r="P1556" s="900"/>
    </row>
    <row r="1557" spans="3:16" ht="14.25">
      <c r="C1557" s="900"/>
      <c r="D1557" s="900"/>
      <c r="E1557" s="900"/>
      <c r="F1557" s="900"/>
      <c r="G1557" s="900"/>
      <c r="H1557" s="900"/>
      <c r="I1557" s="900"/>
      <c r="J1557" s="900"/>
      <c r="K1557" s="900"/>
      <c r="L1557" s="900"/>
      <c r="M1557" s="900"/>
      <c r="N1557" s="900"/>
      <c r="O1557" s="900"/>
      <c r="P1557" s="900"/>
    </row>
    <row r="1558" spans="3:16" ht="14.25">
      <c r="C1558" s="900"/>
      <c r="D1558" s="900"/>
      <c r="E1558" s="900"/>
      <c r="F1558" s="900"/>
      <c r="G1558" s="900"/>
      <c r="H1558" s="900"/>
      <c r="I1558" s="900"/>
      <c r="J1558" s="900"/>
      <c r="K1558" s="900"/>
      <c r="L1558" s="900"/>
      <c r="M1558" s="900"/>
      <c r="N1558" s="900"/>
      <c r="O1558" s="900"/>
      <c r="P1558" s="900"/>
    </row>
    <row r="1559" spans="3:16" ht="14.25">
      <c r="C1559" s="900"/>
      <c r="D1559" s="900"/>
      <c r="E1559" s="900"/>
      <c r="F1559" s="900"/>
      <c r="G1559" s="900"/>
      <c r="H1559" s="900"/>
      <c r="I1559" s="900"/>
      <c r="J1559" s="900"/>
      <c r="K1559" s="900"/>
      <c r="L1559" s="900"/>
      <c r="M1559" s="900"/>
      <c r="N1559" s="900"/>
      <c r="O1559" s="900"/>
      <c r="P1559" s="900"/>
    </row>
    <row r="1560" spans="3:16" ht="14.25">
      <c r="C1560" s="900"/>
      <c r="D1560" s="900"/>
      <c r="E1560" s="900"/>
      <c r="F1560" s="900"/>
      <c r="G1560" s="900"/>
      <c r="H1560" s="900"/>
      <c r="I1560" s="900"/>
      <c r="J1560" s="900"/>
      <c r="K1560" s="900"/>
      <c r="L1560" s="900"/>
      <c r="M1560" s="900"/>
      <c r="N1560" s="900"/>
      <c r="O1560" s="900"/>
      <c r="P1560" s="900"/>
    </row>
    <row r="1561" spans="3:16" ht="14.25">
      <c r="C1561" s="900"/>
      <c r="D1561" s="900"/>
      <c r="E1561" s="900"/>
      <c r="F1561" s="900"/>
      <c r="G1561" s="900"/>
      <c r="H1561" s="900"/>
      <c r="I1561" s="900"/>
      <c r="J1561" s="900"/>
      <c r="K1561" s="900"/>
      <c r="L1561" s="900"/>
      <c r="M1561" s="900"/>
      <c r="N1561" s="900"/>
      <c r="O1561" s="900"/>
      <c r="P1561" s="900"/>
    </row>
    <row r="1562" spans="3:16" ht="14.25">
      <c r="C1562" s="900"/>
      <c r="D1562" s="900"/>
      <c r="E1562" s="900"/>
      <c r="F1562" s="900"/>
      <c r="G1562" s="900"/>
      <c r="H1562" s="900"/>
      <c r="I1562" s="900"/>
      <c r="J1562" s="900"/>
      <c r="K1562" s="900"/>
      <c r="L1562" s="900"/>
      <c r="M1562" s="900"/>
      <c r="N1562" s="900"/>
      <c r="O1562" s="900"/>
      <c r="P1562" s="900"/>
    </row>
    <row r="1563" spans="3:16" ht="14.25">
      <c r="C1563" s="900"/>
      <c r="D1563" s="900"/>
      <c r="E1563" s="900"/>
      <c r="F1563" s="900"/>
      <c r="G1563" s="900"/>
      <c r="H1563" s="900"/>
      <c r="I1563" s="900"/>
      <c r="J1563" s="900"/>
      <c r="K1563" s="900"/>
      <c r="L1563" s="900"/>
      <c r="M1563" s="900"/>
      <c r="N1563" s="900"/>
      <c r="O1563" s="900"/>
      <c r="P1563" s="900"/>
    </row>
    <row r="1564" spans="3:16" ht="14.25">
      <c r="C1564" s="900"/>
      <c r="D1564" s="900"/>
      <c r="E1564" s="900"/>
      <c r="F1564" s="900"/>
      <c r="G1564" s="900"/>
      <c r="H1564" s="900"/>
      <c r="I1564" s="900"/>
      <c r="J1564" s="900"/>
      <c r="K1564" s="900"/>
      <c r="L1564" s="900"/>
      <c r="M1564" s="900"/>
      <c r="N1564" s="900"/>
      <c r="O1564" s="900"/>
      <c r="P1564" s="900"/>
    </row>
    <row r="1565" spans="3:16" ht="14.25">
      <c r="C1565" s="900"/>
      <c r="D1565" s="900"/>
      <c r="E1565" s="900"/>
      <c r="F1565" s="900"/>
      <c r="G1565" s="900"/>
      <c r="H1565" s="900"/>
      <c r="I1565" s="900"/>
      <c r="J1565" s="900"/>
      <c r="K1565" s="900"/>
      <c r="L1565" s="900"/>
      <c r="M1565" s="900"/>
      <c r="N1565" s="900"/>
      <c r="O1565" s="900"/>
      <c r="P1565" s="900"/>
    </row>
    <row r="1566" spans="3:16" ht="14.25">
      <c r="C1566" s="900"/>
      <c r="D1566" s="900"/>
      <c r="E1566" s="900"/>
      <c r="F1566" s="900"/>
      <c r="G1566" s="900"/>
      <c r="H1566" s="900"/>
      <c r="I1566" s="900"/>
      <c r="J1566" s="900"/>
      <c r="K1566" s="900"/>
      <c r="L1566" s="900"/>
      <c r="M1566" s="900"/>
      <c r="N1566" s="900"/>
      <c r="O1566" s="900"/>
      <c r="P1566" s="900"/>
    </row>
    <row r="1567" spans="3:16" ht="14.25">
      <c r="C1567" s="900"/>
      <c r="D1567" s="900"/>
      <c r="E1567" s="900"/>
      <c r="F1567" s="900"/>
      <c r="G1567" s="900"/>
      <c r="H1567" s="900"/>
      <c r="I1567" s="900"/>
      <c r="J1567" s="900"/>
      <c r="K1567" s="900"/>
      <c r="L1567" s="900"/>
      <c r="M1567" s="900"/>
      <c r="N1567" s="900"/>
      <c r="O1567" s="900"/>
      <c r="P1567" s="900"/>
    </row>
    <row r="1568" spans="3:16" ht="14.25">
      <c r="C1568" s="900"/>
      <c r="D1568" s="900"/>
      <c r="E1568" s="900"/>
      <c r="F1568" s="900"/>
      <c r="G1568" s="900"/>
      <c r="H1568" s="900"/>
      <c r="I1568" s="900"/>
      <c r="J1568" s="900"/>
      <c r="K1568" s="900"/>
      <c r="L1568" s="900"/>
      <c r="M1568" s="900"/>
      <c r="N1568" s="900"/>
      <c r="O1568" s="900"/>
      <c r="P1568" s="900"/>
    </row>
    <row r="1569" spans="3:16" ht="14.25">
      <c r="C1569" s="900"/>
      <c r="D1569" s="900"/>
      <c r="E1569" s="900"/>
      <c r="F1569" s="900"/>
      <c r="G1569" s="900"/>
      <c r="H1569" s="900"/>
      <c r="I1569" s="900"/>
      <c r="J1569" s="900"/>
      <c r="K1569" s="900"/>
      <c r="L1569" s="900"/>
      <c r="M1569" s="900"/>
      <c r="N1569" s="900"/>
      <c r="O1569" s="900"/>
      <c r="P1569" s="900"/>
    </row>
    <row r="1570" spans="3:16" ht="14.25">
      <c r="C1570" s="900"/>
      <c r="D1570" s="900"/>
      <c r="E1570" s="900"/>
      <c r="F1570" s="900"/>
      <c r="G1570" s="900"/>
      <c r="H1570" s="900"/>
      <c r="I1570" s="900"/>
      <c r="J1570" s="900"/>
      <c r="K1570" s="900"/>
      <c r="L1570" s="900"/>
      <c r="M1570" s="900"/>
      <c r="N1570" s="900"/>
      <c r="O1570" s="900"/>
      <c r="P1570" s="900"/>
    </row>
    <row r="1571" spans="3:16" ht="14.25">
      <c r="C1571" s="900"/>
      <c r="D1571" s="900"/>
      <c r="E1571" s="900"/>
      <c r="F1571" s="900"/>
      <c r="G1571" s="900"/>
      <c r="H1571" s="900"/>
      <c r="I1571" s="900"/>
      <c r="J1571" s="900"/>
      <c r="K1571" s="900"/>
      <c r="L1571" s="900"/>
      <c r="M1571" s="900"/>
      <c r="N1571" s="900"/>
      <c r="O1571" s="900"/>
      <c r="P1571" s="900"/>
    </row>
    <row r="1572" spans="3:16" ht="14.25">
      <c r="C1572" s="900"/>
      <c r="D1572" s="900"/>
      <c r="E1572" s="900"/>
      <c r="F1572" s="900"/>
      <c r="G1572" s="900"/>
      <c r="H1572" s="900"/>
      <c r="I1572" s="900"/>
      <c r="J1572" s="900"/>
      <c r="K1572" s="900"/>
      <c r="L1572" s="900"/>
      <c r="M1572" s="900"/>
      <c r="N1572" s="900"/>
      <c r="O1572" s="900"/>
      <c r="P1572" s="900"/>
    </row>
    <row r="1573" spans="3:16" ht="14.25">
      <c r="C1573" s="900"/>
      <c r="D1573" s="900"/>
      <c r="E1573" s="900"/>
      <c r="F1573" s="900"/>
      <c r="G1573" s="900"/>
      <c r="H1573" s="900"/>
      <c r="I1573" s="900"/>
      <c r="J1573" s="900"/>
      <c r="K1573" s="900"/>
      <c r="L1573" s="900"/>
      <c r="M1573" s="900"/>
      <c r="N1573" s="900"/>
      <c r="O1573" s="900"/>
      <c r="P1573" s="900"/>
    </row>
    <row r="1574" spans="3:16" ht="14.25">
      <c r="C1574" s="900"/>
      <c r="D1574" s="900"/>
      <c r="E1574" s="900"/>
      <c r="F1574" s="900"/>
      <c r="G1574" s="900"/>
      <c r="H1574" s="900"/>
      <c r="I1574" s="900"/>
      <c r="J1574" s="900"/>
      <c r="K1574" s="900"/>
      <c r="L1574" s="900"/>
      <c r="M1574" s="900"/>
      <c r="N1574" s="900"/>
      <c r="O1574" s="900"/>
      <c r="P1574" s="900"/>
    </row>
    <row r="1575" spans="3:16" ht="14.25">
      <c r="C1575" s="900"/>
      <c r="D1575" s="900"/>
      <c r="E1575" s="900"/>
      <c r="F1575" s="900"/>
      <c r="G1575" s="900"/>
      <c r="H1575" s="900"/>
      <c r="I1575" s="900"/>
      <c r="J1575" s="900"/>
      <c r="K1575" s="900"/>
      <c r="L1575" s="900"/>
      <c r="M1575" s="900"/>
      <c r="N1575" s="900"/>
      <c r="O1575" s="900"/>
      <c r="P1575" s="900"/>
    </row>
    <row r="1576" spans="3:16" ht="14.25">
      <c r="C1576" s="900"/>
      <c r="D1576" s="900"/>
      <c r="E1576" s="900"/>
      <c r="F1576" s="900"/>
      <c r="G1576" s="900"/>
      <c r="H1576" s="900"/>
      <c r="I1576" s="900"/>
      <c r="J1576" s="900"/>
      <c r="K1576" s="900"/>
      <c r="L1576" s="900"/>
      <c r="M1576" s="900"/>
      <c r="N1576" s="900"/>
      <c r="O1576" s="900"/>
      <c r="P1576" s="900"/>
    </row>
    <row r="1577" spans="3:16" ht="14.25">
      <c r="C1577" s="900"/>
      <c r="D1577" s="900"/>
      <c r="E1577" s="900"/>
      <c r="F1577" s="900"/>
      <c r="G1577" s="900"/>
      <c r="H1577" s="900"/>
      <c r="I1577" s="900"/>
      <c r="J1577" s="900"/>
      <c r="K1577" s="900"/>
      <c r="L1577" s="900"/>
      <c r="M1577" s="900"/>
      <c r="N1577" s="900"/>
      <c r="O1577" s="900"/>
      <c r="P1577" s="900"/>
    </row>
    <row r="1578" spans="3:16" ht="14.25">
      <c r="C1578" s="900"/>
      <c r="D1578" s="900"/>
      <c r="E1578" s="900"/>
      <c r="F1578" s="900"/>
      <c r="G1578" s="900"/>
      <c r="H1578" s="900"/>
      <c r="I1578" s="900"/>
      <c r="J1578" s="900"/>
      <c r="K1578" s="900"/>
      <c r="L1578" s="900"/>
      <c r="M1578" s="900"/>
      <c r="N1578" s="900"/>
      <c r="O1578" s="900"/>
      <c r="P1578" s="900"/>
    </row>
    <row r="1579" spans="3:16" ht="14.25">
      <c r="C1579" s="900"/>
      <c r="D1579" s="900"/>
      <c r="E1579" s="900"/>
      <c r="F1579" s="900"/>
      <c r="G1579" s="900"/>
      <c r="H1579" s="900"/>
      <c r="I1579" s="900"/>
      <c r="J1579" s="900"/>
      <c r="K1579" s="900"/>
      <c r="L1579" s="900"/>
      <c r="M1579" s="900"/>
      <c r="N1579" s="900"/>
      <c r="O1579" s="900"/>
      <c r="P1579" s="900"/>
    </row>
    <row r="1580" spans="3:16" ht="14.25">
      <c r="C1580" s="900"/>
      <c r="D1580" s="900"/>
      <c r="E1580" s="900"/>
      <c r="F1580" s="900"/>
      <c r="G1580" s="900"/>
      <c r="H1580" s="900"/>
      <c r="I1580" s="900"/>
      <c r="J1580" s="900"/>
      <c r="K1580" s="900"/>
      <c r="L1580" s="900"/>
      <c r="M1580" s="900"/>
      <c r="N1580" s="900"/>
      <c r="O1580" s="900"/>
      <c r="P1580" s="900"/>
    </row>
    <row r="1581" spans="3:16" ht="14.25">
      <c r="C1581" s="900"/>
      <c r="D1581" s="900"/>
      <c r="E1581" s="900"/>
      <c r="F1581" s="900"/>
      <c r="G1581" s="900"/>
      <c r="H1581" s="900"/>
      <c r="I1581" s="900"/>
      <c r="J1581" s="900"/>
      <c r="K1581" s="900"/>
      <c r="L1581" s="900"/>
      <c r="M1581" s="900"/>
      <c r="N1581" s="900"/>
      <c r="O1581" s="900"/>
      <c r="P1581" s="900"/>
    </row>
    <row r="1582" spans="3:16" ht="14.25">
      <c r="C1582" s="900"/>
      <c r="D1582" s="900"/>
      <c r="E1582" s="900"/>
      <c r="F1582" s="900"/>
      <c r="G1582" s="900"/>
      <c r="H1582" s="900"/>
      <c r="I1582" s="900"/>
      <c r="J1582" s="900"/>
      <c r="K1582" s="900"/>
      <c r="L1582" s="900"/>
      <c r="M1582" s="900"/>
      <c r="N1582" s="900"/>
      <c r="O1582" s="900"/>
      <c r="P1582" s="900"/>
    </row>
    <row r="1583" spans="3:16" ht="14.25">
      <c r="C1583" s="900"/>
      <c r="D1583" s="900"/>
      <c r="E1583" s="900"/>
      <c r="F1583" s="900"/>
      <c r="G1583" s="900"/>
      <c r="H1583" s="900"/>
      <c r="I1583" s="900"/>
      <c r="J1583" s="900"/>
      <c r="K1583" s="900"/>
      <c r="L1583" s="900"/>
      <c r="M1583" s="900"/>
      <c r="N1583" s="900"/>
      <c r="O1583" s="900"/>
      <c r="P1583" s="900"/>
    </row>
    <row r="1584" spans="3:16" ht="14.25">
      <c r="C1584" s="900"/>
      <c r="D1584" s="900"/>
      <c r="E1584" s="900"/>
      <c r="F1584" s="900"/>
      <c r="G1584" s="900"/>
      <c r="H1584" s="900"/>
      <c r="I1584" s="900"/>
      <c r="J1584" s="900"/>
      <c r="K1584" s="900"/>
      <c r="L1584" s="900"/>
      <c r="M1584" s="900"/>
      <c r="N1584" s="900"/>
      <c r="O1584" s="900"/>
      <c r="P1584" s="900"/>
    </row>
    <row r="1585" spans="3:16" ht="14.25">
      <c r="C1585" s="900"/>
      <c r="D1585" s="900"/>
      <c r="E1585" s="900"/>
      <c r="F1585" s="900"/>
      <c r="G1585" s="900"/>
      <c r="H1585" s="900"/>
      <c r="I1585" s="900"/>
      <c r="J1585" s="900"/>
      <c r="K1585" s="900"/>
      <c r="L1585" s="900"/>
      <c r="M1585" s="900"/>
      <c r="N1585" s="900"/>
      <c r="O1585" s="900"/>
      <c r="P1585" s="900"/>
    </row>
    <row r="1586" spans="3:16" ht="14.25">
      <c r="C1586" s="900"/>
      <c r="D1586" s="900"/>
      <c r="E1586" s="900"/>
      <c r="F1586" s="900"/>
      <c r="G1586" s="900"/>
      <c r="H1586" s="900"/>
      <c r="I1586" s="900"/>
      <c r="J1586" s="900"/>
      <c r="K1586" s="900"/>
      <c r="L1586" s="900"/>
      <c r="M1586" s="900"/>
      <c r="N1586" s="900"/>
      <c r="O1586" s="900"/>
      <c r="P1586" s="900"/>
    </row>
    <row r="1587" spans="3:16" ht="14.25">
      <c r="C1587" s="900"/>
      <c r="D1587" s="900"/>
      <c r="E1587" s="900"/>
      <c r="F1587" s="900"/>
      <c r="G1587" s="900"/>
      <c r="H1587" s="900"/>
      <c r="I1587" s="900"/>
      <c r="J1587" s="900"/>
      <c r="K1587" s="900"/>
      <c r="L1587" s="900"/>
      <c r="M1587" s="900"/>
      <c r="N1587" s="900"/>
      <c r="O1587" s="900"/>
      <c r="P1587" s="900"/>
    </row>
    <row r="1588" spans="3:16" ht="14.25">
      <c r="C1588" s="900"/>
      <c r="D1588" s="900"/>
      <c r="E1588" s="900"/>
      <c r="F1588" s="900"/>
      <c r="G1588" s="900"/>
      <c r="H1588" s="900"/>
      <c r="I1588" s="900"/>
      <c r="J1588" s="900"/>
      <c r="K1588" s="900"/>
      <c r="L1588" s="900"/>
      <c r="M1588" s="900"/>
      <c r="N1588" s="900"/>
      <c r="O1588" s="900"/>
      <c r="P1588" s="900"/>
    </row>
    <row r="1589" spans="3:16" ht="14.25">
      <c r="C1589" s="900"/>
      <c r="D1589" s="900"/>
      <c r="E1589" s="900"/>
      <c r="F1589" s="900"/>
      <c r="G1589" s="900"/>
      <c r="H1589" s="900"/>
      <c r="I1589" s="900"/>
      <c r="J1589" s="900"/>
      <c r="K1589" s="900"/>
      <c r="L1589" s="900"/>
      <c r="M1589" s="900"/>
      <c r="N1589" s="900"/>
      <c r="O1589" s="900"/>
      <c r="P1589" s="900"/>
    </row>
    <row r="1590" spans="3:16" ht="14.25">
      <c r="C1590" s="900"/>
      <c r="D1590" s="900"/>
      <c r="E1590" s="900"/>
      <c r="F1590" s="900"/>
      <c r="G1590" s="900"/>
      <c r="H1590" s="900"/>
      <c r="I1590" s="900"/>
      <c r="J1590" s="900"/>
      <c r="K1590" s="900"/>
      <c r="L1590" s="900"/>
      <c r="M1590" s="900"/>
      <c r="N1590" s="900"/>
      <c r="O1590" s="900"/>
      <c r="P1590" s="900"/>
    </row>
    <row r="1591" spans="3:16" ht="14.25">
      <c r="C1591" s="900"/>
      <c r="D1591" s="900"/>
      <c r="E1591" s="900"/>
      <c r="F1591" s="900"/>
      <c r="G1591" s="900"/>
      <c r="H1591" s="900"/>
      <c r="I1591" s="900"/>
      <c r="J1591" s="900"/>
      <c r="K1591" s="900"/>
      <c r="L1591" s="900"/>
      <c r="M1591" s="900"/>
      <c r="N1591" s="900"/>
      <c r="O1591" s="900"/>
      <c r="P1591" s="900"/>
    </row>
    <row r="1592" spans="3:16" ht="14.25">
      <c r="C1592" s="900"/>
      <c r="D1592" s="900"/>
      <c r="E1592" s="900"/>
      <c r="F1592" s="900"/>
      <c r="G1592" s="900"/>
      <c r="H1592" s="900"/>
      <c r="I1592" s="900"/>
      <c r="J1592" s="900"/>
      <c r="K1592" s="900"/>
      <c r="L1592" s="900"/>
      <c r="M1592" s="900"/>
      <c r="N1592" s="900"/>
      <c r="O1592" s="900"/>
      <c r="P1592" s="900"/>
    </row>
    <row r="1593" spans="3:16" ht="14.25">
      <c r="C1593" s="900"/>
      <c r="D1593" s="900"/>
      <c r="E1593" s="900"/>
      <c r="F1593" s="900"/>
      <c r="G1593" s="900"/>
      <c r="H1593" s="900"/>
      <c r="I1593" s="900"/>
      <c r="J1593" s="900"/>
      <c r="K1593" s="900"/>
      <c r="L1593" s="900"/>
      <c r="M1593" s="900"/>
      <c r="N1593" s="900"/>
      <c r="O1593" s="900"/>
      <c r="P1593" s="900"/>
    </row>
    <row r="1594" spans="3:16" ht="14.25">
      <c r="C1594" s="900"/>
      <c r="D1594" s="900"/>
      <c r="E1594" s="900"/>
      <c r="F1594" s="900"/>
      <c r="G1594" s="900"/>
      <c r="H1594" s="900"/>
      <c r="I1594" s="900"/>
      <c r="J1594" s="900"/>
      <c r="K1594" s="900"/>
      <c r="L1594" s="900"/>
      <c r="M1594" s="900"/>
      <c r="N1594" s="900"/>
      <c r="O1594" s="900"/>
      <c r="P1594" s="900"/>
    </row>
    <row r="1595" spans="3:16" ht="14.25">
      <c r="C1595" s="900"/>
      <c r="D1595" s="900"/>
      <c r="E1595" s="900"/>
      <c r="F1595" s="900"/>
      <c r="G1595" s="900"/>
      <c r="H1595" s="900"/>
      <c r="I1595" s="900"/>
      <c r="J1595" s="900"/>
      <c r="K1595" s="900"/>
      <c r="L1595" s="900"/>
      <c r="M1595" s="900"/>
      <c r="N1595" s="900"/>
      <c r="O1595" s="900"/>
      <c r="P1595" s="900"/>
    </row>
    <row r="1596" spans="3:16" ht="14.25">
      <c r="C1596" s="900"/>
      <c r="D1596" s="900"/>
      <c r="E1596" s="900"/>
      <c r="F1596" s="900"/>
      <c r="G1596" s="900"/>
      <c r="H1596" s="900"/>
      <c r="I1596" s="900"/>
      <c r="J1596" s="900"/>
      <c r="K1596" s="900"/>
      <c r="L1596" s="900"/>
      <c r="M1596" s="900"/>
      <c r="N1596" s="900"/>
      <c r="O1596" s="900"/>
      <c r="P1596" s="900"/>
    </row>
    <row r="1597" spans="3:16" ht="14.25">
      <c r="C1597" s="900"/>
      <c r="D1597" s="900"/>
      <c r="E1597" s="900"/>
      <c r="F1597" s="900"/>
      <c r="G1597" s="900"/>
      <c r="H1597" s="900"/>
      <c r="I1597" s="900"/>
      <c r="J1597" s="900"/>
      <c r="K1597" s="900"/>
      <c r="L1597" s="900"/>
      <c r="M1597" s="900"/>
      <c r="N1597" s="900"/>
      <c r="O1597" s="900"/>
      <c r="P1597" s="900"/>
    </row>
    <row r="1598" spans="3:16" ht="14.25">
      <c r="C1598" s="900"/>
      <c r="D1598" s="900"/>
      <c r="E1598" s="900"/>
      <c r="F1598" s="900"/>
      <c r="G1598" s="900"/>
      <c r="H1598" s="900"/>
      <c r="I1598" s="900"/>
      <c r="J1598" s="900"/>
      <c r="K1598" s="900"/>
      <c r="L1598" s="900"/>
      <c r="M1598" s="900"/>
      <c r="N1598" s="900"/>
      <c r="O1598" s="900"/>
      <c r="P1598" s="900"/>
    </row>
    <row r="1599" spans="3:16" ht="14.25">
      <c r="C1599" s="900"/>
      <c r="D1599" s="900"/>
      <c r="E1599" s="900"/>
      <c r="F1599" s="900"/>
      <c r="G1599" s="900"/>
      <c r="H1599" s="900"/>
      <c r="I1599" s="900"/>
      <c r="J1599" s="900"/>
      <c r="K1599" s="900"/>
      <c r="L1599" s="900"/>
      <c r="M1599" s="900"/>
      <c r="N1599" s="900"/>
      <c r="O1599" s="900"/>
      <c r="P1599" s="900"/>
    </row>
    <row r="1600" spans="3:16" ht="14.25">
      <c r="C1600" s="900"/>
      <c r="D1600" s="900"/>
      <c r="E1600" s="900"/>
      <c r="F1600" s="900"/>
      <c r="G1600" s="900"/>
      <c r="H1600" s="900"/>
      <c r="I1600" s="900"/>
      <c r="J1600" s="900"/>
      <c r="K1600" s="900"/>
      <c r="L1600" s="900"/>
      <c r="M1600" s="900"/>
      <c r="N1600" s="900"/>
      <c r="O1600" s="900"/>
      <c r="P1600" s="900"/>
    </row>
    <row r="1601" spans="3:16" ht="14.25">
      <c r="C1601" s="900"/>
      <c r="D1601" s="900"/>
      <c r="E1601" s="900"/>
      <c r="F1601" s="900"/>
      <c r="G1601" s="900"/>
      <c r="H1601" s="900"/>
      <c r="I1601" s="900"/>
      <c r="J1601" s="900"/>
      <c r="K1601" s="900"/>
      <c r="L1601" s="900"/>
      <c r="M1601" s="900"/>
      <c r="N1601" s="900"/>
      <c r="O1601" s="900"/>
      <c r="P1601" s="900"/>
    </row>
    <row r="1602" spans="3:16" ht="14.25">
      <c r="C1602" s="900"/>
      <c r="D1602" s="900"/>
      <c r="E1602" s="900"/>
      <c r="F1602" s="900"/>
      <c r="G1602" s="900"/>
      <c r="H1602" s="900"/>
      <c r="I1602" s="900"/>
      <c r="J1602" s="900"/>
      <c r="K1602" s="900"/>
      <c r="L1602" s="900"/>
      <c r="M1602" s="900"/>
      <c r="N1602" s="900"/>
      <c r="O1602" s="900"/>
      <c r="P1602" s="900"/>
    </row>
    <row r="1603" spans="3:16" ht="14.25">
      <c r="C1603" s="900"/>
      <c r="D1603" s="900"/>
      <c r="E1603" s="900"/>
      <c r="F1603" s="900"/>
      <c r="G1603" s="900"/>
      <c r="H1603" s="900"/>
      <c r="I1603" s="900"/>
      <c r="J1603" s="900"/>
      <c r="K1603" s="900"/>
      <c r="L1603" s="900"/>
      <c r="M1603" s="900"/>
      <c r="N1603" s="900"/>
      <c r="O1603" s="900"/>
      <c r="P1603" s="900"/>
    </row>
    <row r="1604" spans="3:16" ht="14.25">
      <c r="C1604" s="900"/>
      <c r="D1604" s="900"/>
      <c r="E1604" s="900"/>
      <c r="F1604" s="900"/>
      <c r="G1604" s="900"/>
      <c r="H1604" s="900"/>
      <c r="I1604" s="900"/>
      <c r="J1604" s="900"/>
      <c r="K1604" s="900"/>
      <c r="L1604" s="900"/>
      <c r="M1604" s="900"/>
      <c r="N1604" s="900"/>
      <c r="O1604" s="900"/>
      <c r="P1604" s="900"/>
    </row>
    <row r="1605" spans="3:16" ht="14.25">
      <c r="C1605" s="900"/>
      <c r="D1605" s="900"/>
      <c r="E1605" s="900"/>
      <c r="F1605" s="900"/>
      <c r="G1605" s="900"/>
      <c r="H1605" s="900"/>
      <c r="I1605" s="900"/>
      <c r="J1605" s="900"/>
      <c r="K1605" s="900"/>
      <c r="L1605" s="900"/>
      <c r="M1605" s="900"/>
      <c r="N1605" s="900"/>
      <c r="O1605" s="900"/>
      <c r="P1605" s="900"/>
    </row>
    <row r="1606" spans="3:16" ht="14.25">
      <c r="C1606" s="900"/>
      <c r="D1606" s="900"/>
      <c r="E1606" s="900"/>
      <c r="F1606" s="900"/>
      <c r="G1606" s="900"/>
      <c r="H1606" s="900"/>
      <c r="I1606" s="900"/>
      <c r="J1606" s="900"/>
      <c r="K1606" s="900"/>
      <c r="L1606" s="900"/>
      <c r="M1606" s="900"/>
      <c r="N1606" s="900"/>
      <c r="O1606" s="900"/>
      <c r="P1606" s="900"/>
    </row>
    <row r="1607" spans="3:16" ht="14.25">
      <c r="C1607" s="900"/>
      <c r="D1607" s="900"/>
      <c r="E1607" s="900"/>
      <c r="F1607" s="900"/>
      <c r="G1607" s="900"/>
      <c r="H1607" s="900"/>
      <c r="I1607" s="900"/>
      <c r="J1607" s="900"/>
      <c r="K1607" s="900"/>
      <c r="L1607" s="900"/>
      <c r="M1607" s="900"/>
      <c r="N1607" s="900"/>
      <c r="O1607" s="900"/>
      <c r="P1607" s="900"/>
    </row>
    <row r="1608" spans="3:16" ht="14.25">
      <c r="C1608" s="900"/>
      <c r="D1608" s="900"/>
      <c r="E1608" s="900"/>
      <c r="F1608" s="900"/>
      <c r="G1608" s="900"/>
      <c r="H1608" s="900"/>
      <c r="I1608" s="900"/>
      <c r="J1608" s="900"/>
      <c r="K1608" s="900"/>
      <c r="L1608" s="900"/>
      <c r="M1608" s="900"/>
      <c r="N1608" s="900"/>
      <c r="O1608" s="900"/>
      <c r="P1608" s="900"/>
    </row>
    <row r="1609" spans="3:16" ht="14.25">
      <c r="C1609" s="900"/>
      <c r="D1609" s="900"/>
      <c r="E1609" s="900"/>
      <c r="F1609" s="900"/>
      <c r="G1609" s="900"/>
      <c r="H1609" s="900"/>
      <c r="I1609" s="900"/>
      <c r="J1609" s="900"/>
      <c r="K1609" s="900"/>
      <c r="L1609" s="900"/>
      <c r="M1609" s="900"/>
      <c r="N1609" s="900"/>
      <c r="O1609" s="900"/>
      <c r="P1609" s="900"/>
    </row>
    <row r="1610" spans="3:16" ht="14.25">
      <c r="C1610" s="900"/>
      <c r="D1610" s="900"/>
      <c r="E1610" s="900"/>
      <c r="F1610" s="900"/>
      <c r="G1610" s="900"/>
      <c r="H1610" s="900"/>
      <c r="I1610" s="900"/>
      <c r="J1610" s="900"/>
      <c r="K1610" s="900"/>
      <c r="L1610" s="900"/>
      <c r="M1610" s="900"/>
      <c r="N1610" s="900"/>
      <c r="O1610" s="900"/>
      <c r="P1610" s="900"/>
    </row>
    <row r="1611" spans="3:16" ht="14.25">
      <c r="C1611" s="900"/>
      <c r="D1611" s="900"/>
      <c r="E1611" s="900"/>
      <c r="F1611" s="900"/>
      <c r="G1611" s="900"/>
      <c r="H1611" s="900"/>
      <c r="I1611" s="900"/>
      <c r="J1611" s="900"/>
      <c r="K1611" s="900"/>
      <c r="L1611" s="900"/>
      <c r="M1611" s="900"/>
      <c r="N1611" s="900"/>
      <c r="O1611" s="900"/>
      <c r="P1611" s="900"/>
    </row>
    <row r="1612" spans="3:16" ht="14.25">
      <c r="C1612" s="900"/>
      <c r="D1612" s="900"/>
      <c r="E1612" s="900"/>
      <c r="F1612" s="900"/>
      <c r="G1612" s="900"/>
      <c r="H1612" s="900"/>
      <c r="I1612" s="900"/>
      <c r="J1612" s="900"/>
      <c r="K1612" s="900"/>
      <c r="L1612" s="900"/>
      <c r="M1612" s="900"/>
      <c r="N1612" s="900"/>
      <c r="O1612" s="900"/>
      <c r="P1612" s="900"/>
    </row>
    <row r="1613" spans="3:16" ht="14.25">
      <c r="C1613" s="900"/>
      <c r="D1613" s="900"/>
      <c r="E1613" s="900"/>
      <c r="F1613" s="900"/>
      <c r="G1613" s="900"/>
      <c r="H1613" s="900"/>
      <c r="I1613" s="900"/>
      <c r="J1613" s="900"/>
      <c r="K1613" s="900"/>
      <c r="L1613" s="900"/>
      <c r="M1613" s="900"/>
      <c r="N1613" s="900"/>
      <c r="O1613" s="900"/>
      <c r="P1613" s="900"/>
    </row>
    <row r="1614" spans="3:16" ht="14.25">
      <c r="C1614" s="900"/>
      <c r="D1614" s="900"/>
      <c r="E1614" s="900"/>
      <c r="F1614" s="900"/>
      <c r="G1614" s="900"/>
      <c r="H1614" s="900"/>
      <c r="I1614" s="900"/>
      <c r="J1614" s="900"/>
      <c r="K1614" s="900"/>
      <c r="L1614" s="900"/>
      <c r="M1614" s="900"/>
      <c r="N1614" s="900"/>
      <c r="O1614" s="900"/>
      <c r="P1614" s="900"/>
    </row>
    <row r="1615" spans="3:16" ht="14.25">
      <c r="C1615" s="900"/>
      <c r="D1615" s="900"/>
      <c r="E1615" s="900"/>
      <c r="F1615" s="900"/>
      <c r="G1615" s="900"/>
      <c r="H1615" s="900"/>
      <c r="I1615" s="900"/>
      <c r="J1615" s="900"/>
      <c r="K1615" s="900"/>
      <c r="L1615" s="900"/>
      <c r="M1615" s="900"/>
      <c r="N1615" s="900"/>
      <c r="O1615" s="900"/>
      <c r="P1615" s="900"/>
    </row>
    <row r="1616" spans="3:16" ht="14.25">
      <c r="C1616" s="900"/>
      <c r="D1616" s="900"/>
      <c r="E1616" s="900"/>
      <c r="F1616" s="900"/>
      <c r="G1616" s="900"/>
      <c r="H1616" s="900"/>
      <c r="I1616" s="900"/>
      <c r="J1616" s="900"/>
      <c r="K1616" s="900"/>
      <c r="L1616" s="900"/>
      <c r="M1616" s="900"/>
      <c r="N1616" s="900"/>
      <c r="O1616" s="900"/>
      <c r="P1616" s="900"/>
    </row>
    <row r="1617" spans="3:16" ht="14.25">
      <c r="C1617" s="900"/>
      <c r="D1617" s="900"/>
      <c r="E1617" s="900"/>
      <c r="F1617" s="900"/>
      <c r="G1617" s="900"/>
      <c r="H1617" s="900"/>
      <c r="I1617" s="900"/>
      <c r="J1617" s="900"/>
      <c r="K1617" s="900"/>
      <c r="L1617" s="900"/>
      <c r="M1617" s="900"/>
      <c r="N1617" s="900"/>
      <c r="O1617" s="900"/>
      <c r="P1617" s="900"/>
    </row>
    <row r="1618" spans="3:16" ht="14.25">
      <c r="C1618" s="900"/>
      <c r="D1618" s="900"/>
      <c r="E1618" s="900"/>
      <c r="F1618" s="900"/>
      <c r="G1618" s="900"/>
      <c r="H1618" s="900"/>
      <c r="I1618" s="900"/>
      <c r="J1618" s="900"/>
      <c r="K1618" s="900"/>
      <c r="L1618" s="900"/>
      <c r="M1618" s="900"/>
      <c r="N1618" s="900"/>
      <c r="O1618" s="900"/>
      <c r="P1618" s="900"/>
    </row>
    <row r="1619" spans="3:16" ht="14.25">
      <c r="C1619" s="900"/>
      <c r="D1619" s="900"/>
      <c r="E1619" s="900"/>
      <c r="F1619" s="900"/>
      <c r="G1619" s="900"/>
      <c r="H1619" s="900"/>
      <c r="I1619" s="900"/>
      <c r="J1619" s="900"/>
      <c r="K1619" s="900"/>
      <c r="L1619" s="900"/>
      <c r="M1619" s="900"/>
      <c r="N1619" s="900"/>
      <c r="O1619" s="900"/>
      <c r="P1619" s="900"/>
    </row>
    <row r="1620" spans="3:16" ht="14.25">
      <c r="C1620" s="900"/>
      <c r="D1620" s="900"/>
      <c r="E1620" s="900"/>
      <c r="F1620" s="900"/>
      <c r="G1620" s="900"/>
      <c r="H1620" s="900"/>
      <c r="I1620" s="900"/>
      <c r="J1620" s="900"/>
      <c r="K1620" s="900"/>
      <c r="L1620" s="900"/>
      <c r="M1620" s="900"/>
      <c r="N1620" s="900"/>
      <c r="O1620" s="900"/>
      <c r="P1620" s="900"/>
    </row>
    <row r="1621" spans="3:16" ht="14.25">
      <c r="C1621" s="900"/>
      <c r="D1621" s="900"/>
      <c r="E1621" s="900"/>
      <c r="F1621" s="900"/>
      <c r="G1621" s="900"/>
      <c r="H1621" s="900"/>
      <c r="I1621" s="900"/>
      <c r="J1621" s="900"/>
      <c r="K1621" s="900"/>
      <c r="L1621" s="900"/>
      <c r="M1621" s="900"/>
      <c r="N1621" s="900"/>
      <c r="O1621" s="900"/>
      <c r="P1621" s="900"/>
    </row>
    <row r="1622" spans="3:16" ht="14.25">
      <c r="C1622" s="900"/>
      <c r="D1622" s="900"/>
      <c r="E1622" s="900"/>
      <c r="F1622" s="900"/>
      <c r="G1622" s="900"/>
      <c r="H1622" s="900"/>
      <c r="I1622" s="900"/>
      <c r="J1622" s="900"/>
      <c r="K1622" s="900"/>
      <c r="L1622" s="900"/>
      <c r="M1622" s="900"/>
      <c r="N1622" s="900"/>
      <c r="O1622" s="900"/>
      <c r="P1622" s="900"/>
    </row>
    <row r="1623" spans="3:16" ht="14.25">
      <c r="C1623" s="900"/>
      <c r="D1623" s="900"/>
      <c r="E1623" s="900"/>
      <c r="F1623" s="900"/>
      <c r="G1623" s="900"/>
      <c r="H1623" s="900"/>
      <c r="I1623" s="900"/>
      <c r="J1623" s="900"/>
      <c r="K1623" s="900"/>
      <c r="L1623" s="900"/>
      <c r="M1623" s="900"/>
      <c r="N1623" s="900"/>
      <c r="O1623" s="900"/>
      <c r="P1623" s="900"/>
    </row>
    <row r="1624" spans="3:16" ht="14.25">
      <c r="C1624" s="900"/>
      <c r="D1624" s="900"/>
      <c r="E1624" s="900"/>
      <c r="F1624" s="900"/>
      <c r="G1624" s="900"/>
      <c r="H1624" s="900"/>
      <c r="I1624" s="900"/>
      <c r="J1624" s="900"/>
      <c r="K1624" s="900"/>
      <c r="L1624" s="900"/>
      <c r="M1624" s="900"/>
      <c r="N1624" s="900"/>
      <c r="O1624" s="900"/>
      <c r="P1624" s="900"/>
    </row>
    <row r="1625" spans="3:16" ht="14.25">
      <c r="C1625" s="900"/>
      <c r="D1625" s="900"/>
      <c r="E1625" s="900"/>
      <c r="F1625" s="900"/>
      <c r="G1625" s="900"/>
      <c r="H1625" s="900"/>
      <c r="I1625" s="900"/>
      <c r="J1625" s="900"/>
      <c r="K1625" s="900"/>
      <c r="L1625" s="900"/>
      <c r="M1625" s="900"/>
      <c r="N1625" s="900"/>
      <c r="O1625" s="900"/>
      <c r="P1625" s="900"/>
    </row>
    <row r="1626" spans="3:16" ht="14.25">
      <c r="C1626" s="900"/>
      <c r="D1626" s="900"/>
      <c r="E1626" s="900"/>
      <c r="F1626" s="900"/>
      <c r="G1626" s="900"/>
      <c r="H1626" s="900"/>
      <c r="I1626" s="900"/>
      <c r="J1626" s="900"/>
      <c r="K1626" s="900"/>
      <c r="L1626" s="900"/>
      <c r="M1626" s="900"/>
      <c r="N1626" s="900"/>
      <c r="O1626" s="900"/>
      <c r="P1626" s="900"/>
    </row>
    <row r="1627" spans="3:16" ht="14.25">
      <c r="C1627" s="900"/>
      <c r="D1627" s="900"/>
      <c r="E1627" s="900"/>
      <c r="F1627" s="900"/>
      <c r="G1627" s="900"/>
      <c r="H1627" s="900"/>
      <c r="I1627" s="900"/>
      <c r="J1627" s="900"/>
      <c r="K1627" s="900"/>
      <c r="L1627" s="900"/>
      <c r="M1627" s="900"/>
      <c r="N1627" s="900"/>
      <c r="O1627" s="900"/>
      <c r="P1627" s="900"/>
    </row>
    <row r="1628" spans="3:16" ht="14.25">
      <c r="C1628" s="900"/>
      <c r="D1628" s="900"/>
      <c r="E1628" s="900"/>
      <c r="F1628" s="900"/>
      <c r="G1628" s="900"/>
      <c r="H1628" s="900"/>
      <c r="I1628" s="900"/>
      <c r="J1628" s="900"/>
      <c r="K1628" s="900"/>
      <c r="L1628" s="900"/>
      <c r="M1628" s="900"/>
      <c r="N1628" s="900"/>
      <c r="O1628" s="900"/>
      <c r="P1628" s="900"/>
    </row>
    <row r="1629" spans="3:16" ht="14.25">
      <c r="C1629" s="900"/>
      <c r="D1629" s="900"/>
      <c r="E1629" s="900"/>
      <c r="F1629" s="900"/>
      <c r="G1629" s="900"/>
      <c r="H1629" s="900"/>
      <c r="I1629" s="900"/>
      <c r="J1629" s="900"/>
      <c r="K1629" s="900"/>
      <c r="L1629" s="900"/>
      <c r="M1629" s="900"/>
      <c r="N1629" s="900"/>
      <c r="O1629" s="900"/>
      <c r="P1629" s="900"/>
    </row>
    <row r="1630" spans="3:16" ht="14.25">
      <c r="C1630" s="900"/>
      <c r="D1630" s="900"/>
      <c r="E1630" s="900"/>
      <c r="F1630" s="900"/>
      <c r="G1630" s="900"/>
      <c r="H1630" s="900"/>
      <c r="I1630" s="900"/>
      <c r="J1630" s="900"/>
      <c r="K1630" s="900"/>
      <c r="L1630" s="900"/>
      <c r="M1630" s="900"/>
      <c r="N1630" s="900"/>
      <c r="O1630" s="900"/>
      <c r="P1630" s="900"/>
    </row>
    <row r="1631" spans="3:16" ht="14.25">
      <c r="C1631" s="900"/>
      <c r="D1631" s="900"/>
      <c r="E1631" s="900"/>
      <c r="F1631" s="900"/>
      <c r="G1631" s="900"/>
      <c r="H1631" s="900"/>
      <c r="I1631" s="900"/>
      <c r="J1631" s="900"/>
      <c r="K1631" s="900"/>
      <c r="L1631" s="900"/>
      <c r="M1631" s="900"/>
      <c r="N1631" s="900"/>
      <c r="O1631" s="900"/>
      <c r="P1631" s="900"/>
    </row>
    <row r="1632" spans="3:16" ht="14.25">
      <c r="C1632" s="900"/>
      <c r="D1632" s="900"/>
      <c r="E1632" s="900"/>
      <c r="F1632" s="900"/>
      <c r="G1632" s="900"/>
      <c r="H1632" s="900"/>
      <c r="I1632" s="900"/>
      <c r="J1632" s="900"/>
      <c r="K1632" s="900"/>
      <c r="L1632" s="900"/>
      <c r="M1632" s="900"/>
      <c r="N1632" s="900"/>
      <c r="O1632" s="900"/>
      <c r="P1632" s="900"/>
    </row>
    <row r="1633" spans="3:16" ht="14.25">
      <c r="C1633" s="900"/>
      <c r="D1633" s="900"/>
      <c r="E1633" s="900"/>
      <c r="F1633" s="900"/>
      <c r="G1633" s="900"/>
      <c r="H1633" s="900"/>
      <c r="I1633" s="900"/>
      <c r="J1633" s="900"/>
      <c r="K1633" s="900"/>
      <c r="L1633" s="900"/>
      <c r="M1633" s="900"/>
      <c r="N1633" s="900"/>
      <c r="O1633" s="900"/>
      <c r="P1633" s="900"/>
    </row>
    <row r="1634" spans="3:16" ht="14.25">
      <c r="C1634" s="900"/>
      <c r="D1634" s="900"/>
      <c r="E1634" s="900"/>
      <c r="F1634" s="900"/>
      <c r="G1634" s="900"/>
      <c r="H1634" s="900"/>
      <c r="I1634" s="900"/>
      <c r="J1634" s="900"/>
      <c r="K1634" s="900"/>
      <c r="L1634" s="900"/>
      <c r="M1634" s="900"/>
      <c r="N1634" s="900"/>
      <c r="O1634" s="900"/>
      <c r="P1634" s="900"/>
    </row>
    <row r="1635" spans="3:16" ht="14.25">
      <c r="C1635" s="900"/>
      <c r="D1635" s="900"/>
      <c r="E1635" s="900"/>
      <c r="F1635" s="900"/>
      <c r="G1635" s="900"/>
      <c r="H1635" s="900"/>
      <c r="I1635" s="900"/>
      <c r="J1635" s="900"/>
      <c r="K1635" s="900"/>
      <c r="L1635" s="900"/>
      <c r="M1635" s="900"/>
      <c r="N1635" s="900"/>
      <c r="O1635" s="900"/>
      <c r="P1635" s="900"/>
    </row>
    <row r="1636" spans="3:16" ht="14.25">
      <c r="C1636" s="900"/>
      <c r="D1636" s="900"/>
      <c r="E1636" s="900"/>
      <c r="F1636" s="900"/>
      <c r="G1636" s="900"/>
      <c r="H1636" s="900"/>
      <c r="I1636" s="900"/>
      <c r="J1636" s="900"/>
      <c r="K1636" s="900"/>
      <c r="L1636" s="900"/>
      <c r="M1636" s="900"/>
      <c r="N1636" s="900"/>
      <c r="O1636" s="900"/>
      <c r="P1636" s="900"/>
    </row>
    <row r="1637" spans="3:16" ht="14.25">
      <c r="C1637" s="900"/>
      <c r="D1637" s="900"/>
      <c r="E1637" s="900"/>
      <c r="F1637" s="900"/>
      <c r="G1637" s="900"/>
      <c r="H1637" s="900"/>
      <c r="I1637" s="900"/>
      <c r="J1637" s="900"/>
      <c r="K1637" s="900"/>
      <c r="L1637" s="900"/>
      <c r="M1637" s="900"/>
      <c r="N1637" s="900"/>
      <c r="O1637" s="900"/>
      <c r="P1637" s="900"/>
    </row>
    <row r="1638" spans="3:16" ht="14.25">
      <c r="C1638" s="900"/>
      <c r="D1638" s="900"/>
      <c r="E1638" s="900"/>
      <c r="F1638" s="900"/>
      <c r="G1638" s="900"/>
      <c r="H1638" s="900"/>
      <c r="I1638" s="900"/>
      <c r="J1638" s="900"/>
      <c r="K1638" s="900"/>
      <c r="L1638" s="900"/>
      <c r="M1638" s="900"/>
      <c r="N1638" s="900"/>
      <c r="O1638" s="900"/>
      <c r="P1638" s="900"/>
    </row>
    <row r="1639" spans="3:16" ht="14.25">
      <c r="C1639" s="900"/>
      <c r="D1639" s="900"/>
      <c r="E1639" s="900"/>
      <c r="F1639" s="900"/>
      <c r="G1639" s="900"/>
      <c r="H1639" s="900"/>
      <c r="I1639" s="900"/>
      <c r="J1639" s="900"/>
      <c r="K1639" s="900"/>
      <c r="L1639" s="900"/>
      <c r="M1639" s="900"/>
      <c r="N1639" s="900"/>
      <c r="O1639" s="900"/>
      <c r="P1639" s="900"/>
    </row>
    <row r="1640" spans="3:16" ht="14.25">
      <c r="C1640" s="900"/>
      <c r="D1640" s="900"/>
      <c r="E1640" s="900"/>
      <c r="F1640" s="900"/>
      <c r="G1640" s="900"/>
      <c r="H1640" s="900"/>
      <c r="I1640" s="900"/>
      <c r="J1640" s="900"/>
      <c r="K1640" s="900"/>
      <c r="L1640" s="900"/>
      <c r="M1640" s="900"/>
      <c r="N1640" s="900"/>
      <c r="O1640" s="900"/>
      <c r="P1640" s="900"/>
    </row>
    <row r="1641" spans="3:16" ht="14.25">
      <c r="C1641" s="900"/>
      <c r="D1641" s="900"/>
      <c r="E1641" s="900"/>
      <c r="F1641" s="900"/>
      <c r="G1641" s="900"/>
      <c r="H1641" s="900"/>
      <c r="I1641" s="900"/>
      <c r="J1641" s="900"/>
      <c r="K1641" s="900"/>
      <c r="L1641" s="900"/>
      <c r="M1641" s="900"/>
      <c r="N1641" s="900"/>
      <c r="O1641" s="900"/>
      <c r="P1641" s="900"/>
    </row>
    <row r="1642" spans="3:16" ht="14.25">
      <c r="C1642" s="900"/>
      <c r="D1642" s="900"/>
      <c r="E1642" s="900"/>
      <c r="F1642" s="900"/>
      <c r="G1642" s="900"/>
      <c r="H1642" s="900"/>
      <c r="I1642" s="900"/>
      <c r="J1642" s="900"/>
      <c r="K1642" s="900"/>
      <c r="L1642" s="900"/>
      <c r="M1642" s="900"/>
      <c r="N1642" s="900"/>
      <c r="O1642" s="900"/>
      <c r="P1642" s="900"/>
    </row>
    <row r="1643" spans="3:16" ht="14.25">
      <c r="C1643" s="900"/>
      <c r="D1643" s="900"/>
      <c r="E1643" s="900"/>
      <c r="F1643" s="900"/>
      <c r="G1643" s="900"/>
      <c r="H1643" s="900"/>
      <c r="I1643" s="900"/>
      <c r="J1643" s="900"/>
      <c r="K1643" s="900"/>
      <c r="L1643" s="900"/>
      <c r="M1643" s="900"/>
      <c r="N1643" s="900"/>
      <c r="O1643" s="900"/>
      <c r="P1643" s="900"/>
    </row>
    <row r="1644" spans="3:16" ht="14.25">
      <c r="C1644" s="900"/>
      <c r="D1644" s="900"/>
      <c r="E1644" s="900"/>
      <c r="F1644" s="900"/>
      <c r="G1644" s="900"/>
      <c r="H1644" s="900"/>
      <c r="I1644" s="900"/>
      <c r="J1644" s="900"/>
      <c r="K1644" s="900"/>
      <c r="L1644" s="900"/>
      <c r="M1644" s="900"/>
      <c r="N1644" s="900"/>
      <c r="O1644" s="900"/>
      <c r="P1644" s="900"/>
    </row>
    <row r="1645" spans="3:16" ht="14.25">
      <c r="C1645" s="900"/>
      <c r="D1645" s="900"/>
      <c r="E1645" s="900"/>
      <c r="F1645" s="900"/>
      <c r="G1645" s="900"/>
      <c r="H1645" s="900"/>
      <c r="I1645" s="900"/>
      <c r="J1645" s="900"/>
      <c r="K1645" s="900"/>
      <c r="L1645" s="900"/>
      <c r="M1645" s="900"/>
      <c r="N1645" s="900"/>
      <c r="O1645" s="900"/>
      <c r="P1645" s="900"/>
    </row>
    <row r="1646" spans="3:16" ht="14.25">
      <c r="C1646" s="900"/>
      <c r="D1646" s="900"/>
      <c r="E1646" s="900"/>
      <c r="F1646" s="900"/>
      <c r="G1646" s="900"/>
      <c r="H1646" s="900"/>
      <c r="I1646" s="900"/>
      <c r="J1646" s="900"/>
      <c r="K1646" s="900"/>
      <c r="L1646" s="900"/>
      <c r="M1646" s="900"/>
      <c r="N1646" s="900"/>
      <c r="O1646" s="900"/>
      <c r="P1646" s="900"/>
    </row>
    <row r="1647" spans="3:16" ht="14.25">
      <c r="C1647" s="900"/>
      <c r="D1647" s="900"/>
      <c r="E1647" s="900"/>
      <c r="F1647" s="900"/>
      <c r="G1647" s="900"/>
      <c r="H1647" s="900"/>
      <c r="I1647" s="900"/>
      <c r="J1647" s="900"/>
      <c r="K1647" s="900"/>
      <c r="L1647" s="900"/>
      <c r="M1647" s="900"/>
      <c r="N1647" s="900"/>
      <c r="O1647" s="900"/>
      <c r="P1647" s="900"/>
    </row>
    <row r="1648" spans="3:16" ht="14.25">
      <c r="C1648" s="900"/>
      <c r="D1648" s="900"/>
      <c r="E1648" s="900"/>
      <c r="F1648" s="900"/>
      <c r="G1648" s="900"/>
      <c r="H1648" s="900"/>
      <c r="I1648" s="900"/>
      <c r="J1648" s="900"/>
      <c r="K1648" s="900"/>
      <c r="L1648" s="900"/>
      <c r="M1648" s="900"/>
      <c r="N1648" s="900"/>
      <c r="O1648" s="900"/>
      <c r="P1648" s="900"/>
    </row>
    <row r="1649" spans="3:16" ht="14.25">
      <c r="C1649" s="900"/>
      <c r="D1649" s="900"/>
      <c r="E1649" s="900"/>
      <c r="F1649" s="900"/>
      <c r="G1649" s="900"/>
      <c r="H1649" s="900"/>
      <c r="I1649" s="900"/>
      <c r="J1649" s="900"/>
      <c r="K1649" s="900"/>
      <c r="L1649" s="900"/>
      <c r="M1649" s="900"/>
      <c r="N1649" s="900"/>
      <c r="O1649" s="900"/>
      <c r="P1649" s="900"/>
    </row>
    <row r="1650" spans="3:16" ht="14.25">
      <c r="C1650" s="900"/>
      <c r="D1650" s="900"/>
      <c r="E1650" s="900"/>
      <c r="F1650" s="900"/>
      <c r="G1650" s="900"/>
      <c r="H1650" s="900"/>
      <c r="I1650" s="900"/>
      <c r="J1650" s="900"/>
      <c r="K1650" s="900"/>
      <c r="L1650" s="900"/>
      <c r="M1650" s="900"/>
      <c r="N1650" s="900"/>
      <c r="O1650" s="900"/>
      <c r="P1650" s="900"/>
    </row>
    <row r="1651" spans="3:16" ht="14.25">
      <c r="C1651" s="900"/>
      <c r="D1651" s="900"/>
      <c r="E1651" s="900"/>
      <c r="F1651" s="900"/>
      <c r="G1651" s="900"/>
      <c r="H1651" s="900"/>
      <c r="I1651" s="900"/>
      <c r="J1651" s="900"/>
      <c r="K1651" s="900"/>
      <c r="L1651" s="900"/>
      <c r="M1651" s="900"/>
      <c r="N1651" s="900"/>
      <c r="O1651" s="900"/>
      <c r="P1651" s="900"/>
    </row>
    <row r="1652" spans="3:16" ht="14.25">
      <c r="C1652" s="900"/>
      <c r="D1652" s="900"/>
      <c r="E1652" s="900"/>
      <c r="F1652" s="900"/>
      <c r="G1652" s="900"/>
      <c r="H1652" s="900"/>
      <c r="I1652" s="900"/>
      <c r="J1652" s="900"/>
      <c r="K1652" s="900"/>
      <c r="L1652" s="900"/>
      <c r="M1652" s="900"/>
      <c r="N1652" s="900"/>
      <c r="O1652" s="900"/>
      <c r="P1652" s="900"/>
    </row>
    <row r="1653" spans="3:16" ht="14.25">
      <c r="C1653" s="900"/>
      <c r="D1653" s="900"/>
      <c r="E1653" s="900"/>
      <c r="F1653" s="900"/>
      <c r="G1653" s="900"/>
      <c r="H1653" s="900"/>
      <c r="I1653" s="900"/>
      <c r="J1653" s="900"/>
      <c r="K1653" s="900"/>
      <c r="L1653" s="900"/>
      <c r="M1653" s="900"/>
      <c r="N1653" s="900"/>
      <c r="O1653" s="900"/>
      <c r="P1653" s="900"/>
    </row>
    <row r="1654" spans="3:16" ht="14.25">
      <c r="C1654" s="900"/>
      <c r="D1654" s="900"/>
      <c r="E1654" s="900"/>
      <c r="F1654" s="900"/>
      <c r="G1654" s="900"/>
      <c r="H1654" s="900"/>
      <c r="I1654" s="900"/>
      <c r="J1654" s="900"/>
      <c r="K1654" s="900"/>
      <c r="L1654" s="900"/>
      <c r="M1654" s="900"/>
      <c r="N1654" s="900"/>
      <c r="O1654" s="900"/>
      <c r="P1654" s="900"/>
    </row>
    <row r="1655" spans="3:16" ht="14.25">
      <c r="C1655" s="900"/>
      <c r="D1655" s="900"/>
      <c r="E1655" s="900"/>
      <c r="F1655" s="900"/>
      <c r="G1655" s="900"/>
      <c r="H1655" s="900"/>
      <c r="I1655" s="900"/>
      <c r="J1655" s="900"/>
      <c r="K1655" s="900"/>
      <c r="L1655" s="900"/>
      <c r="M1655" s="900"/>
      <c r="N1655" s="900"/>
      <c r="O1655" s="900"/>
      <c r="P1655" s="900"/>
    </row>
    <row r="1656" spans="3:16" ht="14.25">
      <c r="C1656" s="900"/>
      <c r="D1656" s="900"/>
      <c r="E1656" s="900"/>
      <c r="F1656" s="900"/>
      <c r="G1656" s="900"/>
      <c r="H1656" s="900"/>
      <c r="I1656" s="900"/>
      <c r="J1656" s="900"/>
      <c r="K1656" s="900"/>
      <c r="L1656" s="900"/>
      <c r="M1656" s="900"/>
      <c r="N1656" s="900"/>
      <c r="O1656" s="900"/>
      <c r="P1656" s="900"/>
    </row>
    <row r="1657" spans="3:16" ht="14.25">
      <c r="C1657" s="900"/>
      <c r="D1657" s="900"/>
      <c r="E1657" s="900"/>
      <c r="F1657" s="900"/>
      <c r="G1657" s="900"/>
      <c r="H1657" s="900"/>
      <c r="I1657" s="900"/>
      <c r="J1657" s="900"/>
      <c r="K1657" s="900"/>
      <c r="L1657" s="900"/>
      <c r="M1657" s="900"/>
      <c r="N1657" s="900"/>
      <c r="O1657" s="900"/>
      <c r="P1657" s="900"/>
    </row>
    <row r="1658" spans="3:16" ht="14.25">
      <c r="C1658" s="900"/>
      <c r="D1658" s="900"/>
      <c r="E1658" s="900"/>
      <c r="F1658" s="900"/>
      <c r="G1658" s="900"/>
      <c r="H1658" s="900"/>
      <c r="I1658" s="900"/>
      <c r="J1658" s="900"/>
      <c r="K1658" s="900"/>
      <c r="L1658" s="900"/>
      <c r="M1658" s="900"/>
      <c r="N1658" s="900"/>
      <c r="O1658" s="900"/>
      <c r="P1658" s="900"/>
    </row>
    <row r="1659" spans="3:16" ht="14.25">
      <c r="C1659" s="900"/>
      <c r="D1659" s="900"/>
      <c r="E1659" s="900"/>
      <c r="F1659" s="900"/>
      <c r="G1659" s="900"/>
      <c r="H1659" s="900"/>
      <c r="I1659" s="900"/>
      <c r="J1659" s="900"/>
      <c r="K1659" s="900"/>
      <c r="L1659" s="900"/>
      <c r="M1659" s="900"/>
      <c r="N1659" s="900"/>
      <c r="O1659" s="900"/>
      <c r="P1659" s="900"/>
    </row>
    <row r="1660" spans="3:16" ht="14.25">
      <c r="C1660" s="900"/>
      <c r="D1660" s="900"/>
      <c r="E1660" s="900"/>
      <c r="F1660" s="900"/>
      <c r="G1660" s="900"/>
      <c r="H1660" s="900"/>
      <c r="I1660" s="900"/>
      <c r="J1660" s="900"/>
      <c r="K1660" s="900"/>
      <c r="L1660" s="900"/>
      <c r="M1660" s="900"/>
      <c r="N1660" s="900"/>
      <c r="O1660" s="900"/>
      <c r="P1660" s="900"/>
    </row>
    <row r="1661" spans="3:16" ht="14.25">
      <c r="C1661" s="900"/>
      <c r="D1661" s="900"/>
      <c r="E1661" s="900"/>
      <c r="F1661" s="900"/>
      <c r="G1661" s="900"/>
      <c r="H1661" s="900"/>
      <c r="I1661" s="900"/>
      <c r="J1661" s="900"/>
      <c r="K1661" s="900"/>
      <c r="L1661" s="900"/>
      <c r="M1661" s="900"/>
      <c r="N1661" s="900"/>
      <c r="O1661" s="900"/>
      <c r="P1661" s="900"/>
    </row>
    <row r="1662" spans="3:16" ht="14.25">
      <c r="C1662" s="900"/>
      <c r="D1662" s="900"/>
      <c r="E1662" s="900"/>
      <c r="F1662" s="900"/>
      <c r="G1662" s="900"/>
      <c r="H1662" s="900"/>
      <c r="I1662" s="900"/>
      <c r="J1662" s="900"/>
      <c r="K1662" s="900"/>
      <c r="L1662" s="900"/>
      <c r="M1662" s="900"/>
      <c r="N1662" s="900"/>
      <c r="O1662" s="900"/>
      <c r="P1662" s="900"/>
    </row>
    <row r="1663" spans="3:16" ht="14.25">
      <c r="C1663" s="900"/>
      <c r="D1663" s="900"/>
      <c r="E1663" s="900"/>
      <c r="F1663" s="900"/>
      <c r="G1663" s="900"/>
      <c r="H1663" s="900"/>
      <c r="I1663" s="900"/>
      <c r="J1663" s="900"/>
      <c r="K1663" s="900"/>
      <c r="L1663" s="900"/>
      <c r="M1663" s="900"/>
      <c r="N1663" s="900"/>
      <c r="O1663" s="900"/>
      <c r="P1663" s="900"/>
    </row>
    <row r="1664" spans="3:16" ht="14.25">
      <c r="C1664" s="900"/>
      <c r="D1664" s="900"/>
      <c r="E1664" s="900"/>
      <c r="F1664" s="900"/>
      <c r="G1664" s="900"/>
      <c r="H1664" s="900"/>
      <c r="I1664" s="900"/>
      <c r="J1664" s="900"/>
      <c r="K1664" s="900"/>
      <c r="L1664" s="900"/>
      <c r="M1664" s="900"/>
      <c r="N1664" s="900"/>
      <c r="O1664" s="900"/>
      <c r="P1664" s="900"/>
    </row>
    <row r="1665" spans="3:16" ht="14.25">
      <c r="C1665" s="900"/>
      <c r="D1665" s="900"/>
      <c r="E1665" s="900"/>
      <c r="F1665" s="900"/>
      <c r="G1665" s="900"/>
      <c r="H1665" s="900"/>
      <c r="I1665" s="900"/>
      <c r="J1665" s="900"/>
      <c r="K1665" s="900"/>
      <c r="L1665" s="900"/>
      <c r="M1665" s="900"/>
      <c r="N1665" s="900"/>
      <c r="O1665" s="900"/>
      <c r="P1665" s="900"/>
    </row>
    <row r="1666" spans="3:16" ht="14.25">
      <c r="C1666" s="900"/>
      <c r="D1666" s="900"/>
      <c r="E1666" s="900"/>
      <c r="F1666" s="900"/>
      <c r="G1666" s="900"/>
      <c r="H1666" s="900"/>
      <c r="I1666" s="900"/>
      <c r="J1666" s="900"/>
      <c r="K1666" s="900"/>
      <c r="L1666" s="900"/>
      <c r="M1666" s="900"/>
      <c r="N1666" s="900"/>
      <c r="O1666" s="900"/>
      <c r="P1666" s="900"/>
    </row>
    <row r="1667" spans="3:16" ht="14.25">
      <c r="C1667" s="900"/>
      <c r="D1667" s="900"/>
      <c r="E1667" s="900"/>
      <c r="F1667" s="900"/>
      <c r="G1667" s="900"/>
      <c r="H1667" s="900"/>
      <c r="I1667" s="900"/>
      <c r="J1667" s="900"/>
      <c r="K1667" s="900"/>
      <c r="L1667" s="900"/>
      <c r="M1667" s="900"/>
      <c r="N1667" s="900"/>
      <c r="O1667" s="900"/>
      <c r="P1667" s="900"/>
    </row>
    <row r="1668" spans="3:16" ht="14.25">
      <c r="C1668" s="900"/>
      <c r="D1668" s="900"/>
      <c r="E1668" s="900"/>
      <c r="F1668" s="900"/>
      <c r="G1668" s="900"/>
      <c r="H1668" s="900"/>
      <c r="I1668" s="900"/>
      <c r="J1668" s="900"/>
      <c r="K1668" s="900"/>
      <c r="L1668" s="900"/>
      <c r="M1668" s="900"/>
      <c r="N1668" s="900"/>
      <c r="O1668" s="900"/>
      <c r="P1668" s="900"/>
    </row>
    <row r="1669" spans="3:16" ht="14.25">
      <c r="C1669" s="900"/>
      <c r="D1669" s="900"/>
      <c r="E1669" s="900"/>
      <c r="F1669" s="900"/>
      <c r="G1669" s="900"/>
      <c r="H1669" s="900"/>
      <c r="I1669" s="900"/>
      <c r="J1669" s="900"/>
      <c r="K1669" s="900"/>
      <c r="L1669" s="900"/>
      <c r="M1669" s="900"/>
      <c r="N1669" s="900"/>
      <c r="O1669" s="900"/>
      <c r="P1669" s="900"/>
    </row>
    <row r="1670" spans="3:16" ht="14.25">
      <c r="C1670" s="900"/>
      <c r="D1670" s="900"/>
      <c r="E1670" s="900"/>
      <c r="F1670" s="900"/>
      <c r="G1670" s="900"/>
      <c r="H1670" s="900"/>
      <c r="I1670" s="900"/>
      <c r="J1670" s="900"/>
      <c r="K1670" s="900"/>
      <c r="L1670" s="900"/>
      <c r="M1670" s="900"/>
      <c r="N1670" s="900"/>
      <c r="O1670" s="900"/>
      <c r="P1670" s="900"/>
    </row>
    <row r="1671" spans="3:16" ht="14.25">
      <c r="C1671" s="900"/>
      <c r="D1671" s="900"/>
      <c r="E1671" s="900"/>
      <c r="F1671" s="900"/>
      <c r="G1671" s="900"/>
      <c r="H1671" s="900"/>
      <c r="I1671" s="900"/>
      <c r="J1671" s="900"/>
      <c r="K1671" s="900"/>
      <c r="L1671" s="900"/>
      <c r="M1671" s="900"/>
      <c r="N1671" s="900"/>
      <c r="O1671" s="900"/>
      <c r="P1671" s="900"/>
    </row>
    <row r="1672" spans="3:16" ht="14.25">
      <c r="C1672" s="900"/>
      <c r="D1672" s="900"/>
      <c r="E1672" s="900"/>
      <c r="F1672" s="900"/>
      <c r="G1672" s="900"/>
      <c r="H1672" s="900"/>
      <c r="I1672" s="900"/>
      <c r="J1672" s="900"/>
      <c r="K1672" s="900"/>
      <c r="L1672" s="900"/>
      <c r="M1672" s="900"/>
      <c r="N1672" s="900"/>
      <c r="O1672" s="900"/>
      <c r="P1672" s="900"/>
    </row>
    <row r="1673" spans="3:16" ht="14.25">
      <c r="C1673" s="900"/>
      <c r="D1673" s="900"/>
      <c r="E1673" s="900"/>
      <c r="F1673" s="900"/>
      <c r="G1673" s="900"/>
      <c r="H1673" s="900"/>
      <c r="I1673" s="900"/>
      <c r="J1673" s="900"/>
      <c r="K1673" s="900"/>
      <c r="L1673" s="900"/>
      <c r="M1673" s="900"/>
      <c r="N1673" s="900"/>
      <c r="O1673" s="900"/>
      <c r="P1673" s="900"/>
    </row>
    <row r="1674" spans="3:16" ht="14.25">
      <c r="C1674" s="900"/>
      <c r="D1674" s="900"/>
      <c r="E1674" s="900"/>
      <c r="F1674" s="900"/>
      <c r="G1674" s="900"/>
      <c r="H1674" s="900"/>
      <c r="I1674" s="900"/>
      <c r="J1674" s="900"/>
      <c r="K1674" s="900"/>
      <c r="L1674" s="900"/>
      <c r="M1674" s="900"/>
      <c r="N1674" s="900"/>
      <c r="O1674" s="900"/>
      <c r="P1674" s="900"/>
    </row>
    <row r="1675" spans="3:16" ht="14.25">
      <c r="C1675" s="900"/>
      <c r="D1675" s="900"/>
      <c r="E1675" s="900"/>
      <c r="F1675" s="900"/>
      <c r="G1675" s="900"/>
      <c r="H1675" s="900"/>
      <c r="I1675" s="900"/>
      <c r="J1675" s="900"/>
      <c r="K1675" s="900"/>
      <c r="L1675" s="900"/>
      <c r="M1675" s="900"/>
      <c r="N1675" s="900"/>
      <c r="O1675" s="900"/>
      <c r="P1675" s="900"/>
    </row>
    <row r="1676" spans="3:16" ht="14.25">
      <c r="C1676" s="900"/>
      <c r="D1676" s="900"/>
      <c r="E1676" s="900"/>
      <c r="F1676" s="900"/>
      <c r="G1676" s="900"/>
      <c r="H1676" s="900"/>
      <c r="I1676" s="900"/>
      <c r="J1676" s="900"/>
      <c r="K1676" s="900"/>
      <c r="L1676" s="900"/>
      <c r="M1676" s="900"/>
      <c r="N1676" s="900"/>
      <c r="O1676" s="900"/>
      <c r="P1676" s="900"/>
    </row>
    <row r="1677" spans="3:16" ht="14.25">
      <c r="C1677" s="900"/>
      <c r="D1677" s="900"/>
      <c r="E1677" s="900"/>
      <c r="F1677" s="900"/>
      <c r="G1677" s="900"/>
      <c r="H1677" s="900"/>
      <c r="I1677" s="900"/>
      <c r="J1677" s="900"/>
      <c r="K1677" s="900"/>
      <c r="L1677" s="900"/>
      <c r="M1677" s="900"/>
      <c r="N1677" s="900"/>
      <c r="O1677" s="900"/>
      <c r="P1677" s="900"/>
    </row>
    <row r="1678" spans="3:16" ht="14.25">
      <c r="C1678" s="900"/>
      <c r="D1678" s="900"/>
      <c r="E1678" s="900"/>
      <c r="F1678" s="900"/>
      <c r="G1678" s="900"/>
      <c r="H1678" s="900"/>
      <c r="I1678" s="900"/>
      <c r="J1678" s="900"/>
      <c r="K1678" s="900"/>
      <c r="L1678" s="900"/>
      <c r="M1678" s="900"/>
      <c r="N1678" s="900"/>
      <c r="O1678" s="900"/>
      <c r="P1678" s="900"/>
    </row>
    <row r="1679" spans="3:16" ht="14.25">
      <c r="C1679" s="900"/>
      <c r="D1679" s="900"/>
      <c r="E1679" s="900"/>
      <c r="F1679" s="900"/>
      <c r="G1679" s="900"/>
      <c r="H1679" s="900"/>
      <c r="I1679" s="900"/>
      <c r="J1679" s="900"/>
      <c r="K1679" s="900"/>
      <c r="L1679" s="900"/>
      <c r="M1679" s="900"/>
      <c r="N1679" s="900"/>
      <c r="O1679" s="900"/>
      <c r="P1679" s="900"/>
    </row>
    <row r="1680" spans="3:16" ht="14.25">
      <c r="C1680" s="900"/>
      <c r="D1680" s="900"/>
      <c r="E1680" s="900"/>
      <c r="F1680" s="900"/>
      <c r="G1680" s="900"/>
      <c r="H1680" s="900"/>
      <c r="I1680" s="900"/>
      <c r="J1680" s="900"/>
      <c r="K1680" s="900"/>
      <c r="L1680" s="900"/>
      <c r="M1680" s="900"/>
      <c r="N1680" s="900"/>
      <c r="O1680" s="900"/>
      <c r="P1680" s="900"/>
    </row>
    <row r="1681" spans="3:16" ht="14.25">
      <c r="C1681" s="900"/>
      <c r="D1681" s="900"/>
      <c r="E1681" s="900"/>
      <c r="F1681" s="900"/>
      <c r="G1681" s="900"/>
      <c r="H1681" s="900"/>
      <c r="I1681" s="900"/>
      <c r="J1681" s="900"/>
      <c r="K1681" s="900"/>
      <c r="L1681" s="900"/>
      <c r="M1681" s="900"/>
      <c r="N1681" s="900"/>
      <c r="O1681" s="900"/>
      <c r="P1681" s="900"/>
    </row>
    <row r="1682" spans="3:16" ht="14.25">
      <c r="C1682" s="900"/>
      <c r="D1682" s="900"/>
      <c r="E1682" s="900"/>
      <c r="F1682" s="900"/>
      <c r="G1682" s="900"/>
      <c r="H1682" s="900"/>
      <c r="I1682" s="900"/>
      <c r="J1682" s="900"/>
      <c r="K1682" s="900"/>
      <c r="L1682" s="900"/>
      <c r="M1682" s="900"/>
      <c r="N1682" s="900"/>
      <c r="O1682" s="900"/>
      <c r="P1682" s="900"/>
    </row>
    <row r="1683" spans="3:16" ht="14.25">
      <c r="C1683" s="900"/>
      <c r="D1683" s="900"/>
      <c r="E1683" s="900"/>
      <c r="F1683" s="900"/>
      <c r="G1683" s="900"/>
      <c r="H1683" s="900"/>
      <c r="I1683" s="900"/>
      <c r="J1683" s="900"/>
      <c r="K1683" s="900"/>
      <c r="L1683" s="900"/>
      <c r="M1683" s="900"/>
      <c r="N1683" s="900"/>
      <c r="O1683" s="900"/>
      <c r="P1683" s="900"/>
    </row>
    <row r="1684" spans="3:16" ht="14.25">
      <c r="C1684" s="900"/>
      <c r="D1684" s="900"/>
      <c r="E1684" s="900"/>
      <c r="F1684" s="900"/>
      <c r="G1684" s="900"/>
      <c r="H1684" s="900"/>
      <c r="I1684" s="900"/>
      <c r="J1684" s="900"/>
      <c r="K1684" s="900"/>
      <c r="L1684" s="900"/>
      <c r="M1684" s="900"/>
      <c r="N1684" s="900"/>
      <c r="O1684" s="900"/>
      <c r="P1684" s="900"/>
    </row>
    <row r="1685" spans="3:16" ht="14.25">
      <c r="C1685" s="900"/>
      <c r="D1685" s="900"/>
      <c r="E1685" s="900"/>
      <c r="F1685" s="900"/>
      <c r="G1685" s="900"/>
      <c r="H1685" s="900"/>
      <c r="I1685" s="900"/>
      <c r="J1685" s="900"/>
      <c r="K1685" s="900"/>
      <c r="L1685" s="900"/>
      <c r="M1685" s="900"/>
      <c r="N1685" s="900"/>
      <c r="O1685" s="900"/>
      <c r="P1685" s="900"/>
    </row>
    <row r="1686" spans="3:16" ht="14.25">
      <c r="C1686" s="900"/>
      <c r="D1686" s="900"/>
      <c r="E1686" s="900"/>
      <c r="F1686" s="900"/>
      <c r="G1686" s="900"/>
      <c r="H1686" s="900"/>
      <c r="I1686" s="900"/>
      <c r="J1686" s="900"/>
      <c r="K1686" s="900"/>
      <c r="L1686" s="900"/>
      <c r="M1686" s="900"/>
      <c r="N1686" s="900"/>
      <c r="O1686" s="900"/>
      <c r="P1686" s="900"/>
    </row>
    <row r="1687" spans="3:16" ht="14.25">
      <c r="C1687" s="900"/>
      <c r="D1687" s="900"/>
      <c r="E1687" s="900"/>
      <c r="F1687" s="900"/>
      <c r="G1687" s="900"/>
      <c r="H1687" s="900"/>
      <c r="I1687" s="900"/>
      <c r="J1687" s="900"/>
      <c r="K1687" s="900"/>
      <c r="L1687" s="900"/>
      <c r="M1687" s="900"/>
      <c r="N1687" s="900"/>
      <c r="O1687" s="900"/>
      <c r="P1687" s="900"/>
    </row>
    <row r="1688" spans="3:16" ht="14.25">
      <c r="C1688" s="900"/>
      <c r="D1688" s="900"/>
      <c r="E1688" s="900"/>
      <c r="F1688" s="900"/>
      <c r="G1688" s="900"/>
      <c r="H1688" s="900"/>
      <c r="I1688" s="900"/>
      <c r="J1688" s="900"/>
      <c r="K1688" s="900"/>
      <c r="L1688" s="900"/>
      <c r="M1688" s="900"/>
      <c r="N1688" s="900"/>
      <c r="O1688" s="900"/>
      <c r="P1688" s="900"/>
    </row>
    <row r="1689" spans="3:16" ht="14.25">
      <c r="C1689" s="900"/>
      <c r="D1689" s="900"/>
      <c r="E1689" s="900"/>
      <c r="F1689" s="900"/>
      <c r="G1689" s="900"/>
      <c r="H1689" s="900"/>
      <c r="I1689" s="900"/>
      <c r="J1689" s="900"/>
      <c r="K1689" s="900"/>
      <c r="L1689" s="900"/>
      <c r="M1689" s="900"/>
      <c r="N1689" s="900"/>
      <c r="O1689" s="900"/>
      <c r="P1689" s="900"/>
    </row>
    <row r="1690" spans="3:16" ht="14.25">
      <c r="C1690" s="900"/>
      <c r="D1690" s="900"/>
      <c r="E1690" s="900"/>
      <c r="F1690" s="900"/>
      <c r="G1690" s="900"/>
      <c r="H1690" s="900"/>
      <c r="I1690" s="900"/>
      <c r="J1690" s="900"/>
      <c r="K1690" s="900"/>
      <c r="L1690" s="900"/>
      <c r="M1690" s="900"/>
      <c r="N1690" s="900"/>
      <c r="O1690" s="900"/>
      <c r="P1690" s="900"/>
    </row>
    <row r="1691" spans="3:16" ht="14.25">
      <c r="C1691" s="900"/>
      <c r="D1691" s="900"/>
      <c r="E1691" s="900"/>
      <c r="F1691" s="900"/>
      <c r="G1691" s="900"/>
      <c r="H1691" s="900"/>
      <c r="I1691" s="900"/>
      <c r="J1691" s="900"/>
      <c r="K1691" s="900"/>
      <c r="L1691" s="900"/>
      <c r="M1691" s="900"/>
      <c r="N1691" s="900"/>
      <c r="O1691" s="900"/>
      <c r="P1691" s="900"/>
    </row>
    <row r="1692" spans="3:16" ht="14.25">
      <c r="C1692" s="900"/>
      <c r="D1692" s="900"/>
      <c r="E1692" s="900"/>
      <c r="F1692" s="900"/>
      <c r="G1692" s="900"/>
      <c r="H1692" s="900"/>
      <c r="I1692" s="900"/>
      <c r="J1692" s="900"/>
      <c r="K1692" s="900"/>
      <c r="L1692" s="900"/>
      <c r="M1692" s="900"/>
      <c r="N1692" s="900"/>
      <c r="O1692" s="900"/>
      <c r="P1692" s="900"/>
    </row>
    <row r="1693" spans="3:16" ht="14.25">
      <c r="C1693" s="900"/>
      <c r="D1693" s="900"/>
      <c r="E1693" s="900"/>
      <c r="F1693" s="900"/>
      <c r="G1693" s="900"/>
      <c r="H1693" s="900"/>
      <c r="I1693" s="900"/>
      <c r="J1693" s="900"/>
      <c r="K1693" s="900"/>
      <c r="L1693" s="900"/>
      <c r="M1693" s="900"/>
      <c r="N1693" s="900"/>
      <c r="O1693" s="900"/>
      <c r="P1693" s="900"/>
    </row>
    <row r="1694" spans="3:16" ht="14.25">
      <c r="C1694" s="900"/>
      <c r="D1694" s="900"/>
      <c r="E1694" s="900"/>
      <c r="F1694" s="900"/>
      <c r="G1694" s="900"/>
      <c r="H1694" s="900"/>
      <c r="I1694" s="900"/>
      <c r="J1694" s="900"/>
      <c r="K1694" s="900"/>
      <c r="L1694" s="900"/>
      <c r="M1694" s="900"/>
      <c r="N1694" s="900"/>
      <c r="O1694" s="900"/>
      <c r="P1694" s="900"/>
    </row>
    <row r="1695" spans="3:16" ht="14.25">
      <c r="C1695" s="900"/>
      <c r="D1695" s="900"/>
      <c r="E1695" s="900"/>
      <c r="F1695" s="900"/>
      <c r="G1695" s="900"/>
      <c r="H1695" s="900"/>
      <c r="I1695" s="900"/>
      <c r="J1695" s="900"/>
      <c r="K1695" s="900"/>
      <c r="L1695" s="900"/>
      <c r="M1695" s="900"/>
      <c r="N1695" s="900"/>
      <c r="O1695" s="900"/>
      <c r="P1695" s="900"/>
    </row>
    <row r="1696" spans="3:16" ht="14.25">
      <c r="C1696" s="900"/>
      <c r="D1696" s="900"/>
      <c r="E1696" s="900"/>
      <c r="F1696" s="900"/>
      <c r="G1696" s="900"/>
      <c r="H1696" s="900"/>
      <c r="I1696" s="900"/>
      <c r="J1696" s="900"/>
      <c r="K1696" s="900"/>
      <c r="L1696" s="900"/>
      <c r="M1696" s="900"/>
      <c r="N1696" s="900"/>
      <c r="O1696" s="900"/>
      <c r="P1696" s="900"/>
    </row>
    <row r="1697" spans="3:16" ht="14.25">
      <c r="C1697" s="900"/>
      <c r="D1697" s="900"/>
      <c r="E1697" s="900"/>
      <c r="F1697" s="900"/>
      <c r="G1697" s="900"/>
      <c r="H1697" s="900"/>
      <c r="I1697" s="900"/>
      <c r="J1697" s="900"/>
      <c r="K1697" s="900"/>
      <c r="L1697" s="900"/>
      <c r="M1697" s="900"/>
      <c r="N1697" s="900"/>
      <c r="O1697" s="900"/>
      <c r="P1697" s="900"/>
    </row>
    <row r="1698" spans="3:16" ht="14.25">
      <c r="C1698" s="900"/>
      <c r="D1698" s="900"/>
      <c r="E1698" s="900"/>
      <c r="F1698" s="900"/>
      <c r="G1698" s="900"/>
      <c r="H1698" s="900"/>
      <c r="I1698" s="900"/>
      <c r="J1698" s="900"/>
      <c r="K1698" s="900"/>
      <c r="L1698" s="900"/>
      <c r="M1698" s="900"/>
      <c r="N1698" s="900"/>
      <c r="O1698" s="900"/>
      <c r="P1698" s="900"/>
    </row>
    <row r="1699" spans="3:16" ht="14.25">
      <c r="C1699" s="900"/>
      <c r="D1699" s="900"/>
      <c r="E1699" s="900"/>
      <c r="F1699" s="900"/>
      <c r="G1699" s="900"/>
      <c r="H1699" s="900"/>
      <c r="I1699" s="900"/>
      <c r="J1699" s="900"/>
      <c r="K1699" s="900"/>
      <c r="L1699" s="900"/>
      <c r="M1699" s="900"/>
      <c r="N1699" s="900"/>
      <c r="O1699" s="900"/>
      <c r="P1699" s="900"/>
    </row>
    <row r="1700" spans="3:16" ht="14.25">
      <c r="C1700" s="900"/>
      <c r="D1700" s="900"/>
      <c r="E1700" s="900"/>
      <c r="F1700" s="900"/>
      <c r="G1700" s="900"/>
      <c r="H1700" s="900"/>
      <c r="I1700" s="900"/>
      <c r="J1700" s="900"/>
      <c r="K1700" s="900"/>
      <c r="L1700" s="900"/>
      <c r="M1700" s="900"/>
      <c r="N1700" s="900"/>
      <c r="O1700" s="900"/>
      <c r="P1700" s="900"/>
    </row>
    <row r="1701" spans="3:16" ht="14.25">
      <c r="C1701" s="900"/>
      <c r="D1701" s="900"/>
      <c r="E1701" s="900"/>
      <c r="F1701" s="900"/>
      <c r="G1701" s="900"/>
      <c r="H1701" s="900"/>
      <c r="I1701" s="900"/>
      <c r="J1701" s="900"/>
      <c r="K1701" s="900"/>
      <c r="L1701" s="900"/>
      <c r="M1701" s="900"/>
      <c r="N1701" s="900"/>
      <c r="O1701" s="900"/>
      <c r="P1701" s="900"/>
    </row>
    <row r="1702" spans="3:16" ht="14.25">
      <c r="C1702" s="900"/>
      <c r="D1702" s="900"/>
      <c r="E1702" s="900"/>
      <c r="F1702" s="900"/>
      <c r="G1702" s="900"/>
      <c r="H1702" s="900"/>
      <c r="I1702" s="900"/>
      <c r="J1702" s="900"/>
      <c r="K1702" s="900"/>
      <c r="L1702" s="900"/>
      <c r="M1702" s="900"/>
      <c r="N1702" s="900"/>
      <c r="O1702" s="900"/>
      <c r="P1702" s="900"/>
    </row>
    <row r="1703" spans="3:16" ht="14.25">
      <c r="C1703" s="900"/>
      <c r="D1703" s="900"/>
      <c r="E1703" s="900"/>
      <c r="F1703" s="900"/>
      <c r="G1703" s="900"/>
      <c r="H1703" s="900"/>
      <c r="I1703" s="900"/>
      <c r="J1703" s="900"/>
      <c r="K1703" s="900"/>
      <c r="L1703" s="900"/>
      <c r="M1703" s="900"/>
      <c r="N1703" s="900"/>
      <c r="O1703" s="900"/>
      <c r="P1703" s="900"/>
    </row>
    <row r="1704" spans="3:16" ht="14.25">
      <c r="C1704" s="900"/>
      <c r="D1704" s="900"/>
      <c r="E1704" s="900"/>
      <c r="F1704" s="900"/>
      <c r="G1704" s="900"/>
      <c r="H1704" s="900"/>
      <c r="I1704" s="900"/>
      <c r="J1704" s="900"/>
      <c r="K1704" s="900"/>
      <c r="L1704" s="900"/>
      <c r="M1704" s="900"/>
      <c r="N1704" s="900"/>
      <c r="O1704" s="900"/>
      <c r="P1704" s="900"/>
    </row>
    <row r="1705" spans="3:16" ht="14.25">
      <c r="C1705" s="900"/>
      <c r="D1705" s="900"/>
      <c r="E1705" s="900"/>
      <c r="F1705" s="900"/>
      <c r="G1705" s="900"/>
      <c r="H1705" s="900"/>
      <c r="I1705" s="900"/>
      <c r="J1705" s="900"/>
      <c r="K1705" s="900"/>
      <c r="L1705" s="900"/>
      <c r="M1705" s="900"/>
      <c r="N1705" s="900"/>
      <c r="O1705" s="900"/>
      <c r="P1705" s="900"/>
    </row>
    <row r="1706" spans="3:16" ht="14.25">
      <c r="C1706" s="900"/>
      <c r="D1706" s="900"/>
      <c r="E1706" s="900"/>
      <c r="F1706" s="900"/>
      <c r="G1706" s="900"/>
      <c r="H1706" s="900"/>
      <c r="I1706" s="900"/>
      <c r="J1706" s="900"/>
      <c r="K1706" s="900"/>
      <c r="L1706" s="900"/>
      <c r="M1706" s="900"/>
      <c r="N1706" s="900"/>
      <c r="O1706" s="900"/>
      <c r="P1706" s="900"/>
    </row>
    <row r="1707" spans="3:16" ht="14.25">
      <c r="C1707" s="900"/>
      <c r="D1707" s="900"/>
      <c r="E1707" s="900"/>
      <c r="F1707" s="900"/>
      <c r="G1707" s="900"/>
      <c r="H1707" s="900"/>
      <c r="I1707" s="900"/>
      <c r="J1707" s="900"/>
      <c r="K1707" s="900"/>
      <c r="L1707" s="900"/>
      <c r="M1707" s="900"/>
      <c r="N1707" s="900"/>
      <c r="O1707" s="900"/>
      <c r="P1707" s="900"/>
    </row>
    <row r="1708" spans="3:16" ht="14.25">
      <c r="C1708" s="900"/>
      <c r="D1708" s="900"/>
      <c r="E1708" s="900"/>
      <c r="F1708" s="900"/>
      <c r="G1708" s="900"/>
      <c r="H1708" s="900"/>
      <c r="I1708" s="900"/>
      <c r="J1708" s="900"/>
      <c r="K1708" s="900"/>
      <c r="L1708" s="900"/>
      <c r="M1708" s="900"/>
      <c r="N1708" s="900"/>
      <c r="O1708" s="900"/>
      <c r="P1708" s="900"/>
    </row>
    <row r="1709" spans="3:16" ht="14.25">
      <c r="C1709" s="900"/>
      <c r="D1709" s="900"/>
      <c r="E1709" s="900"/>
      <c r="F1709" s="900"/>
      <c r="G1709" s="900"/>
      <c r="H1709" s="900"/>
      <c r="I1709" s="900"/>
      <c r="J1709" s="900"/>
      <c r="K1709" s="900"/>
      <c r="L1709" s="900"/>
      <c r="M1709" s="900"/>
      <c r="N1709" s="900"/>
      <c r="O1709" s="900"/>
      <c r="P1709" s="900"/>
    </row>
    <row r="1710" spans="3:16" ht="14.25">
      <c r="C1710" s="900"/>
      <c r="D1710" s="900"/>
      <c r="E1710" s="900"/>
      <c r="F1710" s="900"/>
      <c r="G1710" s="900"/>
      <c r="H1710" s="900"/>
      <c r="I1710" s="900"/>
      <c r="J1710" s="900"/>
      <c r="K1710" s="900"/>
      <c r="L1710" s="900"/>
      <c r="M1710" s="900"/>
      <c r="N1710" s="900"/>
      <c r="O1710" s="900"/>
      <c r="P1710" s="900"/>
    </row>
    <row r="1711" spans="3:16" ht="14.25">
      <c r="C1711" s="900"/>
      <c r="D1711" s="900"/>
      <c r="E1711" s="900"/>
      <c r="F1711" s="900"/>
      <c r="G1711" s="900"/>
      <c r="H1711" s="900"/>
      <c r="I1711" s="900"/>
      <c r="J1711" s="900"/>
      <c r="K1711" s="900"/>
      <c r="L1711" s="900"/>
      <c r="M1711" s="900"/>
      <c r="N1711" s="900"/>
      <c r="O1711" s="900"/>
      <c r="P1711" s="900"/>
    </row>
    <row r="1712" spans="3:16" ht="14.25">
      <c r="C1712" s="900"/>
      <c r="D1712" s="900"/>
      <c r="E1712" s="900"/>
      <c r="F1712" s="900"/>
      <c r="G1712" s="900"/>
      <c r="H1712" s="900"/>
      <c r="I1712" s="900"/>
      <c r="J1712" s="900"/>
      <c r="K1712" s="900"/>
      <c r="L1712" s="900"/>
      <c r="M1712" s="900"/>
      <c r="N1712" s="900"/>
      <c r="O1712" s="900"/>
      <c r="P1712" s="900"/>
    </row>
    <row r="1713" spans="3:16" ht="14.25">
      <c r="C1713" s="900"/>
      <c r="D1713" s="900"/>
      <c r="E1713" s="900"/>
      <c r="F1713" s="900"/>
      <c r="G1713" s="900"/>
      <c r="H1713" s="900"/>
      <c r="I1713" s="900"/>
      <c r="J1713" s="900"/>
      <c r="K1713" s="900"/>
      <c r="L1713" s="900"/>
      <c r="M1713" s="900"/>
      <c r="N1713" s="900"/>
      <c r="O1713" s="900"/>
      <c r="P1713" s="900"/>
    </row>
    <row r="1714" spans="3:16" ht="14.25">
      <c r="C1714" s="900"/>
      <c r="D1714" s="900"/>
      <c r="E1714" s="900"/>
      <c r="F1714" s="900"/>
      <c r="G1714" s="900"/>
      <c r="H1714" s="900"/>
      <c r="I1714" s="900"/>
      <c r="J1714" s="900"/>
      <c r="K1714" s="900"/>
      <c r="L1714" s="900"/>
      <c r="M1714" s="900"/>
      <c r="N1714" s="900"/>
      <c r="O1714" s="900"/>
      <c r="P1714" s="900"/>
    </row>
    <row r="1715" spans="3:16" ht="14.25">
      <c r="C1715" s="900"/>
      <c r="D1715" s="900"/>
      <c r="E1715" s="900"/>
      <c r="F1715" s="900"/>
      <c r="G1715" s="900"/>
      <c r="H1715" s="900"/>
      <c r="I1715" s="900"/>
      <c r="J1715" s="900"/>
      <c r="K1715" s="900"/>
      <c r="L1715" s="900"/>
      <c r="M1715" s="900"/>
      <c r="N1715" s="900"/>
      <c r="O1715" s="900"/>
      <c r="P1715" s="900"/>
    </row>
    <row r="1716" spans="3:16" ht="14.25">
      <c r="C1716" s="900"/>
      <c r="D1716" s="900"/>
      <c r="E1716" s="900"/>
      <c r="F1716" s="900"/>
      <c r="G1716" s="900"/>
      <c r="H1716" s="900"/>
      <c r="I1716" s="900"/>
      <c r="J1716" s="900"/>
      <c r="K1716" s="900"/>
      <c r="L1716" s="900"/>
      <c r="M1716" s="900"/>
      <c r="N1716" s="900"/>
      <c r="O1716" s="900"/>
      <c r="P1716" s="900"/>
    </row>
    <row r="1717" spans="3:16" ht="14.25">
      <c r="C1717" s="900"/>
      <c r="D1717" s="900"/>
      <c r="E1717" s="900"/>
      <c r="F1717" s="900"/>
      <c r="G1717" s="900"/>
      <c r="H1717" s="900"/>
      <c r="I1717" s="900"/>
      <c r="J1717" s="900"/>
      <c r="K1717" s="900"/>
      <c r="L1717" s="900"/>
      <c r="M1717" s="900"/>
      <c r="N1717" s="900"/>
      <c r="O1717" s="900"/>
      <c r="P1717" s="900"/>
    </row>
    <row r="1718" spans="3:16" ht="14.25">
      <c r="C1718" s="900"/>
      <c r="D1718" s="900"/>
      <c r="E1718" s="900"/>
      <c r="F1718" s="900"/>
      <c r="G1718" s="900"/>
      <c r="H1718" s="900"/>
      <c r="I1718" s="900"/>
      <c r="J1718" s="900"/>
      <c r="K1718" s="900"/>
      <c r="L1718" s="900"/>
      <c r="M1718" s="900"/>
      <c r="N1718" s="900"/>
      <c r="O1718" s="900"/>
      <c r="P1718" s="900"/>
    </row>
    <row r="1719" spans="3:16" ht="14.25">
      <c r="C1719" s="900"/>
      <c r="D1719" s="900"/>
      <c r="E1719" s="900"/>
      <c r="F1719" s="900"/>
      <c r="G1719" s="900"/>
      <c r="H1719" s="900"/>
      <c r="I1719" s="900"/>
      <c r="J1719" s="900"/>
      <c r="K1719" s="900"/>
      <c r="L1719" s="900"/>
      <c r="M1719" s="900"/>
      <c r="N1719" s="900"/>
      <c r="O1719" s="900"/>
      <c r="P1719" s="900"/>
    </row>
    <row r="1720" spans="3:16" ht="14.25">
      <c r="C1720" s="900"/>
      <c r="D1720" s="900"/>
      <c r="E1720" s="900"/>
      <c r="F1720" s="900"/>
      <c r="G1720" s="900"/>
      <c r="H1720" s="900"/>
      <c r="I1720" s="900"/>
      <c r="J1720" s="900"/>
      <c r="K1720" s="900"/>
      <c r="L1720" s="900"/>
      <c r="M1720" s="900"/>
      <c r="N1720" s="900"/>
      <c r="O1720" s="900"/>
      <c r="P1720" s="900"/>
    </row>
    <row r="1721" spans="3:16" ht="14.25">
      <c r="C1721" s="900"/>
      <c r="D1721" s="900"/>
      <c r="E1721" s="900"/>
      <c r="F1721" s="900"/>
      <c r="G1721" s="900"/>
      <c r="H1721" s="900"/>
      <c r="I1721" s="900"/>
      <c r="J1721" s="900"/>
      <c r="K1721" s="900"/>
      <c r="L1721" s="900"/>
      <c r="M1721" s="900"/>
      <c r="N1721" s="900"/>
      <c r="O1721" s="900"/>
      <c r="P1721" s="900"/>
    </row>
    <row r="1722" spans="3:16" ht="14.25">
      <c r="C1722" s="900"/>
      <c r="D1722" s="900"/>
      <c r="E1722" s="900"/>
      <c r="F1722" s="900"/>
      <c r="G1722" s="900"/>
      <c r="H1722" s="900"/>
      <c r="I1722" s="900"/>
      <c r="J1722" s="900"/>
      <c r="K1722" s="900"/>
      <c r="L1722" s="900"/>
      <c r="M1722" s="900"/>
      <c r="N1722" s="900"/>
      <c r="O1722" s="900"/>
      <c r="P1722" s="900"/>
    </row>
    <row r="1723" spans="3:16" ht="14.25">
      <c r="C1723" s="900"/>
      <c r="D1723" s="900"/>
      <c r="E1723" s="900"/>
      <c r="F1723" s="900"/>
      <c r="G1723" s="900"/>
      <c r="H1723" s="900"/>
      <c r="I1723" s="900"/>
      <c r="J1723" s="900"/>
      <c r="K1723" s="900"/>
      <c r="L1723" s="900"/>
      <c r="M1723" s="900"/>
      <c r="N1723" s="900"/>
      <c r="O1723" s="900"/>
      <c r="P1723" s="900"/>
    </row>
    <row r="1724" spans="3:16" ht="14.25">
      <c r="C1724" s="900"/>
      <c r="D1724" s="900"/>
      <c r="E1724" s="900"/>
      <c r="F1724" s="900"/>
      <c r="G1724" s="900"/>
      <c r="H1724" s="900"/>
      <c r="I1724" s="900"/>
      <c r="J1724" s="900"/>
      <c r="K1724" s="900"/>
      <c r="L1724" s="900"/>
      <c r="M1724" s="900"/>
      <c r="N1724" s="900"/>
      <c r="O1724" s="900"/>
      <c r="P1724" s="900"/>
    </row>
    <row r="1725" spans="3:16" ht="14.25">
      <c r="C1725" s="900"/>
      <c r="D1725" s="900"/>
      <c r="E1725" s="900"/>
      <c r="F1725" s="900"/>
      <c r="G1725" s="900"/>
      <c r="H1725" s="900"/>
      <c r="I1725" s="900"/>
      <c r="J1725" s="900"/>
      <c r="K1725" s="900"/>
      <c r="L1725" s="900"/>
      <c r="M1725" s="900"/>
      <c r="N1725" s="900"/>
      <c r="O1725" s="900"/>
      <c r="P1725" s="900"/>
    </row>
    <row r="1726" spans="3:16" ht="14.25">
      <c r="C1726" s="900"/>
      <c r="D1726" s="900"/>
      <c r="E1726" s="900"/>
      <c r="F1726" s="900"/>
      <c r="G1726" s="900"/>
      <c r="H1726" s="900"/>
      <c r="I1726" s="900"/>
      <c r="J1726" s="900"/>
      <c r="K1726" s="900"/>
      <c r="L1726" s="900"/>
      <c r="M1726" s="900"/>
      <c r="N1726" s="900"/>
      <c r="O1726" s="900"/>
      <c r="P1726" s="900"/>
    </row>
    <row r="1727" spans="3:16" ht="14.25">
      <c r="C1727" s="900"/>
      <c r="D1727" s="900"/>
      <c r="E1727" s="900"/>
      <c r="F1727" s="900"/>
      <c r="G1727" s="900"/>
      <c r="H1727" s="900"/>
      <c r="I1727" s="900"/>
      <c r="J1727" s="900"/>
      <c r="K1727" s="900"/>
      <c r="L1727" s="900"/>
      <c r="M1727" s="900"/>
      <c r="N1727" s="900"/>
      <c r="O1727" s="900"/>
      <c r="P1727" s="900"/>
    </row>
    <row r="1728" spans="3:16" ht="14.25">
      <c r="C1728" s="900"/>
      <c r="D1728" s="900"/>
      <c r="E1728" s="900"/>
      <c r="F1728" s="900"/>
      <c r="G1728" s="900"/>
      <c r="H1728" s="900"/>
      <c r="I1728" s="900"/>
      <c r="J1728" s="900"/>
      <c r="K1728" s="900"/>
      <c r="L1728" s="900"/>
      <c r="M1728" s="900"/>
      <c r="N1728" s="900"/>
      <c r="O1728" s="900"/>
      <c r="P1728" s="900"/>
    </row>
    <row r="1729" spans="3:16" ht="14.25">
      <c r="C1729" s="900"/>
      <c r="D1729" s="900"/>
      <c r="E1729" s="900"/>
      <c r="F1729" s="900"/>
      <c r="G1729" s="900"/>
      <c r="H1729" s="900"/>
      <c r="I1729" s="900"/>
      <c r="J1729" s="900"/>
      <c r="K1729" s="900"/>
      <c r="L1729" s="900"/>
      <c r="M1729" s="900"/>
      <c r="N1729" s="900"/>
      <c r="O1729" s="900"/>
      <c r="P1729" s="900"/>
    </row>
    <row r="1730" spans="3:16" ht="14.25">
      <c r="C1730" s="900"/>
      <c r="D1730" s="900"/>
      <c r="E1730" s="900"/>
      <c r="F1730" s="900"/>
      <c r="G1730" s="900"/>
      <c r="H1730" s="900"/>
      <c r="I1730" s="900"/>
      <c r="J1730" s="900"/>
      <c r="K1730" s="900"/>
      <c r="L1730" s="900"/>
      <c r="M1730" s="900"/>
      <c r="N1730" s="900"/>
      <c r="O1730" s="900"/>
      <c r="P1730" s="900"/>
    </row>
    <row r="1731" spans="3:16" ht="14.25">
      <c r="C1731" s="900"/>
      <c r="D1731" s="900"/>
      <c r="E1731" s="900"/>
      <c r="F1731" s="900"/>
      <c r="G1731" s="900"/>
      <c r="H1731" s="900"/>
      <c r="I1731" s="900"/>
      <c r="J1731" s="900"/>
      <c r="K1731" s="900"/>
      <c r="L1731" s="900"/>
      <c r="M1731" s="900"/>
      <c r="N1731" s="900"/>
      <c r="O1731" s="900"/>
      <c r="P1731" s="900"/>
    </row>
    <row r="1732" spans="3:16" ht="14.25">
      <c r="C1732" s="900"/>
      <c r="D1732" s="900"/>
      <c r="E1732" s="900"/>
      <c r="F1732" s="900"/>
      <c r="G1732" s="900"/>
      <c r="H1732" s="900"/>
      <c r="I1732" s="900"/>
      <c r="J1732" s="900"/>
      <c r="K1732" s="900"/>
      <c r="L1732" s="900"/>
      <c r="M1732" s="900"/>
      <c r="N1732" s="900"/>
      <c r="O1732" s="900"/>
      <c r="P1732" s="900"/>
    </row>
    <row r="1733" spans="3:16" ht="14.25">
      <c r="C1733" s="900"/>
      <c r="D1733" s="900"/>
      <c r="E1733" s="900"/>
      <c r="F1733" s="900"/>
      <c r="G1733" s="900"/>
      <c r="H1733" s="900"/>
      <c r="I1733" s="900"/>
      <c r="J1733" s="900"/>
      <c r="K1733" s="900"/>
      <c r="L1733" s="900"/>
      <c r="M1733" s="900"/>
      <c r="N1733" s="900"/>
      <c r="O1733" s="900"/>
      <c r="P1733" s="900"/>
    </row>
    <row r="1734" spans="3:16" ht="14.25">
      <c r="C1734" s="900"/>
      <c r="D1734" s="900"/>
      <c r="E1734" s="900"/>
      <c r="F1734" s="900"/>
      <c r="G1734" s="900"/>
      <c r="H1734" s="900"/>
      <c r="I1734" s="900"/>
      <c r="J1734" s="900"/>
      <c r="K1734" s="900"/>
      <c r="L1734" s="900"/>
      <c r="M1734" s="900"/>
      <c r="N1734" s="900"/>
      <c r="O1734" s="900"/>
      <c r="P1734" s="900"/>
    </row>
    <row r="1735" spans="3:16" ht="14.25">
      <c r="C1735" s="900"/>
      <c r="D1735" s="900"/>
      <c r="E1735" s="900"/>
      <c r="F1735" s="900"/>
      <c r="G1735" s="900"/>
      <c r="H1735" s="900"/>
      <c r="I1735" s="900"/>
      <c r="J1735" s="900"/>
      <c r="K1735" s="900"/>
      <c r="L1735" s="900"/>
      <c r="M1735" s="900"/>
      <c r="N1735" s="900"/>
      <c r="O1735" s="900"/>
      <c r="P1735" s="900"/>
    </row>
    <row r="1736" spans="3:16" ht="14.25">
      <c r="C1736" s="900"/>
      <c r="D1736" s="900"/>
      <c r="E1736" s="900"/>
      <c r="F1736" s="900"/>
      <c r="G1736" s="900"/>
      <c r="H1736" s="900"/>
      <c r="I1736" s="900"/>
      <c r="J1736" s="900"/>
      <c r="K1736" s="900"/>
      <c r="L1736" s="900"/>
      <c r="M1736" s="900"/>
      <c r="N1736" s="900"/>
      <c r="O1736" s="900"/>
      <c r="P1736" s="900"/>
    </row>
    <row r="1737" spans="3:16" ht="14.25">
      <c r="C1737" s="900"/>
      <c r="D1737" s="900"/>
      <c r="E1737" s="900"/>
      <c r="F1737" s="900"/>
      <c r="G1737" s="900"/>
      <c r="H1737" s="900"/>
      <c r="I1737" s="900"/>
      <c r="J1737" s="900"/>
      <c r="K1737" s="900"/>
      <c r="L1737" s="900"/>
      <c r="M1737" s="900"/>
      <c r="N1737" s="900"/>
      <c r="O1737" s="900"/>
      <c r="P1737" s="900"/>
    </row>
    <row r="1738" spans="3:16" ht="14.25">
      <c r="C1738" s="900"/>
      <c r="D1738" s="900"/>
      <c r="E1738" s="900"/>
      <c r="F1738" s="900"/>
      <c r="G1738" s="900"/>
      <c r="H1738" s="900"/>
      <c r="I1738" s="900"/>
      <c r="J1738" s="900"/>
      <c r="K1738" s="900"/>
      <c r="L1738" s="900"/>
      <c r="M1738" s="900"/>
      <c r="N1738" s="900"/>
      <c r="O1738" s="900"/>
      <c r="P1738" s="900"/>
    </row>
    <row r="1739" spans="3:16" ht="14.25">
      <c r="C1739" s="900"/>
      <c r="D1739" s="900"/>
      <c r="E1739" s="900"/>
      <c r="F1739" s="900"/>
      <c r="G1739" s="900"/>
      <c r="H1739" s="900"/>
      <c r="I1739" s="900"/>
      <c r="J1739" s="900"/>
      <c r="K1739" s="900"/>
      <c r="L1739" s="900"/>
      <c r="M1739" s="900"/>
      <c r="N1739" s="900"/>
      <c r="O1739" s="900"/>
      <c r="P1739" s="900"/>
    </row>
    <row r="1740" spans="3:16" ht="14.25">
      <c r="C1740" s="900"/>
      <c r="D1740" s="900"/>
      <c r="E1740" s="900"/>
      <c r="F1740" s="900"/>
      <c r="G1740" s="900"/>
      <c r="H1740" s="900"/>
      <c r="I1740" s="900"/>
      <c r="J1740" s="900"/>
      <c r="K1740" s="900"/>
      <c r="L1740" s="900"/>
      <c r="M1740" s="900"/>
      <c r="N1740" s="900"/>
      <c r="O1740" s="900"/>
      <c r="P1740" s="900"/>
    </row>
    <row r="1741" spans="3:16" ht="14.25">
      <c r="C1741" s="900"/>
      <c r="D1741" s="900"/>
      <c r="E1741" s="900"/>
      <c r="F1741" s="900"/>
      <c r="G1741" s="900"/>
      <c r="H1741" s="900"/>
      <c r="I1741" s="900"/>
      <c r="J1741" s="900"/>
      <c r="K1741" s="900"/>
      <c r="L1741" s="900"/>
      <c r="M1741" s="900"/>
      <c r="N1741" s="900"/>
      <c r="O1741" s="900"/>
      <c r="P1741" s="900"/>
    </row>
    <row r="1742" spans="3:16" ht="14.25">
      <c r="C1742" s="900"/>
      <c r="D1742" s="900"/>
      <c r="E1742" s="900"/>
      <c r="F1742" s="900"/>
      <c r="G1742" s="900"/>
      <c r="H1742" s="900"/>
      <c r="I1742" s="900"/>
      <c r="J1742" s="900"/>
      <c r="K1742" s="900"/>
      <c r="L1742" s="900"/>
      <c r="M1742" s="900"/>
      <c r="N1742" s="900"/>
      <c r="O1742" s="900"/>
      <c r="P1742" s="900"/>
    </row>
    <row r="1743" spans="3:16" ht="14.25">
      <c r="C1743" s="900"/>
      <c r="D1743" s="900"/>
      <c r="E1743" s="900"/>
      <c r="F1743" s="900"/>
      <c r="G1743" s="900"/>
      <c r="H1743" s="900"/>
      <c r="I1743" s="900"/>
      <c r="J1743" s="900"/>
      <c r="K1743" s="900"/>
      <c r="L1743" s="900"/>
      <c r="M1743" s="900"/>
      <c r="N1743" s="900"/>
      <c r="O1743" s="900"/>
      <c r="P1743" s="900"/>
    </row>
    <row r="1744" spans="3:16" ht="14.25">
      <c r="C1744" s="900"/>
      <c r="D1744" s="900"/>
      <c r="E1744" s="900"/>
      <c r="F1744" s="900"/>
      <c r="G1744" s="900"/>
      <c r="H1744" s="900"/>
      <c r="I1744" s="900"/>
      <c r="J1744" s="900"/>
      <c r="K1744" s="900"/>
      <c r="L1744" s="900"/>
      <c r="M1744" s="900"/>
      <c r="N1744" s="900"/>
      <c r="O1744" s="900"/>
      <c r="P1744" s="900"/>
    </row>
    <row r="1745" spans="3:16" ht="14.25">
      <c r="C1745" s="900"/>
      <c r="D1745" s="900"/>
      <c r="E1745" s="900"/>
      <c r="F1745" s="900"/>
      <c r="G1745" s="900"/>
      <c r="H1745" s="900"/>
      <c r="I1745" s="900"/>
      <c r="J1745" s="900"/>
      <c r="K1745" s="900"/>
      <c r="L1745" s="900"/>
      <c r="M1745" s="900"/>
      <c r="N1745" s="900"/>
      <c r="O1745" s="900"/>
      <c r="P1745" s="900"/>
    </row>
    <row r="1746" spans="3:16" ht="14.25">
      <c r="C1746" s="900"/>
      <c r="D1746" s="900"/>
      <c r="E1746" s="900"/>
      <c r="F1746" s="900"/>
      <c r="G1746" s="900"/>
      <c r="H1746" s="900"/>
      <c r="I1746" s="900"/>
      <c r="J1746" s="900"/>
      <c r="K1746" s="900"/>
      <c r="L1746" s="900"/>
      <c r="M1746" s="900"/>
      <c r="N1746" s="900"/>
      <c r="O1746" s="900"/>
      <c r="P1746" s="900"/>
    </row>
    <row r="1747" spans="3:16" ht="14.25">
      <c r="C1747" s="900"/>
      <c r="D1747" s="900"/>
      <c r="E1747" s="900"/>
      <c r="F1747" s="900"/>
      <c r="G1747" s="900"/>
      <c r="H1747" s="900"/>
      <c r="I1747" s="900"/>
      <c r="J1747" s="900"/>
      <c r="K1747" s="900"/>
      <c r="L1747" s="900"/>
      <c r="M1747" s="900"/>
      <c r="N1747" s="900"/>
      <c r="O1747" s="900"/>
      <c r="P1747" s="900"/>
    </row>
    <row r="1748" spans="3:16" ht="14.25">
      <c r="C1748" s="900"/>
      <c r="D1748" s="900"/>
      <c r="E1748" s="900"/>
      <c r="F1748" s="900"/>
      <c r="G1748" s="900"/>
      <c r="H1748" s="900"/>
      <c r="I1748" s="900"/>
      <c r="J1748" s="900"/>
      <c r="K1748" s="900"/>
      <c r="L1748" s="900"/>
      <c r="M1748" s="900"/>
      <c r="N1748" s="900"/>
      <c r="O1748" s="900"/>
      <c r="P1748" s="900"/>
    </row>
    <row r="1749" spans="3:16" ht="14.25">
      <c r="C1749" s="900"/>
      <c r="D1749" s="900"/>
      <c r="E1749" s="900"/>
      <c r="F1749" s="900"/>
      <c r="G1749" s="900"/>
      <c r="H1749" s="900"/>
      <c r="I1749" s="900"/>
      <c r="J1749" s="900"/>
      <c r="K1749" s="900"/>
      <c r="L1749" s="900"/>
      <c r="M1749" s="900"/>
      <c r="N1749" s="900"/>
      <c r="O1749" s="900"/>
      <c r="P1749" s="900"/>
    </row>
    <row r="1750" spans="3:16" ht="14.25">
      <c r="C1750" s="900"/>
      <c r="D1750" s="900"/>
      <c r="E1750" s="900"/>
      <c r="F1750" s="900"/>
      <c r="G1750" s="900"/>
      <c r="H1750" s="900"/>
      <c r="I1750" s="900"/>
      <c r="J1750" s="900"/>
      <c r="K1750" s="900"/>
      <c r="L1750" s="900"/>
      <c r="M1750" s="900"/>
      <c r="N1750" s="900"/>
      <c r="O1750" s="900"/>
      <c r="P1750" s="900"/>
    </row>
    <row r="1751" spans="3:16" ht="14.25">
      <c r="C1751" s="900"/>
      <c r="D1751" s="900"/>
      <c r="E1751" s="900"/>
      <c r="F1751" s="900"/>
      <c r="G1751" s="900"/>
      <c r="H1751" s="900"/>
      <c r="I1751" s="900"/>
      <c r="J1751" s="900"/>
      <c r="K1751" s="900"/>
      <c r="L1751" s="900"/>
      <c r="M1751" s="900"/>
      <c r="N1751" s="900"/>
      <c r="O1751" s="900"/>
      <c r="P1751" s="900"/>
    </row>
    <row r="1752" spans="3:16" ht="14.25">
      <c r="C1752" s="900"/>
      <c r="D1752" s="900"/>
      <c r="E1752" s="900"/>
      <c r="F1752" s="900"/>
      <c r="G1752" s="900"/>
      <c r="H1752" s="900"/>
      <c r="I1752" s="900"/>
      <c r="J1752" s="900"/>
      <c r="K1752" s="900"/>
      <c r="L1752" s="900"/>
      <c r="M1752" s="900"/>
      <c r="N1752" s="900"/>
      <c r="O1752" s="900"/>
      <c r="P1752" s="900"/>
    </row>
    <row r="1753" spans="3:16" ht="14.25">
      <c r="C1753" s="900"/>
      <c r="D1753" s="900"/>
      <c r="E1753" s="900"/>
      <c r="F1753" s="900"/>
      <c r="G1753" s="900"/>
      <c r="H1753" s="900"/>
      <c r="I1753" s="900"/>
      <c r="J1753" s="900"/>
      <c r="K1753" s="900"/>
      <c r="L1753" s="900"/>
      <c r="M1753" s="900"/>
      <c r="N1753" s="900"/>
      <c r="O1753" s="900"/>
      <c r="P1753" s="900"/>
    </row>
    <row r="1754" spans="3:16" ht="14.25">
      <c r="C1754" s="900"/>
      <c r="D1754" s="900"/>
      <c r="E1754" s="900"/>
      <c r="F1754" s="900"/>
      <c r="G1754" s="900"/>
      <c r="H1754" s="900"/>
      <c r="I1754" s="900"/>
      <c r="J1754" s="900"/>
      <c r="K1754" s="900"/>
      <c r="L1754" s="900"/>
      <c r="M1754" s="900"/>
      <c r="N1754" s="900"/>
      <c r="O1754" s="900"/>
      <c r="P1754" s="900"/>
    </row>
    <row r="1755" spans="3:16" ht="14.25">
      <c r="C1755" s="900"/>
      <c r="D1755" s="900"/>
      <c r="E1755" s="900"/>
      <c r="F1755" s="900"/>
      <c r="G1755" s="900"/>
      <c r="H1755" s="900"/>
      <c r="I1755" s="900"/>
      <c r="J1755" s="900"/>
      <c r="K1755" s="900"/>
      <c r="L1755" s="900"/>
      <c r="M1755" s="900"/>
      <c r="N1755" s="900"/>
      <c r="O1755" s="900"/>
      <c r="P1755" s="900"/>
    </row>
    <row r="1756" spans="3:16" ht="14.25">
      <c r="C1756" s="900"/>
      <c r="D1756" s="900"/>
      <c r="E1756" s="900"/>
      <c r="F1756" s="900"/>
      <c r="G1756" s="900"/>
      <c r="H1756" s="900"/>
      <c r="I1756" s="900"/>
      <c r="J1756" s="900"/>
      <c r="K1756" s="900"/>
      <c r="L1756" s="900"/>
      <c r="M1756" s="900"/>
      <c r="N1756" s="900"/>
      <c r="O1756" s="900"/>
      <c r="P1756" s="900"/>
    </row>
    <row r="1757" spans="3:16" ht="14.25">
      <c r="C1757" s="900"/>
      <c r="D1757" s="900"/>
      <c r="E1757" s="900"/>
      <c r="F1757" s="900"/>
      <c r="G1757" s="900"/>
      <c r="H1757" s="900"/>
      <c r="I1757" s="900"/>
      <c r="J1757" s="900"/>
      <c r="K1757" s="900"/>
      <c r="L1757" s="900"/>
      <c r="M1757" s="900"/>
      <c r="N1757" s="900"/>
      <c r="O1757" s="900"/>
      <c r="P1757" s="900"/>
    </row>
    <row r="1758" spans="3:16" ht="14.25">
      <c r="C1758" s="900"/>
      <c r="D1758" s="900"/>
      <c r="E1758" s="900"/>
      <c r="F1758" s="900"/>
      <c r="G1758" s="900"/>
      <c r="H1758" s="900"/>
      <c r="I1758" s="900"/>
      <c r="J1758" s="900"/>
      <c r="K1758" s="900"/>
      <c r="L1758" s="900"/>
      <c r="M1758" s="900"/>
      <c r="N1758" s="900"/>
      <c r="O1758" s="900"/>
      <c r="P1758" s="900"/>
    </row>
    <row r="1759" spans="3:16" ht="14.25">
      <c r="C1759" s="900"/>
      <c r="D1759" s="900"/>
      <c r="E1759" s="900"/>
      <c r="F1759" s="900"/>
      <c r="G1759" s="900"/>
      <c r="H1759" s="900"/>
      <c r="I1759" s="900"/>
      <c r="J1759" s="900"/>
      <c r="K1759" s="900"/>
      <c r="L1759" s="900"/>
      <c r="M1759" s="900"/>
      <c r="N1759" s="900"/>
      <c r="O1759" s="900"/>
      <c r="P1759" s="900"/>
    </row>
    <row r="1760" spans="3:16" ht="14.25">
      <c r="C1760" s="900"/>
      <c r="D1760" s="900"/>
      <c r="E1760" s="900"/>
      <c r="F1760" s="900"/>
      <c r="G1760" s="900"/>
      <c r="H1760" s="900"/>
      <c r="I1760" s="900"/>
      <c r="J1760" s="900"/>
      <c r="K1760" s="900"/>
      <c r="L1760" s="900"/>
      <c r="M1760" s="900"/>
      <c r="N1760" s="900"/>
      <c r="O1760" s="900"/>
      <c r="P1760" s="900"/>
    </row>
    <row r="1761" spans="3:16" ht="14.25">
      <c r="C1761" s="900"/>
      <c r="D1761" s="900"/>
      <c r="E1761" s="900"/>
      <c r="F1761" s="900"/>
      <c r="G1761" s="900"/>
      <c r="H1761" s="900"/>
      <c r="I1761" s="900"/>
      <c r="J1761" s="900"/>
      <c r="K1761" s="900"/>
      <c r="L1761" s="900"/>
      <c r="M1761" s="900"/>
      <c r="N1761" s="900"/>
      <c r="O1761" s="900"/>
      <c r="P1761" s="900"/>
    </row>
    <row r="1762" spans="3:16" ht="14.25">
      <c r="C1762" s="900"/>
      <c r="D1762" s="900"/>
      <c r="E1762" s="900"/>
      <c r="F1762" s="900"/>
      <c r="G1762" s="900"/>
      <c r="H1762" s="900"/>
      <c r="I1762" s="900"/>
      <c r="J1762" s="900"/>
      <c r="K1762" s="900"/>
      <c r="L1762" s="900"/>
      <c r="M1762" s="900"/>
      <c r="N1762" s="900"/>
      <c r="O1762" s="900"/>
      <c r="P1762" s="900"/>
    </row>
    <row r="1763" spans="3:16" ht="14.25">
      <c r="C1763" s="900"/>
      <c r="D1763" s="900"/>
      <c r="E1763" s="900"/>
      <c r="F1763" s="900"/>
      <c r="G1763" s="900"/>
      <c r="H1763" s="900"/>
      <c r="I1763" s="900"/>
      <c r="J1763" s="900"/>
      <c r="K1763" s="900"/>
      <c r="L1763" s="900"/>
      <c r="M1763" s="900"/>
      <c r="N1763" s="900"/>
      <c r="O1763" s="900"/>
      <c r="P1763" s="900"/>
    </row>
    <row r="1764" spans="3:16" ht="14.25">
      <c r="C1764" s="900"/>
      <c r="D1764" s="900"/>
      <c r="E1764" s="900"/>
      <c r="F1764" s="900"/>
      <c r="G1764" s="900"/>
      <c r="H1764" s="900"/>
      <c r="I1764" s="900"/>
      <c r="J1764" s="900"/>
      <c r="K1764" s="900"/>
      <c r="L1764" s="900"/>
      <c r="M1764" s="900"/>
      <c r="N1764" s="900"/>
      <c r="O1764" s="900"/>
      <c r="P1764" s="900"/>
    </row>
    <row r="1765" spans="3:16" ht="14.25">
      <c r="C1765" s="900"/>
      <c r="D1765" s="900"/>
      <c r="E1765" s="900"/>
      <c r="F1765" s="900"/>
      <c r="G1765" s="900"/>
      <c r="H1765" s="900"/>
      <c r="I1765" s="900"/>
      <c r="J1765" s="900"/>
      <c r="K1765" s="900"/>
      <c r="L1765" s="900"/>
      <c r="M1765" s="900"/>
      <c r="N1765" s="900"/>
      <c r="O1765" s="900"/>
      <c r="P1765" s="900"/>
    </row>
    <row r="1766" spans="3:16" ht="14.25">
      <c r="C1766" s="900"/>
      <c r="D1766" s="900"/>
      <c r="E1766" s="900"/>
      <c r="F1766" s="900"/>
      <c r="G1766" s="900"/>
      <c r="H1766" s="900"/>
      <c r="I1766" s="900"/>
      <c r="J1766" s="900"/>
      <c r="K1766" s="900"/>
      <c r="L1766" s="900"/>
      <c r="M1766" s="900"/>
      <c r="N1766" s="900"/>
      <c r="O1766" s="900"/>
      <c r="P1766" s="900"/>
    </row>
    <row r="1767" spans="3:16" ht="14.25">
      <c r="C1767" s="900"/>
      <c r="D1767" s="900"/>
      <c r="E1767" s="900"/>
      <c r="F1767" s="900"/>
      <c r="G1767" s="900"/>
      <c r="H1767" s="900"/>
      <c r="I1767" s="900"/>
      <c r="J1767" s="900"/>
      <c r="K1767" s="900"/>
      <c r="L1767" s="900"/>
      <c r="M1767" s="900"/>
      <c r="N1767" s="900"/>
      <c r="O1767" s="900"/>
      <c r="P1767" s="900"/>
    </row>
    <row r="1768" spans="3:16" ht="14.25">
      <c r="C1768" s="900"/>
      <c r="D1768" s="900"/>
      <c r="E1768" s="900"/>
      <c r="F1768" s="900"/>
      <c r="G1768" s="900"/>
      <c r="H1768" s="900"/>
      <c r="I1768" s="900"/>
      <c r="J1768" s="900"/>
      <c r="K1768" s="900"/>
      <c r="L1768" s="900"/>
      <c r="M1768" s="900"/>
      <c r="N1768" s="900"/>
      <c r="O1768" s="900"/>
      <c r="P1768" s="900"/>
    </row>
    <row r="1769" spans="3:16" ht="14.25">
      <c r="C1769" s="900"/>
      <c r="D1769" s="900"/>
      <c r="E1769" s="900"/>
      <c r="F1769" s="900"/>
      <c r="G1769" s="900"/>
      <c r="H1769" s="900"/>
      <c r="I1769" s="900"/>
      <c r="J1769" s="900"/>
      <c r="K1769" s="900"/>
      <c r="L1769" s="900"/>
      <c r="M1769" s="900"/>
      <c r="N1769" s="900"/>
      <c r="O1769" s="900"/>
      <c r="P1769" s="900"/>
    </row>
    <row r="1770" spans="3:16" ht="14.25">
      <c r="C1770" s="900"/>
      <c r="D1770" s="900"/>
      <c r="E1770" s="900"/>
      <c r="F1770" s="900"/>
      <c r="G1770" s="900"/>
      <c r="H1770" s="900"/>
      <c r="I1770" s="900"/>
      <c r="J1770" s="900"/>
      <c r="K1770" s="900"/>
      <c r="L1770" s="900"/>
      <c r="M1770" s="900"/>
      <c r="N1770" s="900"/>
      <c r="O1770" s="900"/>
      <c r="P1770" s="900"/>
    </row>
    <row r="1771" spans="3:16" ht="14.25">
      <c r="C1771" s="900"/>
      <c r="D1771" s="900"/>
      <c r="E1771" s="900"/>
      <c r="F1771" s="900"/>
      <c r="G1771" s="900"/>
      <c r="H1771" s="900"/>
      <c r="I1771" s="900"/>
      <c r="J1771" s="900"/>
      <c r="K1771" s="900"/>
      <c r="L1771" s="900"/>
      <c r="M1771" s="900"/>
      <c r="N1771" s="900"/>
      <c r="O1771" s="900"/>
      <c r="P1771" s="900"/>
    </row>
    <row r="1772" spans="3:16" ht="14.25">
      <c r="C1772" s="900"/>
      <c r="D1772" s="900"/>
      <c r="E1772" s="900"/>
      <c r="F1772" s="900"/>
      <c r="G1772" s="900"/>
      <c r="H1772" s="900"/>
      <c r="I1772" s="900"/>
      <c r="J1772" s="900"/>
      <c r="K1772" s="900"/>
      <c r="L1772" s="900"/>
      <c r="M1772" s="900"/>
      <c r="N1772" s="900"/>
      <c r="O1772" s="900"/>
      <c r="P1772" s="900"/>
    </row>
    <row r="1773" spans="3:16" ht="14.25">
      <c r="C1773" s="900"/>
      <c r="D1773" s="900"/>
      <c r="E1773" s="900"/>
      <c r="F1773" s="900"/>
      <c r="G1773" s="900"/>
      <c r="H1773" s="900"/>
      <c r="I1773" s="900"/>
      <c r="J1773" s="900"/>
      <c r="K1773" s="900"/>
      <c r="L1773" s="900"/>
      <c r="M1773" s="900"/>
      <c r="N1773" s="900"/>
      <c r="O1773" s="900"/>
      <c r="P1773" s="900"/>
    </row>
    <row r="1774" spans="3:16" ht="14.25">
      <c r="C1774" s="900"/>
      <c r="D1774" s="900"/>
      <c r="E1774" s="900"/>
      <c r="F1774" s="900"/>
      <c r="G1774" s="900"/>
      <c r="H1774" s="900"/>
      <c r="I1774" s="900"/>
      <c r="J1774" s="900"/>
      <c r="K1774" s="900"/>
      <c r="L1774" s="900"/>
      <c r="M1774" s="900"/>
      <c r="N1774" s="900"/>
      <c r="O1774" s="900"/>
      <c r="P1774" s="900"/>
    </row>
    <row r="1775" spans="3:16" ht="14.25">
      <c r="C1775" s="900"/>
      <c r="D1775" s="900"/>
      <c r="E1775" s="900"/>
      <c r="F1775" s="900"/>
      <c r="G1775" s="900"/>
      <c r="H1775" s="900"/>
      <c r="I1775" s="900"/>
      <c r="J1775" s="900"/>
      <c r="K1775" s="900"/>
      <c r="L1775" s="900"/>
      <c r="M1775" s="900"/>
      <c r="N1775" s="900"/>
      <c r="O1775" s="900"/>
      <c r="P1775" s="900"/>
    </row>
    <row r="1776" spans="3:16" ht="14.25">
      <c r="C1776" s="900"/>
      <c r="D1776" s="900"/>
      <c r="E1776" s="900"/>
      <c r="F1776" s="900"/>
      <c r="G1776" s="900"/>
      <c r="H1776" s="900"/>
      <c r="I1776" s="900"/>
      <c r="J1776" s="900"/>
      <c r="K1776" s="900"/>
      <c r="L1776" s="900"/>
      <c r="M1776" s="900"/>
      <c r="N1776" s="900"/>
      <c r="O1776" s="900"/>
      <c r="P1776" s="900"/>
    </row>
    <row r="1777" spans="3:16" ht="14.25">
      <c r="C1777" s="900"/>
      <c r="D1777" s="900"/>
      <c r="E1777" s="900"/>
      <c r="F1777" s="900"/>
      <c r="G1777" s="900"/>
      <c r="H1777" s="900"/>
      <c r="I1777" s="900"/>
      <c r="J1777" s="900"/>
      <c r="K1777" s="900"/>
      <c r="L1777" s="900"/>
      <c r="M1777" s="900"/>
      <c r="N1777" s="900"/>
      <c r="O1777" s="900"/>
      <c r="P1777" s="900"/>
    </row>
    <row r="1778" spans="3:16" ht="14.25">
      <c r="C1778" s="900"/>
      <c r="D1778" s="900"/>
      <c r="E1778" s="900"/>
      <c r="F1778" s="900"/>
      <c r="G1778" s="900"/>
      <c r="H1778" s="900"/>
      <c r="I1778" s="900"/>
      <c r="J1778" s="900"/>
      <c r="K1778" s="900"/>
      <c r="L1778" s="900"/>
      <c r="M1778" s="900"/>
      <c r="N1778" s="900"/>
      <c r="O1778" s="900"/>
      <c r="P1778" s="900"/>
    </row>
    <row r="1779" spans="3:16" ht="14.25">
      <c r="C1779" s="900"/>
      <c r="D1779" s="900"/>
      <c r="E1779" s="900"/>
      <c r="F1779" s="900"/>
      <c r="G1779" s="900"/>
      <c r="H1779" s="900"/>
      <c r="I1779" s="900"/>
      <c r="J1779" s="900"/>
      <c r="K1779" s="900"/>
      <c r="L1779" s="900"/>
      <c r="M1779" s="900"/>
      <c r="N1779" s="900"/>
      <c r="O1779" s="900"/>
      <c r="P1779" s="900"/>
    </row>
    <row r="1780" spans="3:16" ht="14.25">
      <c r="C1780" s="900"/>
      <c r="D1780" s="900"/>
      <c r="E1780" s="900"/>
      <c r="F1780" s="900"/>
      <c r="G1780" s="900"/>
      <c r="H1780" s="900"/>
      <c r="I1780" s="900"/>
      <c r="J1780" s="900"/>
      <c r="K1780" s="900"/>
      <c r="L1780" s="900"/>
      <c r="M1780" s="900"/>
      <c r="N1780" s="900"/>
      <c r="O1780" s="900"/>
      <c r="P1780" s="900"/>
    </row>
    <row r="1781" spans="3:16" ht="14.25">
      <c r="C1781" s="900"/>
      <c r="D1781" s="900"/>
      <c r="E1781" s="900"/>
      <c r="F1781" s="900"/>
      <c r="G1781" s="900"/>
      <c r="H1781" s="900"/>
      <c r="I1781" s="900"/>
      <c r="J1781" s="900"/>
      <c r="K1781" s="900"/>
      <c r="L1781" s="900"/>
      <c r="M1781" s="900"/>
      <c r="N1781" s="900"/>
      <c r="O1781" s="900"/>
      <c r="P1781" s="900"/>
    </row>
    <row r="1782" spans="3:16" ht="14.25">
      <c r="C1782" s="900"/>
      <c r="D1782" s="900"/>
      <c r="E1782" s="900"/>
      <c r="F1782" s="900"/>
      <c r="G1782" s="900"/>
      <c r="H1782" s="900"/>
      <c r="I1782" s="900"/>
      <c r="J1782" s="900"/>
      <c r="K1782" s="900"/>
      <c r="L1782" s="900"/>
      <c r="M1782" s="900"/>
      <c r="N1782" s="900"/>
      <c r="O1782" s="900"/>
      <c r="P1782" s="900"/>
    </row>
    <row r="1783" spans="3:16" ht="14.25">
      <c r="C1783" s="900"/>
      <c r="D1783" s="900"/>
      <c r="E1783" s="900"/>
      <c r="F1783" s="900"/>
      <c r="G1783" s="900"/>
      <c r="H1783" s="900"/>
      <c r="I1783" s="900"/>
      <c r="J1783" s="900"/>
      <c r="K1783" s="900"/>
      <c r="L1783" s="900"/>
      <c r="M1783" s="900"/>
      <c r="N1783" s="900"/>
      <c r="O1783" s="900"/>
      <c r="P1783" s="900"/>
    </row>
    <row r="1784" spans="3:16" ht="14.25">
      <c r="C1784" s="900"/>
      <c r="D1784" s="900"/>
      <c r="E1784" s="900"/>
      <c r="F1784" s="900"/>
      <c r="G1784" s="900"/>
      <c r="H1784" s="900"/>
      <c r="I1784" s="900"/>
      <c r="J1784" s="900"/>
      <c r="K1784" s="900"/>
      <c r="L1784" s="900"/>
      <c r="M1784" s="900"/>
      <c r="N1784" s="900"/>
      <c r="O1784" s="900"/>
      <c r="P1784" s="900"/>
    </row>
    <row r="1785" spans="3:16" ht="14.25">
      <c r="C1785" s="900"/>
      <c r="D1785" s="900"/>
      <c r="E1785" s="900"/>
      <c r="F1785" s="900"/>
      <c r="G1785" s="900"/>
      <c r="H1785" s="900"/>
      <c r="I1785" s="900"/>
      <c r="J1785" s="900"/>
      <c r="K1785" s="900"/>
      <c r="L1785" s="900"/>
      <c r="M1785" s="900"/>
      <c r="N1785" s="900"/>
      <c r="O1785" s="900"/>
      <c r="P1785" s="900"/>
    </row>
    <row r="1786" spans="3:16" ht="14.25">
      <c r="C1786" s="900"/>
      <c r="D1786" s="900"/>
      <c r="E1786" s="900"/>
      <c r="F1786" s="900"/>
      <c r="G1786" s="900"/>
      <c r="H1786" s="900"/>
      <c r="I1786" s="900"/>
      <c r="J1786" s="900"/>
      <c r="K1786" s="900"/>
      <c r="L1786" s="900"/>
      <c r="M1786" s="900"/>
      <c r="N1786" s="900"/>
      <c r="O1786" s="900"/>
      <c r="P1786" s="900"/>
    </row>
    <row r="1787" spans="3:16" ht="14.25">
      <c r="C1787" s="900"/>
      <c r="D1787" s="900"/>
      <c r="E1787" s="900"/>
      <c r="F1787" s="900"/>
      <c r="G1787" s="900"/>
      <c r="H1787" s="900"/>
      <c r="I1787" s="900"/>
      <c r="J1787" s="900"/>
      <c r="K1787" s="900"/>
      <c r="L1787" s="900"/>
      <c r="M1787" s="900"/>
      <c r="N1787" s="900"/>
      <c r="O1787" s="900"/>
      <c r="P1787" s="900"/>
    </row>
    <row r="1788" spans="3:16" ht="14.25">
      <c r="C1788" s="900"/>
      <c r="D1788" s="900"/>
      <c r="E1788" s="900"/>
      <c r="F1788" s="900"/>
      <c r="G1788" s="900"/>
      <c r="H1788" s="900"/>
      <c r="I1788" s="900"/>
      <c r="J1788" s="900"/>
      <c r="K1788" s="900"/>
      <c r="L1788" s="900"/>
      <c r="M1788" s="900"/>
      <c r="N1788" s="900"/>
      <c r="O1788" s="900"/>
      <c r="P1788" s="900"/>
    </row>
    <row r="1789" spans="3:16" ht="14.25">
      <c r="C1789" s="900"/>
      <c r="D1789" s="900"/>
      <c r="E1789" s="900"/>
      <c r="F1789" s="900"/>
      <c r="G1789" s="900"/>
      <c r="H1789" s="900"/>
      <c r="I1789" s="900"/>
      <c r="J1789" s="900"/>
      <c r="K1789" s="900"/>
      <c r="L1789" s="900"/>
      <c r="M1789" s="900"/>
      <c r="N1789" s="900"/>
      <c r="O1789" s="900"/>
      <c r="P1789" s="900"/>
    </row>
    <row r="1790" spans="3:16" ht="14.25">
      <c r="C1790" s="900"/>
      <c r="D1790" s="900"/>
      <c r="E1790" s="900"/>
      <c r="F1790" s="900"/>
      <c r="G1790" s="900"/>
      <c r="H1790" s="900"/>
      <c r="I1790" s="900"/>
      <c r="J1790" s="900"/>
      <c r="K1790" s="900"/>
      <c r="L1790" s="900"/>
      <c r="M1790" s="900"/>
      <c r="N1790" s="900"/>
      <c r="O1790" s="900"/>
      <c r="P1790" s="900"/>
    </row>
    <row r="1791" spans="3:16" ht="14.25">
      <c r="C1791" s="900"/>
      <c r="D1791" s="900"/>
      <c r="E1791" s="900"/>
      <c r="F1791" s="900"/>
      <c r="G1791" s="900"/>
      <c r="H1791" s="900"/>
      <c r="I1791" s="900"/>
      <c r="J1791" s="900"/>
      <c r="K1791" s="900"/>
      <c r="L1791" s="900"/>
      <c r="M1791" s="900"/>
      <c r="N1791" s="900"/>
      <c r="O1791" s="900"/>
      <c r="P1791" s="900"/>
    </row>
    <row r="1792" spans="3:16" ht="14.25">
      <c r="C1792" s="900"/>
      <c r="D1792" s="900"/>
      <c r="E1792" s="900"/>
      <c r="F1792" s="900"/>
      <c r="G1792" s="900"/>
      <c r="H1792" s="900"/>
      <c r="I1792" s="900"/>
      <c r="J1792" s="900"/>
      <c r="K1792" s="900"/>
      <c r="L1792" s="900"/>
      <c r="M1792" s="900"/>
      <c r="N1792" s="900"/>
      <c r="O1792" s="900"/>
      <c r="P1792" s="900"/>
    </row>
    <row r="1793" spans="3:16" ht="14.25">
      <c r="C1793" s="900"/>
      <c r="D1793" s="900"/>
      <c r="E1793" s="900"/>
      <c r="F1793" s="900"/>
      <c r="G1793" s="900"/>
      <c r="H1793" s="900"/>
      <c r="I1793" s="900"/>
      <c r="J1793" s="900"/>
      <c r="K1793" s="900"/>
      <c r="L1793" s="900"/>
      <c r="M1793" s="900"/>
      <c r="N1793" s="900"/>
      <c r="O1793" s="900"/>
      <c r="P1793" s="900"/>
    </row>
    <row r="1794" spans="3:16" ht="14.25">
      <c r="C1794" s="900"/>
      <c r="D1794" s="900"/>
      <c r="E1794" s="900"/>
      <c r="F1794" s="900"/>
      <c r="G1794" s="900"/>
      <c r="H1794" s="900"/>
      <c r="I1794" s="900"/>
      <c r="J1794" s="900"/>
      <c r="K1794" s="900"/>
      <c r="L1794" s="900"/>
      <c r="M1794" s="900"/>
      <c r="N1794" s="900"/>
      <c r="O1794" s="900"/>
      <c r="P1794" s="900"/>
    </row>
    <row r="1795" spans="3:16" ht="14.25">
      <c r="C1795" s="900"/>
      <c r="D1795" s="900"/>
      <c r="E1795" s="900"/>
      <c r="F1795" s="900"/>
      <c r="G1795" s="900"/>
      <c r="H1795" s="900"/>
      <c r="I1795" s="900"/>
      <c r="J1795" s="900"/>
      <c r="K1795" s="900"/>
      <c r="L1795" s="900"/>
      <c r="M1795" s="900"/>
      <c r="N1795" s="900"/>
      <c r="O1795" s="900"/>
      <c r="P1795" s="900"/>
    </row>
    <row r="1796" spans="3:16" ht="14.25">
      <c r="C1796" s="900"/>
      <c r="D1796" s="900"/>
      <c r="E1796" s="900"/>
      <c r="F1796" s="900"/>
      <c r="G1796" s="900"/>
      <c r="H1796" s="900"/>
      <c r="I1796" s="900"/>
      <c r="J1796" s="900"/>
      <c r="K1796" s="900"/>
      <c r="L1796" s="900"/>
      <c r="M1796" s="900"/>
      <c r="N1796" s="900"/>
      <c r="O1796" s="900"/>
      <c r="P1796" s="900"/>
    </row>
    <row r="1797" spans="3:16" ht="14.25">
      <c r="C1797" s="900"/>
      <c r="D1797" s="900"/>
      <c r="E1797" s="900"/>
      <c r="F1797" s="900"/>
      <c r="G1797" s="900"/>
      <c r="H1797" s="900"/>
      <c r="I1797" s="900"/>
      <c r="J1797" s="900"/>
      <c r="K1797" s="900"/>
      <c r="L1797" s="900"/>
      <c r="M1797" s="900"/>
      <c r="N1797" s="900"/>
      <c r="O1797" s="900"/>
      <c r="P1797" s="900"/>
    </row>
    <row r="1798" spans="3:16" ht="14.25">
      <c r="C1798" s="900"/>
      <c r="D1798" s="900"/>
      <c r="E1798" s="900"/>
      <c r="F1798" s="900"/>
      <c r="G1798" s="900"/>
      <c r="H1798" s="900"/>
      <c r="I1798" s="900"/>
      <c r="J1798" s="900"/>
      <c r="K1798" s="900"/>
      <c r="L1798" s="900"/>
      <c r="M1798" s="900"/>
      <c r="N1798" s="900"/>
      <c r="O1798" s="900"/>
      <c r="P1798" s="900"/>
    </row>
    <row r="1799" spans="3:16" ht="14.25">
      <c r="C1799" s="900"/>
      <c r="D1799" s="900"/>
      <c r="E1799" s="900"/>
      <c r="F1799" s="900"/>
      <c r="G1799" s="900"/>
      <c r="H1799" s="900"/>
      <c r="I1799" s="900"/>
      <c r="J1799" s="900"/>
      <c r="K1799" s="900"/>
      <c r="L1799" s="900"/>
      <c r="M1799" s="900"/>
      <c r="N1799" s="900"/>
      <c r="O1799" s="900"/>
      <c r="P1799" s="900"/>
    </row>
    <row r="1800" spans="3:16" ht="14.25">
      <c r="C1800" s="900"/>
      <c r="D1800" s="900"/>
      <c r="E1800" s="900"/>
      <c r="F1800" s="900"/>
      <c r="G1800" s="900"/>
      <c r="H1800" s="900"/>
      <c r="I1800" s="900"/>
      <c r="J1800" s="900"/>
      <c r="K1800" s="900"/>
      <c r="L1800" s="900"/>
      <c r="M1800" s="900"/>
      <c r="N1800" s="900"/>
      <c r="O1800" s="900"/>
      <c r="P1800" s="900"/>
    </row>
    <row r="1801" spans="3:16" ht="14.25">
      <c r="C1801" s="900"/>
      <c r="D1801" s="900"/>
      <c r="E1801" s="900"/>
      <c r="F1801" s="900"/>
      <c r="G1801" s="900"/>
      <c r="H1801" s="900"/>
      <c r="I1801" s="900"/>
      <c r="J1801" s="900"/>
      <c r="K1801" s="900"/>
      <c r="L1801" s="900"/>
      <c r="M1801" s="900"/>
      <c r="N1801" s="900"/>
      <c r="O1801" s="900"/>
      <c r="P1801" s="900"/>
    </row>
    <row r="1802" spans="3:16" ht="14.25">
      <c r="C1802" s="900"/>
      <c r="D1802" s="900"/>
      <c r="E1802" s="900"/>
      <c r="F1802" s="900"/>
      <c r="G1802" s="900"/>
      <c r="H1802" s="900"/>
      <c r="I1802" s="900"/>
      <c r="J1802" s="900"/>
      <c r="K1802" s="900"/>
      <c r="L1802" s="900"/>
      <c r="M1802" s="900"/>
      <c r="N1802" s="900"/>
      <c r="O1802" s="900"/>
      <c r="P1802" s="900"/>
    </row>
    <row r="1803" spans="3:16" ht="14.25">
      <c r="C1803" s="900"/>
      <c r="D1803" s="900"/>
      <c r="E1803" s="900"/>
      <c r="F1803" s="900"/>
      <c r="G1803" s="900"/>
      <c r="H1803" s="900"/>
      <c r="I1803" s="900"/>
      <c r="J1803" s="900"/>
      <c r="K1803" s="900"/>
      <c r="L1803" s="900"/>
      <c r="M1803" s="900"/>
      <c r="N1803" s="900"/>
      <c r="O1803" s="900"/>
      <c r="P1803" s="900"/>
    </row>
    <row r="1804" spans="3:16" ht="14.25">
      <c r="C1804" s="900"/>
      <c r="D1804" s="900"/>
      <c r="E1804" s="900"/>
      <c r="F1804" s="900"/>
      <c r="G1804" s="900"/>
      <c r="H1804" s="900"/>
      <c r="I1804" s="900"/>
      <c r="J1804" s="900"/>
      <c r="K1804" s="900"/>
      <c r="L1804" s="900"/>
      <c r="M1804" s="900"/>
      <c r="N1804" s="900"/>
      <c r="O1804" s="900"/>
      <c r="P1804" s="900"/>
    </row>
    <row r="1805" spans="3:16" ht="14.25">
      <c r="C1805" s="900"/>
      <c r="D1805" s="900"/>
      <c r="E1805" s="900"/>
      <c r="F1805" s="900"/>
      <c r="G1805" s="900"/>
      <c r="H1805" s="900"/>
      <c r="I1805" s="900"/>
      <c r="J1805" s="900"/>
      <c r="K1805" s="900"/>
      <c r="L1805" s="900"/>
      <c r="M1805" s="900"/>
      <c r="N1805" s="900"/>
      <c r="O1805" s="900"/>
      <c r="P1805" s="900"/>
    </row>
    <row r="1806" spans="3:16" ht="14.25">
      <c r="C1806" s="900"/>
      <c r="D1806" s="900"/>
      <c r="E1806" s="900"/>
      <c r="F1806" s="900"/>
      <c r="G1806" s="900"/>
      <c r="H1806" s="900"/>
      <c r="I1806" s="900"/>
      <c r="J1806" s="900"/>
      <c r="K1806" s="900"/>
      <c r="L1806" s="900"/>
      <c r="M1806" s="900"/>
      <c r="N1806" s="900"/>
      <c r="O1806" s="900"/>
      <c r="P1806" s="900"/>
    </row>
    <row r="1807" spans="3:16" ht="14.25">
      <c r="C1807" s="900"/>
      <c r="D1807" s="900"/>
      <c r="E1807" s="900"/>
      <c r="F1807" s="900"/>
      <c r="G1807" s="900"/>
      <c r="H1807" s="900"/>
      <c r="I1807" s="900"/>
      <c r="J1807" s="900"/>
      <c r="K1807" s="900"/>
      <c r="L1807" s="900"/>
      <c r="M1807" s="900"/>
      <c r="N1807" s="900"/>
      <c r="O1807" s="900"/>
      <c r="P1807" s="900"/>
    </row>
    <row r="1808" spans="3:16" ht="14.25">
      <c r="C1808" s="900"/>
      <c r="D1808" s="900"/>
      <c r="E1808" s="900"/>
      <c r="F1808" s="900"/>
      <c r="G1808" s="900"/>
      <c r="H1808" s="900"/>
      <c r="I1808" s="900"/>
      <c r="J1808" s="900"/>
      <c r="K1808" s="900"/>
      <c r="L1808" s="900"/>
      <c r="M1808" s="900"/>
      <c r="N1808" s="900"/>
      <c r="O1808" s="900"/>
      <c r="P1808" s="900"/>
    </row>
    <row r="1809" spans="3:16" ht="14.25">
      <c r="C1809" s="900"/>
      <c r="D1809" s="900"/>
      <c r="E1809" s="900"/>
      <c r="F1809" s="900"/>
      <c r="G1809" s="900"/>
      <c r="H1809" s="900"/>
      <c r="I1809" s="900"/>
      <c r="J1809" s="900"/>
      <c r="K1809" s="900"/>
      <c r="L1809" s="900"/>
      <c r="M1809" s="900"/>
      <c r="N1809" s="900"/>
      <c r="O1809" s="900"/>
      <c r="P1809" s="900"/>
    </row>
    <row r="1810" spans="3:16" ht="14.25">
      <c r="C1810" s="900"/>
      <c r="D1810" s="900"/>
      <c r="E1810" s="900"/>
      <c r="F1810" s="900"/>
      <c r="G1810" s="900"/>
      <c r="H1810" s="900"/>
      <c r="I1810" s="900"/>
      <c r="J1810" s="900"/>
      <c r="K1810" s="900"/>
      <c r="L1810" s="900"/>
      <c r="M1810" s="900"/>
      <c r="N1810" s="900"/>
      <c r="O1810" s="900"/>
      <c r="P1810" s="900"/>
    </row>
    <row r="1811" spans="3:16" ht="14.25">
      <c r="C1811" s="900"/>
      <c r="D1811" s="900"/>
      <c r="E1811" s="900"/>
      <c r="F1811" s="900"/>
      <c r="G1811" s="900"/>
      <c r="H1811" s="900"/>
      <c r="I1811" s="900"/>
      <c r="J1811" s="900"/>
      <c r="K1811" s="900"/>
      <c r="L1811" s="900"/>
      <c r="M1811" s="900"/>
      <c r="N1811" s="900"/>
      <c r="O1811" s="900"/>
      <c r="P1811" s="900"/>
    </row>
    <row r="1812" spans="3:16" ht="14.25">
      <c r="C1812" s="900"/>
      <c r="D1812" s="900"/>
      <c r="E1812" s="900"/>
      <c r="F1812" s="900"/>
      <c r="G1812" s="900"/>
      <c r="H1812" s="900"/>
      <c r="I1812" s="900"/>
      <c r="J1812" s="900"/>
      <c r="K1812" s="900"/>
      <c r="L1812" s="900"/>
      <c r="M1812" s="900"/>
      <c r="N1812" s="900"/>
      <c r="O1812" s="900"/>
      <c r="P1812" s="900"/>
    </row>
    <row r="1813" spans="3:16" ht="14.25">
      <c r="C1813" s="900"/>
      <c r="D1813" s="900"/>
      <c r="E1813" s="900"/>
      <c r="F1813" s="900"/>
      <c r="G1813" s="900"/>
      <c r="H1813" s="900"/>
      <c r="I1813" s="900"/>
      <c r="J1813" s="900"/>
      <c r="K1813" s="900"/>
      <c r="L1813" s="900"/>
      <c r="M1813" s="900"/>
      <c r="N1813" s="900"/>
      <c r="O1813" s="900"/>
      <c r="P1813" s="900"/>
    </row>
    <row r="1814" spans="3:16" ht="14.25">
      <c r="C1814" s="900"/>
      <c r="D1814" s="900"/>
      <c r="E1814" s="900"/>
      <c r="F1814" s="900"/>
      <c r="G1814" s="900"/>
      <c r="H1814" s="900"/>
      <c r="I1814" s="900"/>
      <c r="J1814" s="900"/>
      <c r="K1814" s="900"/>
      <c r="L1814" s="900"/>
      <c r="M1814" s="900"/>
      <c r="N1814" s="900"/>
      <c r="O1814" s="900"/>
      <c r="P1814" s="900"/>
    </row>
    <row r="1815" spans="3:16" ht="14.25">
      <c r="C1815" s="900"/>
      <c r="D1815" s="900"/>
      <c r="E1815" s="900"/>
      <c r="F1815" s="900"/>
      <c r="G1815" s="900"/>
      <c r="H1815" s="900"/>
      <c r="I1815" s="900"/>
      <c r="J1815" s="900"/>
      <c r="K1815" s="900"/>
      <c r="L1815" s="900"/>
      <c r="M1815" s="900"/>
      <c r="N1815" s="900"/>
      <c r="O1815" s="900"/>
      <c r="P1815" s="900"/>
    </row>
    <row r="1816" spans="3:16" ht="14.25">
      <c r="C1816" s="900"/>
      <c r="D1816" s="900"/>
      <c r="E1816" s="900"/>
      <c r="F1816" s="900"/>
      <c r="G1816" s="900"/>
      <c r="H1816" s="900"/>
      <c r="I1816" s="900"/>
      <c r="J1816" s="900"/>
      <c r="K1816" s="900"/>
      <c r="L1816" s="900"/>
      <c r="M1816" s="900"/>
      <c r="N1816" s="900"/>
      <c r="O1816" s="900"/>
      <c r="P1816" s="900"/>
    </row>
    <row r="1817" spans="3:16" ht="14.25">
      <c r="C1817" s="900"/>
      <c r="D1817" s="900"/>
      <c r="E1817" s="900"/>
      <c r="F1817" s="900"/>
      <c r="G1817" s="900"/>
      <c r="H1817" s="900"/>
      <c r="I1817" s="900"/>
      <c r="J1817" s="900"/>
      <c r="K1817" s="900"/>
      <c r="L1817" s="900"/>
      <c r="M1817" s="900"/>
      <c r="N1817" s="900"/>
      <c r="O1817" s="900"/>
      <c r="P1817" s="900"/>
    </row>
    <row r="1818" spans="3:16" ht="14.25">
      <c r="C1818" s="900"/>
      <c r="D1818" s="900"/>
      <c r="E1818" s="900"/>
      <c r="F1818" s="900"/>
      <c r="G1818" s="900"/>
      <c r="H1818" s="900"/>
      <c r="I1818" s="900"/>
      <c r="J1818" s="900"/>
      <c r="K1818" s="900"/>
      <c r="L1818" s="900"/>
      <c r="M1818" s="900"/>
      <c r="N1818" s="900"/>
      <c r="O1818" s="900"/>
      <c r="P1818" s="900"/>
    </row>
    <row r="1819" spans="3:16" ht="14.25">
      <c r="C1819" s="900"/>
      <c r="D1819" s="900"/>
      <c r="E1819" s="900"/>
      <c r="F1819" s="900"/>
      <c r="G1819" s="900"/>
      <c r="H1819" s="900"/>
      <c r="I1819" s="900"/>
      <c r="J1819" s="900"/>
      <c r="K1819" s="900"/>
      <c r="L1819" s="900"/>
      <c r="M1819" s="900"/>
      <c r="N1819" s="900"/>
      <c r="O1819" s="900"/>
      <c r="P1819" s="900"/>
    </row>
    <row r="1820" spans="3:16" ht="14.25">
      <c r="C1820" s="900"/>
      <c r="D1820" s="900"/>
      <c r="E1820" s="900"/>
      <c r="F1820" s="900"/>
      <c r="G1820" s="900"/>
      <c r="H1820" s="900"/>
      <c r="I1820" s="900"/>
      <c r="J1820" s="900"/>
      <c r="K1820" s="900"/>
      <c r="L1820" s="900"/>
      <c r="M1820" s="900"/>
      <c r="N1820" s="900"/>
      <c r="O1820" s="900"/>
      <c r="P1820" s="900"/>
    </row>
    <row r="1821" spans="3:16" ht="14.25">
      <c r="C1821" s="900"/>
      <c r="D1821" s="900"/>
      <c r="E1821" s="900"/>
      <c r="F1821" s="900"/>
      <c r="G1821" s="900"/>
      <c r="H1821" s="900"/>
      <c r="I1821" s="900"/>
      <c r="J1821" s="900"/>
      <c r="K1821" s="900"/>
      <c r="L1821" s="900"/>
      <c r="M1821" s="900"/>
      <c r="N1821" s="900"/>
      <c r="O1821" s="900"/>
      <c r="P1821" s="900"/>
    </row>
    <row r="1822" spans="3:16" ht="14.25">
      <c r="C1822" s="900"/>
      <c r="D1822" s="900"/>
      <c r="E1822" s="900"/>
      <c r="F1822" s="900"/>
      <c r="G1822" s="900"/>
      <c r="H1822" s="900"/>
      <c r="I1822" s="900"/>
      <c r="J1822" s="900"/>
      <c r="K1822" s="900"/>
      <c r="L1822" s="900"/>
      <c r="M1822" s="900"/>
      <c r="N1822" s="900"/>
      <c r="O1822" s="900"/>
      <c r="P1822" s="900"/>
    </row>
    <row r="1823" spans="3:16" ht="14.25">
      <c r="C1823" s="900"/>
      <c r="D1823" s="900"/>
      <c r="E1823" s="900"/>
      <c r="F1823" s="900"/>
      <c r="G1823" s="900"/>
      <c r="H1823" s="900"/>
      <c r="I1823" s="900"/>
      <c r="J1823" s="900"/>
      <c r="K1823" s="900"/>
      <c r="L1823" s="900"/>
      <c r="M1823" s="900"/>
      <c r="N1823" s="900"/>
      <c r="O1823" s="900"/>
      <c r="P1823" s="900"/>
    </row>
    <row r="1824" spans="3:16" ht="14.25">
      <c r="C1824" s="900"/>
      <c r="D1824" s="900"/>
      <c r="E1824" s="900"/>
      <c r="F1824" s="900"/>
      <c r="G1824" s="900"/>
      <c r="H1824" s="900"/>
      <c r="I1824" s="900"/>
      <c r="J1824" s="900"/>
      <c r="K1824" s="900"/>
      <c r="L1824" s="900"/>
      <c r="M1824" s="900"/>
      <c r="N1824" s="900"/>
      <c r="O1824" s="900"/>
      <c r="P1824" s="900"/>
    </row>
    <row r="1825" spans="3:16" ht="14.25">
      <c r="C1825" s="900"/>
      <c r="D1825" s="900"/>
      <c r="E1825" s="900"/>
      <c r="F1825" s="900"/>
      <c r="G1825" s="900"/>
      <c r="H1825" s="900"/>
      <c r="I1825" s="900"/>
      <c r="J1825" s="900"/>
      <c r="K1825" s="900"/>
      <c r="L1825" s="900"/>
      <c r="M1825" s="900"/>
      <c r="N1825" s="900"/>
      <c r="O1825" s="900"/>
      <c r="P1825" s="900"/>
    </row>
    <row r="1826" spans="3:16" ht="14.25">
      <c r="C1826" s="900"/>
      <c r="D1826" s="900"/>
      <c r="E1826" s="900"/>
      <c r="F1826" s="900"/>
      <c r="G1826" s="900"/>
      <c r="H1826" s="900"/>
      <c r="I1826" s="900"/>
      <c r="J1826" s="900"/>
      <c r="K1826" s="900"/>
      <c r="L1826" s="900"/>
      <c r="M1826" s="900"/>
      <c r="N1826" s="900"/>
      <c r="O1826" s="900"/>
      <c r="P1826" s="900"/>
    </row>
    <row r="1827" spans="3:16" ht="14.25">
      <c r="C1827" s="900"/>
      <c r="D1827" s="900"/>
      <c r="E1827" s="900"/>
      <c r="F1827" s="900"/>
      <c r="G1827" s="900"/>
      <c r="H1827" s="900"/>
      <c r="I1827" s="900"/>
      <c r="J1827" s="900"/>
      <c r="K1827" s="900"/>
      <c r="L1827" s="900"/>
      <c r="M1827" s="900"/>
      <c r="N1827" s="900"/>
      <c r="O1827" s="900"/>
      <c r="P1827" s="900"/>
    </row>
    <row r="1828" spans="3:16" ht="14.25">
      <c r="C1828" s="900"/>
      <c r="D1828" s="900"/>
      <c r="E1828" s="900"/>
      <c r="F1828" s="900"/>
      <c r="G1828" s="900"/>
      <c r="H1828" s="900"/>
      <c r="I1828" s="900"/>
      <c r="J1828" s="900"/>
      <c r="K1828" s="900"/>
      <c r="L1828" s="900"/>
      <c r="M1828" s="900"/>
      <c r="N1828" s="900"/>
      <c r="O1828" s="900"/>
      <c r="P1828" s="900"/>
    </row>
    <row r="1829" spans="3:16" ht="14.25">
      <c r="C1829" s="900"/>
      <c r="D1829" s="900"/>
      <c r="E1829" s="900"/>
      <c r="F1829" s="900"/>
      <c r="G1829" s="900"/>
      <c r="H1829" s="900"/>
      <c r="I1829" s="900"/>
      <c r="J1829" s="900"/>
      <c r="K1829" s="900"/>
      <c r="L1829" s="900"/>
      <c r="M1829" s="900"/>
      <c r="N1829" s="900"/>
      <c r="O1829" s="900"/>
      <c r="P1829" s="900"/>
    </row>
    <row r="1830" spans="3:16" ht="14.25">
      <c r="C1830" s="900"/>
      <c r="D1830" s="900"/>
      <c r="E1830" s="900"/>
      <c r="F1830" s="900"/>
      <c r="G1830" s="900"/>
      <c r="H1830" s="900"/>
      <c r="I1830" s="900"/>
      <c r="J1830" s="900"/>
      <c r="K1830" s="900"/>
      <c r="L1830" s="900"/>
      <c r="M1830" s="900"/>
      <c r="N1830" s="900"/>
      <c r="O1830" s="900"/>
      <c r="P1830" s="900"/>
    </row>
    <row r="1831" spans="3:16" ht="14.25">
      <c r="C1831" s="900"/>
      <c r="D1831" s="900"/>
      <c r="E1831" s="900"/>
      <c r="F1831" s="900"/>
      <c r="G1831" s="900"/>
      <c r="H1831" s="900"/>
      <c r="I1831" s="900"/>
      <c r="J1831" s="900"/>
      <c r="K1831" s="900"/>
      <c r="L1831" s="900"/>
      <c r="M1831" s="900"/>
      <c r="N1831" s="900"/>
      <c r="O1831" s="900"/>
      <c r="P1831" s="900"/>
    </row>
    <row r="1832" spans="3:16" ht="14.25">
      <c r="C1832" s="900"/>
      <c r="D1832" s="900"/>
      <c r="E1832" s="900"/>
      <c r="F1832" s="900"/>
      <c r="G1832" s="900"/>
      <c r="H1832" s="900"/>
      <c r="I1832" s="900"/>
      <c r="J1832" s="900"/>
      <c r="K1832" s="900"/>
      <c r="L1832" s="900"/>
      <c r="M1832" s="900"/>
      <c r="N1832" s="900"/>
      <c r="O1832" s="900"/>
      <c r="P1832" s="900"/>
    </row>
    <row r="1833" spans="3:16" ht="14.25">
      <c r="C1833" s="900"/>
      <c r="D1833" s="900"/>
      <c r="E1833" s="900"/>
      <c r="F1833" s="900"/>
      <c r="G1833" s="900"/>
      <c r="H1833" s="900"/>
      <c r="I1833" s="900"/>
      <c r="J1833" s="900"/>
      <c r="K1833" s="900"/>
      <c r="L1833" s="900"/>
      <c r="M1833" s="900"/>
      <c r="N1833" s="900"/>
      <c r="O1833" s="900"/>
      <c r="P1833" s="900"/>
    </row>
    <row r="1834" spans="3:16" ht="14.25">
      <c r="C1834" s="900"/>
      <c r="D1834" s="900"/>
      <c r="E1834" s="900"/>
      <c r="F1834" s="900"/>
      <c r="G1834" s="900"/>
      <c r="H1834" s="900"/>
      <c r="I1834" s="900"/>
      <c r="J1834" s="900"/>
      <c r="K1834" s="900"/>
      <c r="L1834" s="900"/>
      <c r="M1834" s="900"/>
      <c r="N1834" s="900"/>
      <c r="O1834" s="900"/>
      <c r="P1834" s="900"/>
    </row>
    <row r="1835" spans="3:16" ht="14.25">
      <c r="C1835" s="900"/>
      <c r="D1835" s="900"/>
      <c r="E1835" s="900"/>
      <c r="F1835" s="900"/>
      <c r="G1835" s="900"/>
      <c r="H1835" s="900"/>
      <c r="I1835" s="900"/>
      <c r="J1835" s="900"/>
      <c r="K1835" s="900"/>
      <c r="L1835" s="900"/>
      <c r="M1835" s="900"/>
      <c r="N1835" s="900"/>
      <c r="O1835" s="900"/>
      <c r="P1835" s="900"/>
    </row>
    <row r="1836" spans="3:16" ht="14.25">
      <c r="C1836" s="900"/>
      <c r="D1836" s="900"/>
      <c r="E1836" s="900"/>
      <c r="F1836" s="900"/>
      <c r="G1836" s="900"/>
      <c r="H1836" s="900"/>
      <c r="I1836" s="900"/>
      <c r="J1836" s="900"/>
      <c r="K1836" s="900"/>
      <c r="L1836" s="900"/>
      <c r="M1836" s="900"/>
      <c r="N1836" s="900"/>
      <c r="O1836" s="900"/>
      <c r="P1836" s="900"/>
    </row>
    <row r="1837" spans="3:16" ht="14.25">
      <c r="C1837" s="900"/>
      <c r="D1837" s="900"/>
      <c r="E1837" s="900"/>
      <c r="F1837" s="900"/>
      <c r="G1837" s="900"/>
      <c r="H1837" s="900"/>
      <c r="I1837" s="900"/>
      <c r="J1837" s="900"/>
      <c r="K1837" s="900"/>
      <c r="L1837" s="900"/>
      <c r="M1837" s="900"/>
      <c r="N1837" s="900"/>
      <c r="O1837" s="900"/>
      <c r="P1837" s="900"/>
    </row>
    <row r="1838" spans="3:16" ht="14.25">
      <c r="C1838" s="900"/>
      <c r="D1838" s="900"/>
      <c r="E1838" s="900"/>
      <c r="F1838" s="900"/>
      <c r="G1838" s="900"/>
      <c r="H1838" s="900"/>
      <c r="I1838" s="900"/>
      <c r="J1838" s="900"/>
      <c r="K1838" s="900"/>
      <c r="L1838" s="900"/>
      <c r="M1838" s="900"/>
      <c r="N1838" s="900"/>
      <c r="O1838" s="900"/>
      <c r="P1838" s="900"/>
    </row>
    <row r="1839" spans="3:16" ht="14.25">
      <c r="C1839" s="900"/>
      <c r="D1839" s="900"/>
      <c r="E1839" s="900"/>
      <c r="F1839" s="900"/>
      <c r="G1839" s="900"/>
      <c r="H1839" s="900"/>
      <c r="I1839" s="900"/>
      <c r="J1839" s="900"/>
      <c r="K1839" s="900"/>
      <c r="L1839" s="900"/>
      <c r="M1839" s="900"/>
      <c r="N1839" s="900"/>
      <c r="O1839" s="900"/>
      <c r="P1839" s="900"/>
    </row>
    <row r="1840" spans="3:16" ht="14.25">
      <c r="C1840" s="900"/>
      <c r="D1840" s="900"/>
      <c r="E1840" s="900"/>
      <c r="F1840" s="900"/>
      <c r="G1840" s="900"/>
      <c r="H1840" s="900"/>
      <c r="I1840" s="900"/>
      <c r="J1840" s="900"/>
      <c r="K1840" s="900"/>
      <c r="L1840" s="900"/>
      <c r="M1840" s="900"/>
      <c r="N1840" s="900"/>
      <c r="O1840" s="900"/>
      <c r="P1840" s="900"/>
    </row>
    <row r="1841" spans="3:16" ht="14.25">
      <c r="C1841" s="900"/>
      <c r="D1841" s="900"/>
      <c r="E1841" s="900"/>
      <c r="F1841" s="900"/>
      <c r="G1841" s="900"/>
      <c r="H1841" s="900"/>
      <c r="I1841" s="900"/>
      <c r="J1841" s="900"/>
      <c r="K1841" s="900"/>
      <c r="L1841" s="900"/>
      <c r="M1841" s="900"/>
      <c r="N1841" s="900"/>
      <c r="O1841" s="900"/>
      <c r="P1841" s="900"/>
    </row>
    <row r="1842" spans="3:16" ht="14.25">
      <c r="C1842" s="900"/>
      <c r="D1842" s="900"/>
      <c r="E1842" s="900"/>
      <c r="F1842" s="900"/>
      <c r="G1842" s="900"/>
      <c r="H1842" s="900"/>
      <c r="I1842" s="900"/>
      <c r="J1842" s="900"/>
      <c r="K1842" s="900"/>
      <c r="L1842" s="900"/>
      <c r="M1842" s="900"/>
      <c r="N1842" s="900"/>
      <c r="O1842" s="900"/>
      <c r="P1842" s="900"/>
    </row>
    <row r="1843" spans="3:16" ht="14.25">
      <c r="C1843" s="900"/>
      <c r="D1843" s="900"/>
      <c r="E1843" s="900"/>
      <c r="F1843" s="900"/>
      <c r="G1843" s="900"/>
      <c r="H1843" s="900"/>
      <c r="I1843" s="900"/>
      <c r="J1843" s="900"/>
      <c r="K1843" s="900"/>
      <c r="L1843" s="900"/>
      <c r="M1843" s="900"/>
      <c r="N1843" s="900"/>
      <c r="O1843" s="900"/>
      <c r="P1843" s="900"/>
    </row>
    <row r="1844" spans="3:16" ht="14.25">
      <c r="C1844" s="900"/>
      <c r="D1844" s="900"/>
      <c r="E1844" s="900"/>
      <c r="F1844" s="900"/>
      <c r="G1844" s="900"/>
      <c r="H1844" s="900"/>
      <c r="I1844" s="900"/>
      <c r="J1844" s="900"/>
      <c r="K1844" s="900"/>
      <c r="L1844" s="900"/>
      <c r="M1844" s="900"/>
      <c r="N1844" s="900"/>
      <c r="O1844" s="900"/>
      <c r="P1844" s="900"/>
    </row>
    <row r="1845" spans="3:16" ht="14.25">
      <c r="C1845" s="900"/>
      <c r="D1845" s="900"/>
      <c r="E1845" s="900"/>
      <c r="F1845" s="900"/>
      <c r="G1845" s="900"/>
      <c r="H1845" s="900"/>
      <c r="I1845" s="900"/>
      <c r="J1845" s="900"/>
      <c r="K1845" s="900"/>
      <c r="L1845" s="900"/>
      <c r="M1845" s="900"/>
      <c r="N1845" s="900"/>
      <c r="O1845" s="900"/>
      <c r="P1845" s="900"/>
    </row>
    <row r="1846" spans="3:16" ht="14.25">
      <c r="C1846" s="900"/>
      <c r="D1846" s="900"/>
      <c r="E1846" s="900"/>
      <c r="F1846" s="900"/>
      <c r="G1846" s="900"/>
      <c r="H1846" s="900"/>
      <c r="I1846" s="900"/>
      <c r="J1846" s="900"/>
      <c r="K1846" s="900"/>
      <c r="L1846" s="900"/>
      <c r="M1846" s="900"/>
      <c r="N1846" s="900"/>
      <c r="O1846" s="900"/>
      <c r="P1846" s="900"/>
    </row>
    <row r="1847" spans="3:16" ht="14.25">
      <c r="C1847" s="900"/>
      <c r="D1847" s="900"/>
      <c r="E1847" s="900"/>
      <c r="F1847" s="900"/>
      <c r="G1847" s="900"/>
      <c r="H1847" s="900"/>
      <c r="I1847" s="900"/>
      <c r="J1847" s="900"/>
      <c r="K1847" s="900"/>
      <c r="L1847" s="900"/>
      <c r="M1847" s="900"/>
      <c r="N1847" s="900"/>
      <c r="O1847" s="900"/>
      <c r="P1847" s="900"/>
    </row>
    <row r="1848" spans="3:16" ht="14.25">
      <c r="C1848" s="900"/>
      <c r="D1848" s="900"/>
      <c r="E1848" s="900"/>
      <c r="F1848" s="900"/>
      <c r="G1848" s="900"/>
      <c r="H1848" s="900"/>
      <c r="I1848" s="900"/>
      <c r="J1848" s="900"/>
      <c r="K1848" s="900"/>
      <c r="L1848" s="900"/>
      <c r="M1848" s="900"/>
      <c r="N1848" s="900"/>
      <c r="O1848" s="900"/>
      <c r="P1848" s="900"/>
    </row>
    <row r="1849" spans="3:16" ht="14.25">
      <c r="C1849" s="900"/>
      <c r="D1849" s="900"/>
      <c r="E1849" s="900"/>
      <c r="F1849" s="900"/>
      <c r="G1849" s="900"/>
      <c r="H1849" s="900"/>
      <c r="I1849" s="900"/>
      <c r="J1849" s="900"/>
      <c r="K1849" s="900"/>
      <c r="L1849" s="900"/>
      <c r="M1849" s="900"/>
      <c r="N1849" s="900"/>
      <c r="O1849" s="900"/>
      <c r="P1849" s="900"/>
    </row>
    <row r="1850" spans="3:16" ht="14.25">
      <c r="C1850" s="900"/>
      <c r="D1850" s="900"/>
      <c r="E1850" s="900"/>
      <c r="F1850" s="900"/>
      <c r="G1850" s="900"/>
      <c r="H1850" s="900"/>
      <c r="I1850" s="900"/>
      <c r="J1850" s="900"/>
      <c r="K1850" s="900"/>
      <c r="L1850" s="900"/>
      <c r="M1850" s="900"/>
      <c r="N1850" s="900"/>
      <c r="O1850" s="900"/>
      <c r="P1850" s="900"/>
    </row>
    <row r="1851" spans="3:16" ht="14.25">
      <c r="C1851" s="900"/>
      <c r="D1851" s="900"/>
      <c r="E1851" s="900"/>
      <c r="F1851" s="900"/>
      <c r="G1851" s="900"/>
      <c r="H1851" s="900"/>
      <c r="I1851" s="900"/>
      <c r="J1851" s="900"/>
      <c r="K1851" s="900"/>
      <c r="L1851" s="900"/>
      <c r="M1851" s="900"/>
      <c r="N1851" s="900"/>
      <c r="O1851" s="900"/>
      <c r="P1851" s="900"/>
    </row>
    <row r="1852" spans="3:16" ht="14.25">
      <c r="C1852" s="900"/>
      <c r="D1852" s="900"/>
      <c r="E1852" s="900"/>
      <c r="F1852" s="900"/>
      <c r="G1852" s="900"/>
      <c r="H1852" s="900"/>
      <c r="I1852" s="900"/>
      <c r="J1852" s="900"/>
      <c r="K1852" s="900"/>
      <c r="L1852" s="900"/>
      <c r="M1852" s="900"/>
      <c r="N1852" s="900"/>
      <c r="O1852" s="900"/>
      <c r="P1852" s="900"/>
    </row>
    <row r="1853" spans="3:16" ht="14.25">
      <c r="C1853" s="900"/>
      <c r="D1853" s="900"/>
      <c r="E1853" s="900"/>
      <c r="F1853" s="900"/>
      <c r="G1853" s="900"/>
      <c r="H1853" s="900"/>
      <c r="I1853" s="900"/>
      <c r="J1853" s="900"/>
      <c r="K1853" s="900"/>
      <c r="L1853" s="900"/>
      <c r="M1853" s="900"/>
      <c r="N1853" s="900"/>
      <c r="O1853" s="900"/>
      <c r="P1853" s="900"/>
    </row>
    <row r="1854" spans="3:16" ht="14.25">
      <c r="C1854" s="900"/>
      <c r="D1854" s="900"/>
      <c r="E1854" s="900"/>
      <c r="F1854" s="900"/>
      <c r="G1854" s="900"/>
      <c r="H1854" s="900"/>
      <c r="I1854" s="900"/>
      <c r="J1854" s="900"/>
      <c r="K1854" s="900"/>
      <c r="L1854" s="900"/>
      <c r="M1854" s="900"/>
      <c r="N1854" s="900"/>
      <c r="O1854" s="900"/>
      <c r="P1854" s="900"/>
    </row>
    <row r="1855" spans="3:16" ht="14.25">
      <c r="C1855" s="900"/>
      <c r="D1855" s="900"/>
      <c r="E1855" s="900"/>
      <c r="F1855" s="900"/>
      <c r="G1855" s="900"/>
      <c r="H1855" s="900"/>
      <c r="I1855" s="900"/>
      <c r="J1855" s="900"/>
      <c r="K1855" s="900"/>
      <c r="L1855" s="900"/>
      <c r="M1855" s="900"/>
      <c r="N1855" s="900"/>
      <c r="O1855" s="900"/>
      <c r="P1855" s="900"/>
    </row>
    <row r="1856" spans="3:16" ht="14.25">
      <c r="C1856" s="900"/>
      <c r="D1856" s="900"/>
      <c r="E1856" s="900"/>
      <c r="F1856" s="900"/>
      <c r="G1856" s="900"/>
      <c r="H1856" s="900"/>
      <c r="I1856" s="900"/>
      <c r="J1856" s="900"/>
      <c r="K1856" s="900"/>
      <c r="L1856" s="900"/>
      <c r="M1856" s="900"/>
      <c r="N1856" s="900"/>
      <c r="O1856" s="900"/>
      <c r="P1856" s="900"/>
    </row>
    <row r="1857" spans="3:16" ht="14.25">
      <c r="C1857" s="900"/>
      <c r="D1857" s="900"/>
      <c r="E1857" s="900"/>
      <c r="F1857" s="900"/>
      <c r="G1857" s="900"/>
      <c r="H1857" s="900"/>
      <c r="I1857" s="900"/>
      <c r="J1857" s="900"/>
      <c r="K1857" s="900"/>
      <c r="L1857" s="900"/>
      <c r="M1857" s="900"/>
      <c r="N1857" s="900"/>
      <c r="O1857" s="900"/>
      <c r="P1857" s="900"/>
    </row>
    <row r="1858" spans="3:16" ht="14.25">
      <c r="C1858" s="900"/>
      <c r="D1858" s="900"/>
      <c r="E1858" s="900"/>
      <c r="F1858" s="900"/>
      <c r="G1858" s="900"/>
      <c r="H1858" s="900"/>
      <c r="I1858" s="900"/>
      <c r="J1858" s="900"/>
      <c r="K1858" s="900"/>
      <c r="L1858" s="900"/>
      <c r="M1858" s="900"/>
      <c r="N1858" s="900"/>
      <c r="O1858" s="900"/>
      <c r="P1858" s="900"/>
    </row>
    <row r="1859" spans="3:16" ht="14.25">
      <c r="C1859" s="900"/>
      <c r="D1859" s="900"/>
      <c r="E1859" s="900"/>
      <c r="F1859" s="900"/>
      <c r="G1859" s="900"/>
      <c r="H1859" s="900"/>
      <c r="I1859" s="900"/>
      <c r="J1859" s="900"/>
      <c r="K1859" s="900"/>
      <c r="L1859" s="900"/>
      <c r="M1859" s="900"/>
      <c r="N1859" s="900"/>
      <c r="O1859" s="900"/>
      <c r="P1859" s="900"/>
    </row>
    <row r="1860" spans="3:16" ht="14.25">
      <c r="C1860" s="900"/>
      <c r="D1860" s="900"/>
      <c r="E1860" s="900"/>
      <c r="F1860" s="900"/>
      <c r="G1860" s="900"/>
      <c r="H1860" s="900"/>
      <c r="I1860" s="900"/>
      <c r="J1860" s="900"/>
      <c r="K1860" s="900"/>
      <c r="L1860" s="900"/>
      <c r="M1860" s="900"/>
      <c r="N1860" s="900"/>
      <c r="O1860" s="900"/>
      <c r="P1860" s="900"/>
    </row>
    <row r="1861" spans="3:16" ht="14.25">
      <c r="C1861" s="900"/>
      <c r="D1861" s="900"/>
      <c r="E1861" s="900"/>
      <c r="F1861" s="900"/>
      <c r="G1861" s="900"/>
      <c r="H1861" s="900"/>
      <c r="I1861" s="900"/>
      <c r="J1861" s="900"/>
      <c r="K1861" s="900"/>
      <c r="L1861" s="900"/>
      <c r="M1861" s="900"/>
      <c r="N1861" s="900"/>
      <c r="O1861" s="900"/>
      <c r="P1861" s="900"/>
    </row>
    <row r="1862" spans="3:16" ht="14.25">
      <c r="C1862" s="900"/>
      <c r="D1862" s="900"/>
      <c r="E1862" s="900"/>
      <c r="F1862" s="900"/>
      <c r="G1862" s="900"/>
      <c r="H1862" s="900"/>
      <c r="I1862" s="900"/>
      <c r="J1862" s="900"/>
      <c r="K1862" s="900"/>
      <c r="L1862" s="900"/>
      <c r="M1862" s="900"/>
      <c r="N1862" s="900"/>
      <c r="O1862" s="900"/>
      <c r="P1862" s="900"/>
    </row>
    <row r="1863" spans="3:16" ht="14.25">
      <c r="C1863" s="900"/>
      <c r="D1863" s="900"/>
      <c r="E1863" s="900"/>
      <c r="F1863" s="900"/>
      <c r="G1863" s="900"/>
      <c r="H1863" s="900"/>
      <c r="I1863" s="900"/>
      <c r="J1863" s="900"/>
      <c r="K1863" s="900"/>
      <c r="L1863" s="900"/>
      <c r="M1863" s="900"/>
      <c r="N1863" s="900"/>
      <c r="O1863" s="900"/>
      <c r="P1863" s="900"/>
    </row>
    <row r="1864" spans="3:16" ht="14.25">
      <c r="C1864" s="900"/>
      <c r="D1864" s="900"/>
      <c r="E1864" s="900"/>
      <c r="F1864" s="900"/>
      <c r="G1864" s="900"/>
      <c r="H1864" s="900"/>
      <c r="I1864" s="900"/>
      <c r="J1864" s="900"/>
      <c r="K1864" s="900"/>
      <c r="L1864" s="900"/>
      <c r="M1864" s="900"/>
      <c r="N1864" s="900"/>
      <c r="O1864" s="900"/>
      <c r="P1864" s="900"/>
    </row>
    <row r="1865" spans="3:16" ht="14.25">
      <c r="C1865" s="900"/>
      <c r="D1865" s="900"/>
      <c r="E1865" s="900"/>
      <c r="F1865" s="900"/>
      <c r="G1865" s="900"/>
      <c r="H1865" s="900"/>
      <c r="I1865" s="900"/>
      <c r="J1865" s="900"/>
      <c r="K1865" s="900"/>
      <c r="L1865" s="900"/>
      <c r="M1865" s="900"/>
      <c r="N1865" s="900"/>
      <c r="O1865" s="900"/>
      <c r="P1865" s="900"/>
    </row>
    <row r="1866" spans="3:16" ht="14.25">
      <c r="C1866" s="900"/>
      <c r="D1866" s="900"/>
      <c r="E1866" s="900"/>
      <c r="F1866" s="900"/>
      <c r="G1866" s="900"/>
      <c r="H1866" s="900"/>
      <c r="I1866" s="900"/>
      <c r="J1866" s="900"/>
      <c r="K1866" s="900"/>
      <c r="L1866" s="900"/>
      <c r="M1866" s="900"/>
      <c r="N1866" s="900"/>
      <c r="O1866" s="900"/>
      <c r="P1866" s="900"/>
    </row>
    <row r="1867" spans="3:16" ht="14.25">
      <c r="C1867" s="900"/>
      <c r="D1867" s="900"/>
      <c r="E1867" s="900"/>
      <c r="F1867" s="900"/>
      <c r="G1867" s="900"/>
      <c r="H1867" s="900"/>
      <c r="I1867" s="900"/>
      <c r="J1867" s="900"/>
      <c r="K1867" s="900"/>
      <c r="L1867" s="900"/>
      <c r="M1867" s="900"/>
      <c r="N1867" s="900"/>
      <c r="O1867" s="900"/>
      <c r="P1867" s="900"/>
    </row>
    <row r="1868" spans="3:16" ht="14.25">
      <c r="C1868" s="900"/>
      <c r="D1868" s="900"/>
      <c r="E1868" s="900"/>
      <c r="F1868" s="900"/>
      <c r="G1868" s="900"/>
      <c r="H1868" s="900"/>
      <c r="I1868" s="900"/>
      <c r="J1868" s="900"/>
      <c r="K1868" s="900"/>
      <c r="L1868" s="900"/>
      <c r="M1868" s="900"/>
      <c r="N1868" s="900"/>
      <c r="O1868" s="900"/>
      <c r="P1868" s="900"/>
    </row>
    <row r="1869" spans="3:16" ht="14.25">
      <c r="C1869" s="900"/>
      <c r="D1869" s="900"/>
      <c r="E1869" s="900"/>
      <c r="F1869" s="900"/>
      <c r="G1869" s="900"/>
      <c r="H1869" s="900"/>
      <c r="I1869" s="900"/>
      <c r="J1869" s="900"/>
      <c r="K1869" s="900"/>
      <c r="L1869" s="900"/>
      <c r="M1869" s="900"/>
      <c r="N1869" s="900"/>
      <c r="O1869" s="900"/>
      <c r="P1869" s="900"/>
    </row>
    <row r="1870" spans="3:16" ht="14.25">
      <c r="C1870" s="900"/>
      <c r="D1870" s="900"/>
      <c r="E1870" s="900"/>
      <c r="F1870" s="900"/>
      <c r="G1870" s="900"/>
      <c r="H1870" s="900"/>
      <c r="I1870" s="900"/>
      <c r="J1870" s="900"/>
      <c r="K1870" s="900"/>
      <c r="L1870" s="900"/>
      <c r="M1870" s="900"/>
      <c r="N1870" s="900"/>
      <c r="O1870" s="900"/>
      <c r="P1870" s="900"/>
    </row>
    <row r="1871" spans="3:16" ht="14.25">
      <c r="C1871" s="900"/>
      <c r="D1871" s="900"/>
      <c r="E1871" s="900"/>
      <c r="F1871" s="900"/>
      <c r="G1871" s="900"/>
      <c r="H1871" s="900"/>
      <c r="I1871" s="900"/>
      <c r="J1871" s="900"/>
      <c r="K1871" s="900"/>
      <c r="L1871" s="900"/>
      <c r="M1871" s="900"/>
      <c r="N1871" s="900"/>
      <c r="O1871" s="900"/>
      <c r="P1871" s="900"/>
    </row>
    <row r="1872" spans="3:16" ht="14.25">
      <c r="C1872" s="900"/>
      <c r="D1872" s="900"/>
      <c r="E1872" s="900"/>
      <c r="F1872" s="900"/>
      <c r="G1872" s="900"/>
      <c r="H1872" s="900"/>
      <c r="I1872" s="900"/>
      <c r="J1872" s="900"/>
      <c r="K1872" s="900"/>
      <c r="L1872" s="900"/>
      <c r="M1872" s="900"/>
      <c r="N1872" s="900"/>
      <c r="O1872" s="900"/>
      <c r="P1872" s="900"/>
    </row>
    <row r="1873" spans="3:16" ht="14.25">
      <c r="C1873" s="900"/>
      <c r="D1873" s="900"/>
      <c r="E1873" s="900"/>
      <c r="F1873" s="900"/>
      <c r="G1873" s="900"/>
      <c r="H1873" s="900"/>
      <c r="I1873" s="900"/>
      <c r="J1873" s="900"/>
      <c r="K1873" s="900"/>
      <c r="L1873" s="900"/>
      <c r="M1873" s="900"/>
      <c r="N1873" s="900"/>
      <c r="O1873" s="900"/>
      <c r="P1873" s="900"/>
    </row>
    <row r="1874" spans="3:16" ht="14.25">
      <c r="C1874" s="900"/>
      <c r="D1874" s="900"/>
      <c r="E1874" s="900"/>
      <c r="F1874" s="900"/>
      <c r="G1874" s="900"/>
      <c r="H1874" s="900"/>
      <c r="I1874" s="900"/>
      <c r="J1874" s="900"/>
      <c r="K1874" s="900"/>
      <c r="L1874" s="900"/>
      <c r="M1874" s="900"/>
      <c r="N1874" s="900"/>
      <c r="O1874" s="900"/>
      <c r="P1874" s="900"/>
    </row>
    <row r="1875" spans="3:16" ht="14.25">
      <c r="C1875" s="900"/>
      <c r="D1875" s="900"/>
      <c r="E1875" s="900"/>
      <c r="F1875" s="900"/>
      <c r="G1875" s="900"/>
      <c r="H1875" s="900"/>
      <c r="I1875" s="900"/>
      <c r="J1875" s="900"/>
      <c r="K1875" s="900"/>
      <c r="L1875" s="900"/>
      <c r="M1875" s="900"/>
      <c r="N1875" s="900"/>
      <c r="O1875" s="900"/>
      <c r="P1875" s="900"/>
    </row>
    <row r="1876" spans="3:16" ht="14.25">
      <c r="C1876" s="900"/>
      <c r="D1876" s="900"/>
      <c r="E1876" s="900"/>
      <c r="F1876" s="900"/>
      <c r="G1876" s="900"/>
      <c r="H1876" s="900"/>
      <c r="I1876" s="900"/>
      <c r="J1876" s="900"/>
      <c r="K1876" s="900"/>
      <c r="L1876" s="900"/>
      <c r="M1876" s="900"/>
      <c r="N1876" s="900"/>
      <c r="O1876" s="900"/>
      <c r="P1876" s="900"/>
    </row>
    <row r="1877" spans="3:16" ht="14.25">
      <c r="C1877" s="900"/>
      <c r="D1877" s="900"/>
      <c r="E1877" s="900"/>
      <c r="F1877" s="900"/>
      <c r="G1877" s="900"/>
      <c r="H1877" s="900"/>
      <c r="I1877" s="900"/>
      <c r="J1877" s="900"/>
      <c r="K1877" s="900"/>
      <c r="L1877" s="900"/>
      <c r="M1877" s="900"/>
      <c r="N1877" s="900"/>
      <c r="O1877" s="900"/>
      <c r="P1877" s="900"/>
    </row>
    <row r="1878" spans="3:16" ht="14.25">
      <c r="C1878" s="900"/>
      <c r="D1878" s="900"/>
      <c r="E1878" s="900"/>
      <c r="F1878" s="900"/>
      <c r="G1878" s="900"/>
      <c r="H1878" s="900"/>
      <c r="I1878" s="900"/>
      <c r="J1878" s="900"/>
      <c r="K1878" s="900"/>
      <c r="L1878" s="900"/>
      <c r="M1878" s="900"/>
      <c r="N1878" s="900"/>
      <c r="O1878" s="900"/>
      <c r="P1878" s="900"/>
    </row>
    <row r="1879" spans="3:16" ht="14.25">
      <c r="C1879" s="900"/>
      <c r="D1879" s="900"/>
      <c r="E1879" s="900"/>
      <c r="F1879" s="900"/>
      <c r="G1879" s="900"/>
      <c r="H1879" s="900"/>
      <c r="I1879" s="900"/>
      <c r="J1879" s="900"/>
      <c r="K1879" s="900"/>
      <c r="L1879" s="900"/>
      <c r="M1879" s="900"/>
      <c r="N1879" s="900"/>
      <c r="O1879" s="900"/>
      <c r="P1879" s="900"/>
    </row>
    <row r="1880" spans="3:16" ht="14.25">
      <c r="C1880" s="900"/>
      <c r="D1880" s="900"/>
      <c r="E1880" s="900"/>
      <c r="F1880" s="900"/>
      <c r="G1880" s="900"/>
      <c r="H1880" s="900"/>
      <c r="I1880" s="900"/>
      <c r="J1880" s="900"/>
      <c r="K1880" s="900"/>
      <c r="L1880" s="900"/>
      <c r="M1880" s="900"/>
      <c r="N1880" s="900"/>
      <c r="O1880" s="900"/>
      <c r="P1880" s="900"/>
    </row>
    <row r="1881" spans="3:16" ht="14.25">
      <c r="C1881" s="900"/>
      <c r="D1881" s="900"/>
      <c r="E1881" s="900"/>
      <c r="F1881" s="900"/>
      <c r="G1881" s="900"/>
      <c r="H1881" s="900"/>
      <c r="I1881" s="900"/>
      <c r="J1881" s="900"/>
      <c r="K1881" s="900"/>
      <c r="L1881" s="900"/>
      <c r="M1881" s="900"/>
      <c r="N1881" s="900"/>
      <c r="O1881" s="900"/>
      <c r="P1881" s="900"/>
    </row>
    <row r="1882" spans="3:16" ht="14.25">
      <c r="C1882" s="900"/>
      <c r="D1882" s="900"/>
      <c r="E1882" s="900"/>
      <c r="F1882" s="900"/>
      <c r="G1882" s="900"/>
      <c r="H1882" s="900"/>
      <c r="I1882" s="900"/>
      <c r="J1882" s="900"/>
      <c r="K1882" s="900"/>
      <c r="L1882" s="900"/>
      <c r="M1882" s="900"/>
      <c r="N1882" s="900"/>
      <c r="O1882" s="900"/>
      <c r="P1882" s="900"/>
    </row>
    <row r="1883" spans="3:16" ht="14.25">
      <c r="C1883" s="900"/>
      <c r="D1883" s="900"/>
      <c r="E1883" s="900"/>
      <c r="F1883" s="900"/>
      <c r="G1883" s="900"/>
      <c r="H1883" s="900"/>
      <c r="I1883" s="900"/>
      <c r="J1883" s="900"/>
      <c r="K1883" s="900"/>
      <c r="L1883" s="900"/>
      <c r="M1883" s="900"/>
      <c r="N1883" s="900"/>
      <c r="O1883" s="900"/>
      <c r="P1883" s="900"/>
    </row>
    <row r="1884" spans="3:16" ht="14.25">
      <c r="C1884" s="900"/>
      <c r="D1884" s="900"/>
      <c r="E1884" s="900"/>
      <c r="F1884" s="900"/>
      <c r="G1884" s="900"/>
      <c r="H1884" s="900"/>
      <c r="I1884" s="900"/>
      <c r="J1884" s="900"/>
      <c r="K1884" s="900"/>
      <c r="L1884" s="900"/>
      <c r="M1884" s="900"/>
      <c r="N1884" s="900"/>
      <c r="O1884" s="900"/>
      <c r="P1884" s="900"/>
    </row>
    <row r="1885" spans="3:16" ht="14.25">
      <c r="C1885" s="900"/>
      <c r="D1885" s="900"/>
      <c r="E1885" s="900"/>
      <c r="F1885" s="900"/>
      <c r="G1885" s="900"/>
      <c r="H1885" s="900"/>
      <c r="I1885" s="900"/>
      <c r="J1885" s="900"/>
      <c r="K1885" s="900"/>
      <c r="L1885" s="900"/>
      <c r="M1885" s="900"/>
      <c r="N1885" s="900"/>
      <c r="O1885" s="900"/>
      <c r="P1885" s="900"/>
    </row>
    <row r="1886" spans="3:16" ht="14.25">
      <c r="C1886" s="900"/>
      <c r="D1886" s="900"/>
      <c r="E1886" s="900"/>
      <c r="F1886" s="900"/>
      <c r="G1886" s="900"/>
      <c r="H1886" s="900"/>
      <c r="I1886" s="900"/>
      <c r="J1886" s="900"/>
      <c r="K1886" s="900"/>
      <c r="L1886" s="900"/>
      <c r="M1886" s="900"/>
      <c r="N1886" s="900"/>
      <c r="O1886" s="900"/>
      <c r="P1886" s="900"/>
    </row>
    <row r="1887" spans="3:16" ht="14.25">
      <c r="C1887" s="900"/>
      <c r="D1887" s="900"/>
      <c r="E1887" s="900"/>
      <c r="F1887" s="900"/>
      <c r="G1887" s="900"/>
      <c r="H1887" s="900"/>
      <c r="I1887" s="900"/>
      <c r="J1887" s="900"/>
      <c r="K1887" s="900"/>
      <c r="L1887" s="900"/>
      <c r="M1887" s="900"/>
      <c r="N1887" s="900"/>
      <c r="O1887" s="900"/>
      <c r="P1887" s="900"/>
    </row>
    <row r="1888" spans="3:16" ht="14.25">
      <c r="C1888" s="900"/>
      <c r="D1888" s="900"/>
      <c r="E1888" s="900"/>
      <c r="F1888" s="900"/>
      <c r="G1888" s="900"/>
      <c r="H1888" s="900"/>
      <c r="I1888" s="900"/>
      <c r="J1888" s="900"/>
      <c r="K1888" s="900"/>
      <c r="L1888" s="900"/>
      <c r="M1888" s="900"/>
      <c r="N1888" s="900"/>
      <c r="O1888" s="900"/>
      <c r="P1888" s="900"/>
    </row>
    <row r="1889" spans="3:16" ht="14.25">
      <c r="C1889" s="900"/>
      <c r="D1889" s="900"/>
      <c r="E1889" s="900"/>
      <c r="F1889" s="900"/>
      <c r="G1889" s="900"/>
      <c r="H1889" s="900"/>
      <c r="I1889" s="900"/>
      <c r="J1889" s="900"/>
      <c r="K1889" s="900"/>
      <c r="L1889" s="900"/>
      <c r="M1889" s="900"/>
      <c r="N1889" s="900"/>
      <c r="O1889" s="900"/>
      <c r="P1889" s="900"/>
    </row>
    <row r="1890" spans="3:16" ht="14.25">
      <c r="C1890" s="900"/>
      <c r="D1890" s="900"/>
      <c r="E1890" s="900"/>
      <c r="F1890" s="900"/>
      <c r="G1890" s="900"/>
      <c r="H1890" s="900"/>
      <c r="I1890" s="900"/>
      <c r="J1890" s="900"/>
      <c r="K1890" s="900"/>
      <c r="L1890" s="900"/>
      <c r="M1890" s="900"/>
      <c r="N1890" s="900"/>
      <c r="O1890" s="900"/>
      <c r="P1890" s="900"/>
    </row>
    <row r="1891" spans="3:16" ht="14.25">
      <c r="C1891" s="900"/>
      <c r="D1891" s="900"/>
      <c r="E1891" s="900"/>
      <c r="F1891" s="900"/>
      <c r="G1891" s="900"/>
      <c r="H1891" s="900"/>
      <c r="I1891" s="900"/>
      <c r="J1891" s="900"/>
      <c r="K1891" s="900"/>
      <c r="L1891" s="900"/>
      <c r="M1891" s="900"/>
      <c r="N1891" s="900"/>
      <c r="O1891" s="900"/>
      <c r="P1891" s="900"/>
    </row>
    <row r="1892" spans="3:16" ht="14.25">
      <c r="C1892" s="900"/>
      <c r="D1892" s="900"/>
      <c r="E1892" s="900"/>
      <c r="F1892" s="900"/>
      <c r="G1892" s="900"/>
      <c r="H1892" s="900"/>
      <c r="I1892" s="900"/>
      <c r="J1892" s="900"/>
      <c r="K1892" s="900"/>
      <c r="L1892" s="900"/>
      <c r="M1892" s="900"/>
      <c r="N1892" s="900"/>
      <c r="O1892" s="900"/>
      <c r="P1892" s="900"/>
    </row>
    <row r="1893" spans="3:16" ht="14.25">
      <c r="C1893" s="900"/>
      <c r="D1893" s="900"/>
      <c r="E1893" s="900"/>
      <c r="F1893" s="900"/>
      <c r="G1893" s="900"/>
      <c r="H1893" s="900"/>
      <c r="I1893" s="900"/>
      <c r="J1893" s="900"/>
      <c r="K1893" s="900"/>
      <c r="L1893" s="900"/>
      <c r="M1893" s="900"/>
      <c r="N1893" s="900"/>
      <c r="O1893" s="900"/>
      <c r="P1893" s="900"/>
    </row>
    <row r="1894" spans="3:16" ht="14.25">
      <c r="C1894" s="900"/>
      <c r="D1894" s="900"/>
      <c r="E1894" s="900"/>
      <c r="F1894" s="900"/>
      <c r="G1894" s="900"/>
      <c r="H1894" s="900"/>
      <c r="I1894" s="900"/>
      <c r="J1894" s="900"/>
      <c r="K1894" s="900"/>
      <c r="L1894" s="900"/>
      <c r="M1894" s="900"/>
      <c r="N1894" s="900"/>
      <c r="O1894" s="900"/>
      <c r="P1894" s="900"/>
    </row>
    <row r="1895" spans="3:16" ht="14.25">
      <c r="C1895" s="900"/>
      <c r="D1895" s="900"/>
      <c r="E1895" s="900"/>
      <c r="F1895" s="900"/>
      <c r="G1895" s="900"/>
      <c r="H1895" s="900"/>
      <c r="I1895" s="900"/>
      <c r="J1895" s="900"/>
      <c r="K1895" s="900"/>
      <c r="L1895" s="900"/>
      <c r="M1895" s="900"/>
      <c r="N1895" s="900"/>
      <c r="O1895" s="900"/>
      <c r="P1895" s="900"/>
    </row>
    <row r="1896" spans="3:16" ht="14.25">
      <c r="C1896" s="900"/>
      <c r="D1896" s="900"/>
      <c r="E1896" s="900"/>
      <c r="F1896" s="900"/>
      <c r="G1896" s="900"/>
      <c r="H1896" s="900"/>
      <c r="I1896" s="900"/>
      <c r="J1896" s="900"/>
      <c r="K1896" s="900"/>
      <c r="L1896" s="900"/>
      <c r="M1896" s="900"/>
      <c r="N1896" s="900"/>
      <c r="O1896" s="900"/>
      <c r="P1896" s="900"/>
    </row>
    <row r="1897" spans="3:16" ht="14.25">
      <c r="C1897" s="900"/>
      <c r="D1897" s="900"/>
      <c r="E1897" s="900"/>
      <c r="F1897" s="900"/>
      <c r="G1897" s="900"/>
      <c r="H1897" s="900"/>
      <c r="I1897" s="900"/>
      <c r="J1897" s="900"/>
      <c r="K1897" s="900"/>
      <c r="L1897" s="900"/>
      <c r="M1897" s="900"/>
      <c r="N1897" s="900"/>
      <c r="O1897" s="900"/>
      <c r="P1897" s="900"/>
    </row>
    <row r="1898" spans="3:16" ht="14.25">
      <c r="C1898" s="900"/>
      <c r="D1898" s="900"/>
      <c r="E1898" s="900"/>
      <c r="F1898" s="900"/>
      <c r="G1898" s="900"/>
      <c r="H1898" s="900"/>
      <c r="I1898" s="900"/>
      <c r="J1898" s="900"/>
      <c r="K1898" s="900"/>
      <c r="L1898" s="900"/>
      <c r="M1898" s="900"/>
      <c r="N1898" s="900"/>
      <c r="O1898" s="900"/>
      <c r="P1898" s="900"/>
    </row>
    <row r="1899" spans="3:16" ht="14.25">
      <c r="C1899" s="900"/>
      <c r="D1899" s="900"/>
      <c r="E1899" s="900"/>
      <c r="F1899" s="900"/>
      <c r="G1899" s="900"/>
      <c r="H1899" s="900"/>
      <c r="I1899" s="900"/>
      <c r="J1899" s="900"/>
      <c r="K1899" s="900"/>
      <c r="L1899" s="900"/>
      <c r="M1899" s="900"/>
      <c r="N1899" s="900"/>
      <c r="O1899" s="900"/>
      <c r="P1899" s="900"/>
    </row>
    <row r="1900" spans="3:16" ht="14.25">
      <c r="C1900" s="900"/>
      <c r="D1900" s="900"/>
      <c r="E1900" s="900"/>
      <c r="F1900" s="900"/>
      <c r="G1900" s="900"/>
      <c r="H1900" s="900"/>
      <c r="I1900" s="900"/>
      <c r="J1900" s="900"/>
      <c r="K1900" s="900"/>
      <c r="L1900" s="900"/>
      <c r="M1900" s="900"/>
      <c r="N1900" s="900"/>
      <c r="O1900" s="900"/>
      <c r="P1900" s="900"/>
    </row>
    <row r="1901" spans="3:16" ht="14.25">
      <c r="C1901" s="900"/>
      <c r="D1901" s="900"/>
      <c r="E1901" s="900"/>
      <c r="F1901" s="900"/>
      <c r="G1901" s="900"/>
      <c r="H1901" s="900"/>
      <c r="I1901" s="900"/>
      <c r="J1901" s="900"/>
      <c r="K1901" s="900"/>
      <c r="L1901" s="900"/>
      <c r="M1901" s="900"/>
      <c r="N1901" s="900"/>
      <c r="O1901" s="900"/>
      <c r="P1901" s="900"/>
    </row>
    <row r="1902" spans="3:16" ht="14.25">
      <c r="C1902" s="900"/>
      <c r="D1902" s="900"/>
      <c r="E1902" s="900"/>
      <c r="F1902" s="900"/>
      <c r="G1902" s="900"/>
      <c r="H1902" s="900"/>
      <c r="I1902" s="900"/>
      <c r="J1902" s="900"/>
      <c r="K1902" s="900"/>
      <c r="L1902" s="900"/>
      <c r="M1902" s="900"/>
      <c r="N1902" s="900"/>
      <c r="O1902" s="900"/>
      <c r="P1902" s="900"/>
    </row>
    <row r="1903" spans="3:16" ht="14.25">
      <c r="C1903" s="900"/>
      <c r="D1903" s="900"/>
      <c r="E1903" s="900"/>
      <c r="F1903" s="900"/>
      <c r="G1903" s="900"/>
      <c r="H1903" s="900"/>
      <c r="I1903" s="900"/>
      <c r="J1903" s="900"/>
      <c r="K1903" s="900"/>
      <c r="L1903" s="900"/>
      <c r="M1903" s="900"/>
      <c r="N1903" s="900"/>
      <c r="O1903" s="900"/>
      <c r="P1903" s="900"/>
    </row>
    <row r="1904" spans="3:16" ht="14.25">
      <c r="C1904" s="900"/>
      <c r="D1904" s="900"/>
      <c r="E1904" s="900"/>
      <c r="F1904" s="900"/>
      <c r="G1904" s="900"/>
      <c r="H1904" s="900"/>
      <c r="I1904" s="900"/>
      <c r="J1904" s="900"/>
      <c r="K1904" s="900"/>
      <c r="L1904" s="900"/>
      <c r="M1904" s="900"/>
      <c r="N1904" s="900"/>
      <c r="O1904" s="900"/>
      <c r="P1904" s="900"/>
    </row>
    <row r="1905" spans="3:16" ht="14.25">
      <c r="C1905" s="900"/>
      <c r="D1905" s="900"/>
      <c r="E1905" s="900"/>
      <c r="F1905" s="900"/>
      <c r="G1905" s="900"/>
      <c r="H1905" s="900"/>
      <c r="I1905" s="900"/>
      <c r="J1905" s="900"/>
      <c r="K1905" s="900"/>
      <c r="L1905" s="900"/>
      <c r="M1905" s="900"/>
      <c r="N1905" s="900"/>
      <c r="O1905" s="900"/>
      <c r="P1905" s="900"/>
    </row>
    <row r="1906" spans="3:16" ht="14.25">
      <c r="C1906" s="900"/>
      <c r="D1906" s="900"/>
      <c r="E1906" s="900"/>
      <c r="F1906" s="900"/>
      <c r="G1906" s="900"/>
      <c r="H1906" s="900"/>
      <c r="I1906" s="900"/>
      <c r="J1906" s="900"/>
      <c r="K1906" s="900"/>
      <c r="L1906" s="900"/>
      <c r="M1906" s="900"/>
      <c r="N1906" s="900"/>
      <c r="O1906" s="900"/>
      <c r="P1906" s="900"/>
    </row>
    <row r="1907" spans="3:16" ht="14.25">
      <c r="C1907" s="900"/>
      <c r="D1907" s="900"/>
      <c r="E1907" s="900"/>
      <c r="F1907" s="900"/>
      <c r="G1907" s="900"/>
      <c r="H1907" s="900"/>
      <c r="I1907" s="900"/>
      <c r="J1907" s="900"/>
      <c r="K1907" s="900"/>
      <c r="L1907" s="900"/>
      <c r="M1907" s="900"/>
      <c r="N1907" s="900"/>
      <c r="O1907" s="900"/>
      <c r="P1907" s="900"/>
    </row>
    <row r="1908" spans="3:16" ht="14.25">
      <c r="C1908" s="900"/>
      <c r="D1908" s="900"/>
      <c r="E1908" s="900"/>
      <c r="F1908" s="900"/>
      <c r="G1908" s="900"/>
      <c r="H1908" s="900"/>
      <c r="I1908" s="900"/>
      <c r="J1908" s="900"/>
      <c r="K1908" s="900"/>
      <c r="L1908" s="900"/>
      <c r="M1908" s="900"/>
      <c r="N1908" s="900"/>
      <c r="O1908" s="900"/>
      <c r="P1908" s="900"/>
    </row>
    <row r="1909" spans="3:16" ht="14.25">
      <c r="C1909" s="900"/>
      <c r="D1909" s="900"/>
      <c r="E1909" s="900"/>
      <c r="F1909" s="900"/>
      <c r="G1909" s="900"/>
      <c r="H1909" s="900"/>
      <c r="I1909" s="900"/>
      <c r="J1909" s="900"/>
      <c r="K1909" s="900"/>
      <c r="L1909" s="900"/>
      <c r="M1909" s="900"/>
      <c r="N1909" s="900"/>
      <c r="O1909" s="900"/>
      <c r="P1909" s="900"/>
    </row>
    <row r="1910" spans="3:16" ht="14.25">
      <c r="C1910" s="900"/>
      <c r="D1910" s="900"/>
      <c r="E1910" s="900"/>
      <c r="F1910" s="900"/>
      <c r="G1910" s="900"/>
      <c r="H1910" s="900"/>
      <c r="I1910" s="900"/>
      <c r="J1910" s="900"/>
      <c r="K1910" s="900"/>
      <c r="L1910" s="900"/>
      <c r="M1910" s="900"/>
      <c r="N1910" s="900"/>
      <c r="O1910" s="900"/>
      <c r="P1910" s="900"/>
    </row>
    <row r="1911" spans="3:16" ht="14.25">
      <c r="C1911" s="900"/>
      <c r="D1911" s="900"/>
      <c r="E1911" s="900"/>
      <c r="F1911" s="900"/>
      <c r="G1911" s="900"/>
      <c r="H1911" s="900"/>
      <c r="I1911" s="900"/>
      <c r="J1911" s="900"/>
      <c r="K1911" s="900"/>
      <c r="L1911" s="900"/>
      <c r="M1911" s="900"/>
      <c r="N1911" s="900"/>
      <c r="O1911" s="900"/>
      <c r="P1911" s="900"/>
    </row>
    <row r="1912" spans="3:16" ht="14.25">
      <c r="C1912" s="900"/>
      <c r="D1912" s="900"/>
      <c r="E1912" s="900"/>
      <c r="F1912" s="900"/>
      <c r="G1912" s="900"/>
      <c r="H1912" s="900"/>
      <c r="I1912" s="900"/>
      <c r="J1912" s="900"/>
      <c r="K1912" s="900"/>
      <c r="L1912" s="900"/>
      <c r="M1912" s="900"/>
      <c r="N1912" s="900"/>
      <c r="O1912" s="900"/>
      <c r="P1912" s="900"/>
    </row>
    <row r="1913" spans="3:16" ht="14.25">
      <c r="C1913" s="900"/>
      <c r="D1913" s="900"/>
      <c r="E1913" s="900"/>
      <c r="F1913" s="900"/>
      <c r="G1913" s="900"/>
      <c r="H1913" s="900"/>
      <c r="I1913" s="900"/>
      <c r="J1913" s="900"/>
      <c r="K1913" s="900"/>
      <c r="L1913" s="900"/>
      <c r="M1913" s="900"/>
      <c r="N1913" s="900"/>
      <c r="O1913" s="900"/>
      <c r="P1913" s="900"/>
    </row>
    <row r="1914" spans="3:16" ht="14.25">
      <c r="C1914" s="900"/>
      <c r="D1914" s="900"/>
      <c r="E1914" s="900"/>
      <c r="F1914" s="900"/>
      <c r="G1914" s="900"/>
      <c r="H1914" s="900"/>
      <c r="I1914" s="900"/>
      <c r="J1914" s="900"/>
      <c r="K1914" s="900"/>
      <c r="L1914" s="900"/>
      <c r="M1914" s="900"/>
      <c r="N1914" s="900"/>
      <c r="O1914" s="900"/>
      <c r="P1914" s="900"/>
    </row>
    <row r="1915" spans="3:16" ht="14.25">
      <c r="C1915" s="900"/>
      <c r="D1915" s="900"/>
      <c r="E1915" s="900"/>
      <c r="F1915" s="900"/>
      <c r="G1915" s="900"/>
      <c r="H1915" s="900"/>
      <c r="I1915" s="900"/>
      <c r="J1915" s="900"/>
      <c r="K1915" s="900"/>
      <c r="L1915" s="900"/>
      <c r="M1915" s="900"/>
      <c r="N1915" s="900"/>
      <c r="O1915" s="900"/>
      <c r="P1915" s="900"/>
    </row>
    <row r="1916" spans="3:16" ht="14.25">
      <c r="C1916" s="900"/>
      <c r="D1916" s="900"/>
      <c r="E1916" s="900"/>
      <c r="F1916" s="900"/>
      <c r="G1916" s="900"/>
      <c r="H1916" s="900"/>
      <c r="I1916" s="900"/>
      <c r="J1916" s="900"/>
      <c r="K1916" s="900"/>
      <c r="L1916" s="900"/>
      <c r="M1916" s="900"/>
      <c r="N1916" s="900"/>
      <c r="O1916" s="900"/>
      <c r="P1916" s="900"/>
    </row>
    <row r="1917" spans="3:16" ht="14.25">
      <c r="C1917" s="900"/>
      <c r="D1917" s="900"/>
      <c r="E1917" s="900"/>
      <c r="F1917" s="900"/>
      <c r="G1917" s="900"/>
      <c r="H1917" s="900"/>
      <c r="I1917" s="900"/>
      <c r="J1917" s="900"/>
      <c r="K1917" s="900"/>
      <c r="L1917" s="900"/>
      <c r="M1917" s="900"/>
      <c r="N1917" s="900"/>
      <c r="O1917" s="900"/>
      <c r="P1917" s="900"/>
    </row>
    <row r="1918" spans="3:16" ht="14.25">
      <c r="C1918" s="900"/>
      <c r="D1918" s="900"/>
      <c r="E1918" s="900"/>
      <c r="F1918" s="900"/>
      <c r="G1918" s="900"/>
      <c r="H1918" s="900"/>
      <c r="I1918" s="900"/>
      <c r="J1918" s="900"/>
      <c r="K1918" s="900"/>
      <c r="L1918" s="900"/>
      <c r="M1918" s="900"/>
      <c r="N1918" s="900"/>
      <c r="O1918" s="900"/>
      <c r="P1918" s="900"/>
    </row>
    <row r="1919" spans="3:16" ht="14.25">
      <c r="C1919" s="900"/>
      <c r="D1919" s="900"/>
      <c r="E1919" s="900"/>
      <c r="F1919" s="900"/>
      <c r="G1919" s="900"/>
      <c r="H1919" s="900"/>
      <c r="I1919" s="900"/>
      <c r="J1919" s="900"/>
      <c r="K1919" s="900"/>
      <c r="L1919" s="900"/>
      <c r="M1919" s="900"/>
      <c r="N1919" s="900"/>
      <c r="O1919" s="900"/>
      <c r="P1919" s="900"/>
    </row>
    <row r="1920" spans="3:16" ht="14.25">
      <c r="C1920" s="900"/>
      <c r="D1920" s="900"/>
      <c r="E1920" s="900"/>
      <c r="F1920" s="900"/>
      <c r="G1920" s="900"/>
      <c r="H1920" s="900"/>
      <c r="I1920" s="900"/>
      <c r="J1920" s="900"/>
      <c r="K1920" s="900"/>
      <c r="L1920" s="900"/>
      <c r="M1920" s="900"/>
      <c r="N1920" s="900"/>
      <c r="O1920" s="900"/>
      <c r="P1920" s="900"/>
    </row>
    <row r="1921" spans="3:16" ht="14.25">
      <c r="C1921" s="900"/>
      <c r="D1921" s="900"/>
      <c r="E1921" s="900"/>
      <c r="F1921" s="900"/>
      <c r="G1921" s="900"/>
      <c r="H1921" s="900"/>
      <c r="I1921" s="900"/>
      <c r="J1921" s="900"/>
      <c r="K1921" s="900"/>
      <c r="L1921" s="900"/>
      <c r="M1921" s="900"/>
      <c r="N1921" s="900"/>
      <c r="O1921" s="900"/>
      <c r="P1921" s="900"/>
    </row>
    <row r="1922" spans="3:16" ht="14.25">
      <c r="C1922" s="900"/>
      <c r="D1922" s="900"/>
      <c r="E1922" s="900"/>
      <c r="F1922" s="900"/>
      <c r="G1922" s="900"/>
      <c r="H1922" s="900"/>
      <c r="I1922" s="900"/>
      <c r="J1922" s="900"/>
      <c r="K1922" s="900"/>
      <c r="L1922" s="900"/>
      <c r="M1922" s="900"/>
      <c r="N1922" s="900"/>
      <c r="O1922" s="900"/>
      <c r="P1922" s="900"/>
    </row>
    <row r="1923" spans="3:16" ht="14.25">
      <c r="C1923" s="900"/>
      <c r="D1923" s="900"/>
      <c r="E1923" s="900"/>
      <c r="F1923" s="900"/>
      <c r="G1923" s="900"/>
      <c r="H1923" s="900"/>
      <c r="I1923" s="900"/>
      <c r="J1923" s="900"/>
      <c r="K1923" s="900"/>
      <c r="L1923" s="900"/>
      <c r="M1923" s="900"/>
      <c r="N1923" s="900"/>
      <c r="O1923" s="900"/>
      <c r="P1923" s="900"/>
    </row>
    <row r="1924" spans="3:16" ht="14.25">
      <c r="C1924" s="900"/>
      <c r="D1924" s="900"/>
      <c r="E1924" s="900"/>
      <c r="F1924" s="900"/>
      <c r="G1924" s="900"/>
      <c r="H1924" s="900"/>
      <c r="I1924" s="900"/>
      <c r="J1924" s="900"/>
      <c r="K1924" s="900"/>
      <c r="L1924" s="900"/>
      <c r="M1924" s="900"/>
      <c r="N1924" s="900"/>
      <c r="O1924" s="900"/>
      <c r="P1924" s="900"/>
    </row>
    <row r="1925" spans="3:16" ht="14.25">
      <c r="C1925" s="900"/>
      <c r="D1925" s="900"/>
      <c r="E1925" s="900"/>
      <c r="F1925" s="900"/>
      <c r="G1925" s="900"/>
      <c r="H1925" s="900"/>
      <c r="I1925" s="900"/>
      <c r="J1925" s="900"/>
      <c r="K1925" s="900"/>
      <c r="L1925" s="900"/>
      <c r="M1925" s="900"/>
      <c r="N1925" s="900"/>
      <c r="O1925" s="900"/>
      <c r="P1925" s="900"/>
    </row>
    <row r="1926" spans="3:16" ht="14.25">
      <c r="C1926" s="900"/>
      <c r="D1926" s="900"/>
      <c r="E1926" s="900"/>
      <c r="F1926" s="900"/>
      <c r="G1926" s="900"/>
      <c r="H1926" s="900"/>
      <c r="I1926" s="900"/>
      <c r="J1926" s="900"/>
      <c r="K1926" s="900"/>
      <c r="L1926" s="900"/>
      <c r="M1926" s="900"/>
      <c r="N1926" s="900"/>
      <c r="O1926" s="900"/>
      <c r="P1926" s="900"/>
    </row>
    <row r="1927" spans="3:16" ht="14.25">
      <c r="C1927" s="900"/>
      <c r="D1927" s="900"/>
      <c r="E1927" s="900"/>
      <c r="F1927" s="900"/>
      <c r="G1927" s="900"/>
      <c r="H1927" s="900"/>
      <c r="I1927" s="900"/>
      <c r="J1927" s="900"/>
      <c r="K1927" s="900"/>
      <c r="L1927" s="900"/>
      <c r="M1927" s="900"/>
      <c r="N1927" s="900"/>
      <c r="O1927" s="900"/>
      <c r="P1927" s="900"/>
    </row>
    <row r="1928" spans="3:16" ht="14.25">
      <c r="C1928" s="900"/>
      <c r="D1928" s="900"/>
      <c r="E1928" s="900"/>
      <c r="F1928" s="900"/>
      <c r="G1928" s="900"/>
      <c r="H1928" s="900"/>
      <c r="I1928" s="900"/>
      <c r="J1928" s="900"/>
      <c r="K1928" s="900"/>
      <c r="L1928" s="900"/>
      <c r="M1928" s="900"/>
      <c r="N1928" s="900"/>
      <c r="O1928" s="900"/>
      <c r="P1928" s="900"/>
    </row>
    <row r="1929" spans="3:16" ht="14.25">
      <c r="C1929" s="900"/>
      <c r="D1929" s="900"/>
      <c r="E1929" s="900"/>
      <c r="F1929" s="900"/>
      <c r="G1929" s="900"/>
      <c r="H1929" s="900"/>
      <c r="I1929" s="900"/>
      <c r="J1929" s="900"/>
      <c r="K1929" s="900"/>
      <c r="L1929" s="900"/>
      <c r="M1929" s="900"/>
      <c r="N1929" s="900"/>
      <c r="O1929" s="900"/>
      <c r="P1929" s="900"/>
    </row>
    <row r="1930" spans="3:16" ht="14.25">
      <c r="C1930" s="900"/>
      <c r="D1930" s="900"/>
      <c r="E1930" s="900"/>
      <c r="F1930" s="900"/>
      <c r="G1930" s="900"/>
      <c r="H1930" s="900"/>
      <c r="I1930" s="900"/>
      <c r="J1930" s="900"/>
      <c r="K1930" s="900"/>
      <c r="L1930" s="900"/>
      <c r="M1930" s="900"/>
      <c r="N1930" s="900"/>
      <c r="O1930" s="900"/>
      <c r="P1930" s="900"/>
    </row>
    <row r="1931" spans="3:16" ht="14.25">
      <c r="C1931" s="900"/>
      <c r="D1931" s="900"/>
      <c r="E1931" s="900"/>
      <c r="F1931" s="900"/>
      <c r="G1931" s="900"/>
      <c r="H1931" s="900"/>
      <c r="I1931" s="900"/>
      <c r="J1931" s="900"/>
      <c r="K1931" s="900"/>
      <c r="L1931" s="900"/>
      <c r="M1931" s="900"/>
      <c r="N1931" s="900"/>
      <c r="O1931" s="900"/>
      <c r="P1931" s="900"/>
    </row>
    <row r="1932" spans="3:16" ht="14.25">
      <c r="C1932" s="900"/>
      <c r="D1932" s="900"/>
      <c r="E1932" s="900"/>
      <c r="F1932" s="900"/>
      <c r="G1932" s="900"/>
      <c r="H1932" s="900"/>
      <c r="I1932" s="900"/>
      <c r="J1932" s="900"/>
      <c r="K1932" s="900"/>
      <c r="L1932" s="900"/>
      <c r="M1932" s="900"/>
      <c r="N1932" s="900"/>
      <c r="O1932" s="900"/>
      <c r="P1932" s="900"/>
    </row>
    <row r="1933" spans="3:16" ht="14.25">
      <c r="C1933" s="900"/>
      <c r="D1933" s="900"/>
      <c r="E1933" s="900"/>
      <c r="F1933" s="900"/>
      <c r="G1933" s="900"/>
      <c r="H1933" s="900"/>
      <c r="I1933" s="900"/>
      <c r="J1933" s="900"/>
      <c r="K1933" s="900"/>
      <c r="L1933" s="900"/>
      <c r="M1933" s="900"/>
      <c r="N1933" s="900"/>
      <c r="O1933" s="900"/>
      <c r="P1933" s="900"/>
    </row>
    <row r="1934" spans="3:16" ht="14.25">
      <c r="C1934" s="900"/>
      <c r="D1934" s="900"/>
      <c r="E1934" s="900"/>
      <c r="F1934" s="900"/>
      <c r="G1934" s="900"/>
      <c r="H1934" s="900"/>
      <c r="I1934" s="900"/>
      <c r="J1934" s="900"/>
      <c r="K1934" s="900"/>
      <c r="L1934" s="900"/>
      <c r="M1934" s="900"/>
      <c r="N1934" s="900"/>
      <c r="O1934" s="900"/>
      <c r="P1934" s="900"/>
    </row>
    <row r="1935" spans="3:16" ht="14.25">
      <c r="C1935" s="900"/>
      <c r="D1935" s="900"/>
      <c r="E1935" s="900"/>
      <c r="F1935" s="900"/>
      <c r="G1935" s="900"/>
      <c r="H1935" s="900"/>
      <c r="I1935" s="900"/>
      <c r="J1935" s="900"/>
      <c r="K1935" s="900"/>
      <c r="L1935" s="900"/>
      <c r="M1935" s="900"/>
      <c r="N1935" s="900"/>
      <c r="O1935" s="900"/>
      <c r="P1935" s="900"/>
    </row>
    <row r="1936" spans="3:16" ht="14.25">
      <c r="C1936" s="900"/>
      <c r="D1936" s="900"/>
      <c r="E1936" s="900"/>
      <c r="F1936" s="900"/>
      <c r="G1936" s="900"/>
      <c r="H1936" s="900"/>
      <c r="I1936" s="900"/>
      <c r="J1936" s="900"/>
      <c r="K1936" s="900"/>
      <c r="L1936" s="900"/>
      <c r="M1936" s="900"/>
      <c r="N1936" s="900"/>
      <c r="O1936" s="900"/>
      <c r="P1936" s="900"/>
    </row>
    <row r="1937" spans="3:16" ht="14.25">
      <c r="C1937" s="900"/>
      <c r="D1937" s="900"/>
      <c r="E1937" s="900"/>
      <c r="F1937" s="900"/>
      <c r="G1937" s="900"/>
      <c r="H1937" s="900"/>
      <c r="I1937" s="900"/>
      <c r="J1937" s="900"/>
      <c r="K1937" s="900"/>
      <c r="L1937" s="900"/>
      <c r="M1937" s="900"/>
      <c r="N1937" s="900"/>
      <c r="O1937" s="900"/>
      <c r="P1937" s="900"/>
    </row>
    <row r="1938" spans="3:16" ht="14.25">
      <c r="C1938" s="900"/>
      <c r="D1938" s="900"/>
      <c r="E1938" s="900"/>
      <c r="F1938" s="900"/>
      <c r="G1938" s="900"/>
      <c r="H1938" s="900"/>
      <c r="I1938" s="900"/>
      <c r="J1938" s="900"/>
      <c r="K1938" s="900"/>
      <c r="L1938" s="900"/>
      <c r="M1938" s="900"/>
      <c r="N1938" s="900"/>
      <c r="O1938" s="900"/>
      <c r="P1938" s="900"/>
    </row>
    <row r="1939" spans="3:16" ht="14.25">
      <c r="C1939" s="900"/>
      <c r="D1939" s="900"/>
      <c r="E1939" s="900"/>
      <c r="F1939" s="900"/>
      <c r="G1939" s="900"/>
      <c r="H1939" s="900"/>
      <c r="I1939" s="900"/>
      <c r="J1939" s="900"/>
      <c r="K1939" s="900"/>
      <c r="L1939" s="900"/>
      <c r="M1939" s="900"/>
      <c r="N1939" s="900"/>
      <c r="O1939" s="900"/>
      <c r="P1939" s="900"/>
    </row>
    <row r="1940" spans="3:16" ht="14.25">
      <c r="C1940" s="900"/>
      <c r="D1940" s="900"/>
      <c r="E1940" s="900"/>
      <c r="F1940" s="900"/>
      <c r="G1940" s="900"/>
      <c r="H1940" s="900"/>
      <c r="I1940" s="900"/>
      <c r="J1940" s="900"/>
      <c r="K1940" s="900"/>
      <c r="L1940" s="900"/>
      <c r="M1940" s="900"/>
      <c r="N1940" s="900"/>
      <c r="O1940" s="900"/>
      <c r="P1940" s="900"/>
    </row>
    <row r="1941" spans="3:16" ht="14.25">
      <c r="C1941" s="900"/>
      <c r="D1941" s="900"/>
      <c r="E1941" s="900"/>
      <c r="F1941" s="900"/>
      <c r="G1941" s="900"/>
      <c r="H1941" s="900"/>
      <c r="I1941" s="900"/>
      <c r="J1941" s="900"/>
      <c r="K1941" s="900"/>
      <c r="L1941" s="900"/>
      <c r="M1941" s="900"/>
      <c r="N1941" s="900"/>
      <c r="O1941" s="900"/>
      <c r="P1941" s="900"/>
    </row>
    <row r="1942" spans="3:16" ht="14.25">
      <c r="C1942" s="900"/>
      <c r="D1942" s="900"/>
      <c r="E1942" s="900"/>
      <c r="F1942" s="900"/>
      <c r="G1942" s="900"/>
      <c r="H1942" s="900"/>
      <c r="I1942" s="900"/>
      <c r="J1942" s="900"/>
      <c r="K1942" s="900"/>
      <c r="L1942" s="900"/>
      <c r="M1942" s="900"/>
      <c r="N1942" s="900"/>
      <c r="O1942" s="900"/>
      <c r="P1942" s="900"/>
    </row>
    <row r="1943" spans="3:16" ht="14.25">
      <c r="C1943" s="900"/>
      <c r="D1943" s="900"/>
      <c r="E1943" s="900"/>
      <c r="F1943" s="900"/>
      <c r="G1943" s="900"/>
      <c r="H1943" s="900"/>
      <c r="I1943" s="900"/>
      <c r="J1943" s="900"/>
      <c r="K1943" s="900"/>
      <c r="L1943" s="900"/>
      <c r="M1943" s="900"/>
      <c r="N1943" s="900"/>
      <c r="O1943" s="900"/>
      <c r="P1943" s="900"/>
    </row>
    <row r="1944" spans="3:16" ht="14.25">
      <c r="C1944" s="900"/>
      <c r="D1944" s="900"/>
      <c r="E1944" s="900"/>
      <c r="F1944" s="900"/>
      <c r="G1944" s="900"/>
      <c r="H1944" s="900"/>
      <c r="I1944" s="900"/>
      <c r="J1944" s="900"/>
      <c r="K1944" s="900"/>
      <c r="L1944" s="900"/>
      <c r="M1944" s="900"/>
      <c r="N1944" s="900"/>
      <c r="O1944" s="900"/>
      <c r="P1944" s="900"/>
    </row>
    <row r="1945" spans="3:16" ht="14.25">
      <c r="C1945" s="900"/>
      <c r="D1945" s="900"/>
      <c r="E1945" s="900"/>
      <c r="F1945" s="900"/>
      <c r="G1945" s="900"/>
      <c r="H1945" s="900"/>
      <c r="I1945" s="900"/>
      <c r="J1945" s="900"/>
      <c r="K1945" s="900"/>
      <c r="L1945" s="900"/>
      <c r="M1945" s="900"/>
      <c r="N1945" s="900"/>
      <c r="O1945" s="900"/>
      <c r="P1945" s="900"/>
    </row>
    <row r="1946" spans="3:16" ht="14.25">
      <c r="C1946" s="900"/>
      <c r="D1946" s="900"/>
      <c r="E1946" s="900"/>
      <c r="F1946" s="900"/>
      <c r="G1946" s="900"/>
      <c r="H1946" s="900"/>
      <c r="I1946" s="900"/>
      <c r="J1946" s="900"/>
      <c r="K1946" s="900"/>
      <c r="L1946" s="900"/>
      <c r="M1946" s="900"/>
      <c r="N1946" s="900"/>
      <c r="O1946" s="900"/>
      <c r="P1946" s="900"/>
    </row>
    <row r="1947" spans="3:16" ht="14.25">
      <c r="C1947" s="900"/>
      <c r="D1947" s="900"/>
      <c r="E1947" s="900"/>
      <c r="F1947" s="900"/>
      <c r="G1947" s="900"/>
      <c r="H1947" s="900"/>
      <c r="I1947" s="900"/>
      <c r="J1947" s="900"/>
      <c r="K1947" s="900"/>
      <c r="L1947" s="900"/>
      <c r="M1947" s="900"/>
      <c r="N1947" s="900"/>
      <c r="O1947" s="900"/>
      <c r="P1947" s="900"/>
    </row>
    <row r="1948" spans="3:16" ht="14.25">
      <c r="C1948" s="900"/>
      <c r="D1948" s="900"/>
      <c r="E1948" s="900"/>
      <c r="F1948" s="900"/>
      <c r="G1948" s="900"/>
      <c r="H1948" s="900"/>
      <c r="I1948" s="900"/>
      <c r="J1948" s="900"/>
      <c r="K1948" s="900"/>
      <c r="L1948" s="900"/>
      <c r="M1948" s="900"/>
      <c r="N1948" s="900"/>
      <c r="O1948" s="900"/>
      <c r="P1948" s="900"/>
    </row>
    <row r="1949" spans="3:16" ht="14.25">
      <c r="C1949" s="900"/>
      <c r="D1949" s="900"/>
      <c r="E1949" s="900"/>
      <c r="F1949" s="900"/>
      <c r="G1949" s="900"/>
      <c r="H1949" s="900"/>
      <c r="I1949" s="900"/>
      <c r="J1949" s="900"/>
      <c r="K1949" s="900"/>
      <c r="L1949" s="900"/>
      <c r="M1949" s="900"/>
      <c r="N1949" s="900"/>
      <c r="O1949" s="900"/>
      <c r="P1949" s="900"/>
    </row>
    <row r="1950" spans="3:16" ht="14.25">
      <c r="C1950" s="900"/>
      <c r="D1950" s="900"/>
      <c r="E1950" s="900"/>
      <c r="F1950" s="900"/>
      <c r="G1950" s="900"/>
      <c r="H1950" s="900"/>
      <c r="I1950" s="900"/>
      <c r="J1950" s="900"/>
      <c r="K1950" s="900"/>
      <c r="L1950" s="900"/>
      <c r="M1950" s="900"/>
      <c r="N1950" s="900"/>
      <c r="O1950" s="900"/>
      <c r="P1950" s="900"/>
    </row>
    <row r="1951" spans="3:16" ht="14.25">
      <c r="C1951" s="900"/>
      <c r="D1951" s="900"/>
      <c r="E1951" s="900"/>
      <c r="F1951" s="900"/>
      <c r="G1951" s="900"/>
      <c r="H1951" s="900"/>
      <c r="I1951" s="900"/>
      <c r="J1951" s="900"/>
      <c r="K1951" s="900"/>
      <c r="L1951" s="900"/>
      <c r="M1951" s="900"/>
      <c r="N1951" s="900"/>
      <c r="O1951" s="900"/>
      <c r="P1951" s="900"/>
    </row>
    <row r="1952" spans="3:16" ht="14.25">
      <c r="C1952" s="900"/>
      <c r="D1952" s="900"/>
      <c r="E1952" s="900"/>
      <c r="F1952" s="900"/>
      <c r="G1952" s="900"/>
      <c r="H1952" s="900"/>
      <c r="I1952" s="900"/>
      <c r="J1952" s="900"/>
      <c r="K1952" s="900"/>
      <c r="L1952" s="900"/>
      <c r="M1952" s="900"/>
      <c r="N1952" s="900"/>
      <c r="O1952" s="900"/>
      <c r="P1952" s="900"/>
    </row>
    <row r="1953" spans="3:16" ht="14.25">
      <c r="C1953" s="900"/>
      <c r="D1953" s="900"/>
      <c r="E1953" s="900"/>
      <c r="F1953" s="900"/>
      <c r="G1953" s="900"/>
      <c r="H1953" s="900"/>
      <c r="I1953" s="900"/>
      <c r="J1953" s="900"/>
      <c r="K1953" s="900"/>
      <c r="L1953" s="900"/>
      <c r="M1953" s="900"/>
      <c r="N1953" s="900"/>
      <c r="O1953" s="900"/>
      <c r="P1953" s="900"/>
    </row>
    <row r="1954" spans="3:16" ht="14.25">
      <c r="C1954" s="900"/>
      <c r="D1954" s="900"/>
      <c r="E1954" s="900"/>
      <c r="F1954" s="900"/>
      <c r="G1954" s="900"/>
      <c r="H1954" s="900"/>
      <c r="I1954" s="900"/>
      <c r="J1954" s="900"/>
      <c r="K1954" s="900"/>
      <c r="L1954" s="900"/>
      <c r="M1954" s="900"/>
      <c r="N1954" s="900"/>
      <c r="O1954" s="900"/>
      <c r="P1954" s="900"/>
    </row>
    <row r="1955" spans="3:16" ht="14.25">
      <c r="C1955" s="900"/>
      <c r="D1955" s="900"/>
      <c r="E1955" s="900"/>
      <c r="F1955" s="900"/>
      <c r="G1955" s="900"/>
      <c r="H1955" s="900"/>
      <c r="I1955" s="900"/>
      <c r="J1955" s="900"/>
      <c r="K1955" s="900"/>
      <c r="L1955" s="900"/>
      <c r="M1955" s="900"/>
      <c r="N1955" s="900"/>
      <c r="O1955" s="900"/>
      <c r="P1955" s="900"/>
    </row>
    <row r="1956" spans="3:16" ht="14.25">
      <c r="C1956" s="900"/>
      <c r="D1956" s="900"/>
      <c r="E1956" s="900"/>
      <c r="F1956" s="900"/>
      <c r="G1956" s="900"/>
      <c r="H1956" s="900"/>
      <c r="I1956" s="900"/>
      <c r="J1956" s="900"/>
      <c r="K1956" s="900"/>
      <c r="L1956" s="900"/>
      <c r="M1956" s="900"/>
      <c r="N1956" s="900"/>
      <c r="O1956" s="900"/>
      <c r="P1956" s="900"/>
    </row>
    <row r="1957" spans="3:16" ht="14.25">
      <c r="C1957" s="900"/>
      <c r="D1957" s="900"/>
      <c r="E1957" s="900"/>
      <c r="F1957" s="900"/>
      <c r="G1957" s="900"/>
      <c r="H1957" s="900"/>
      <c r="I1957" s="900"/>
      <c r="J1957" s="900"/>
      <c r="K1957" s="900"/>
      <c r="L1957" s="900"/>
      <c r="M1957" s="900"/>
      <c r="N1957" s="900"/>
      <c r="O1957" s="900"/>
      <c r="P1957" s="900"/>
    </row>
    <row r="1958" spans="3:16" ht="14.25">
      <c r="C1958" s="900"/>
      <c r="D1958" s="900"/>
      <c r="E1958" s="900"/>
      <c r="F1958" s="900"/>
      <c r="G1958" s="900"/>
      <c r="H1958" s="900"/>
      <c r="I1958" s="900"/>
      <c r="J1958" s="900"/>
      <c r="K1958" s="900"/>
      <c r="L1958" s="900"/>
      <c r="M1958" s="900"/>
      <c r="N1958" s="900"/>
      <c r="O1958" s="900"/>
      <c r="P1958" s="900"/>
    </row>
    <row r="1959" spans="3:16" ht="14.25">
      <c r="C1959" s="900"/>
      <c r="D1959" s="900"/>
      <c r="E1959" s="900"/>
      <c r="F1959" s="900"/>
      <c r="G1959" s="900"/>
      <c r="H1959" s="900"/>
      <c r="I1959" s="900"/>
      <c r="J1959" s="900"/>
      <c r="K1959" s="900"/>
      <c r="L1959" s="900"/>
      <c r="M1959" s="900"/>
      <c r="N1959" s="900"/>
      <c r="O1959" s="900"/>
      <c r="P1959" s="900"/>
    </row>
    <row r="1960" spans="3:16" ht="14.25">
      <c r="C1960" s="900"/>
      <c r="D1960" s="900"/>
      <c r="E1960" s="900"/>
      <c r="F1960" s="900"/>
      <c r="G1960" s="900"/>
      <c r="H1960" s="900"/>
      <c r="I1960" s="900"/>
      <c r="J1960" s="900"/>
      <c r="K1960" s="900"/>
      <c r="L1960" s="900"/>
      <c r="M1960" s="900"/>
      <c r="N1960" s="900"/>
      <c r="O1960" s="900"/>
      <c r="P1960" s="900"/>
    </row>
    <row r="1961" spans="3:16" ht="14.25">
      <c r="C1961" s="900"/>
      <c r="D1961" s="900"/>
      <c r="E1961" s="900"/>
      <c r="F1961" s="900"/>
      <c r="G1961" s="900"/>
      <c r="H1961" s="900"/>
      <c r="I1961" s="900"/>
      <c r="J1961" s="900"/>
      <c r="K1961" s="900"/>
      <c r="L1961" s="900"/>
      <c r="M1961" s="900"/>
      <c r="N1961" s="900"/>
      <c r="O1961" s="900"/>
      <c r="P1961" s="900"/>
    </row>
    <row r="1962" spans="3:16" ht="14.25">
      <c r="C1962" s="900"/>
      <c r="D1962" s="900"/>
      <c r="E1962" s="900"/>
      <c r="F1962" s="900"/>
      <c r="G1962" s="900"/>
      <c r="H1962" s="900"/>
      <c r="I1962" s="900"/>
      <c r="J1962" s="900"/>
      <c r="K1962" s="900"/>
      <c r="L1962" s="900"/>
      <c r="M1962" s="900"/>
      <c r="N1962" s="900"/>
      <c r="O1962" s="900"/>
      <c r="P1962" s="900"/>
    </row>
    <row r="1963" spans="3:16" ht="14.25">
      <c r="C1963" s="900"/>
      <c r="D1963" s="900"/>
      <c r="E1963" s="900"/>
      <c r="F1963" s="900"/>
      <c r="G1963" s="900"/>
      <c r="H1963" s="900"/>
      <c r="I1963" s="900"/>
      <c r="J1963" s="900"/>
      <c r="K1963" s="900"/>
      <c r="L1963" s="900"/>
      <c r="M1963" s="900"/>
      <c r="N1963" s="900"/>
      <c r="O1963" s="900"/>
      <c r="P1963" s="900"/>
    </row>
    <row r="1964" spans="3:16" ht="14.25">
      <c r="C1964" s="900"/>
      <c r="D1964" s="900"/>
      <c r="E1964" s="900"/>
      <c r="F1964" s="900"/>
      <c r="G1964" s="900"/>
      <c r="H1964" s="900"/>
      <c r="I1964" s="900"/>
      <c r="J1964" s="900"/>
      <c r="K1964" s="900"/>
      <c r="L1964" s="900"/>
      <c r="M1964" s="900"/>
      <c r="N1964" s="900"/>
      <c r="O1964" s="900"/>
      <c r="P1964" s="900"/>
    </row>
    <row r="1965" spans="3:16" ht="14.25">
      <c r="C1965" s="900"/>
      <c r="D1965" s="900"/>
      <c r="E1965" s="900"/>
      <c r="F1965" s="900"/>
      <c r="G1965" s="900"/>
      <c r="H1965" s="900"/>
      <c r="I1965" s="900"/>
      <c r="J1965" s="900"/>
      <c r="K1965" s="900"/>
      <c r="L1965" s="900"/>
      <c r="M1965" s="900"/>
      <c r="N1965" s="900"/>
      <c r="O1965" s="900"/>
      <c r="P1965" s="900"/>
    </row>
    <row r="1966" spans="3:16" ht="14.25">
      <c r="C1966" s="900"/>
      <c r="D1966" s="900"/>
      <c r="E1966" s="900"/>
      <c r="F1966" s="900"/>
      <c r="G1966" s="900"/>
      <c r="H1966" s="900"/>
      <c r="I1966" s="900"/>
      <c r="J1966" s="900"/>
      <c r="K1966" s="900"/>
      <c r="L1966" s="900"/>
      <c r="M1966" s="900"/>
      <c r="N1966" s="900"/>
      <c r="O1966" s="900"/>
      <c r="P1966" s="900"/>
    </row>
    <row r="1967" spans="3:16" ht="14.25">
      <c r="C1967" s="900"/>
      <c r="D1967" s="900"/>
      <c r="E1967" s="900"/>
      <c r="F1967" s="900"/>
      <c r="G1967" s="900"/>
      <c r="H1967" s="900"/>
      <c r="I1967" s="900"/>
      <c r="J1967" s="900"/>
      <c r="K1967" s="900"/>
      <c r="L1967" s="900"/>
      <c r="M1967" s="900"/>
      <c r="N1967" s="900"/>
      <c r="O1967" s="900"/>
      <c r="P1967" s="900"/>
    </row>
    <row r="1968" spans="3:16" ht="14.25">
      <c r="C1968" s="900"/>
      <c r="D1968" s="900"/>
      <c r="E1968" s="900"/>
      <c r="F1968" s="900"/>
      <c r="G1968" s="900"/>
      <c r="H1968" s="900"/>
      <c r="I1968" s="900"/>
      <c r="J1968" s="900"/>
      <c r="K1968" s="900"/>
      <c r="L1968" s="900"/>
      <c r="M1968" s="900"/>
      <c r="N1968" s="900"/>
      <c r="O1968" s="900"/>
      <c r="P1968" s="900"/>
    </row>
    <row r="1969" spans="3:16" ht="14.25">
      <c r="C1969" s="900"/>
      <c r="D1969" s="900"/>
      <c r="E1969" s="900"/>
      <c r="F1969" s="900"/>
      <c r="G1969" s="900"/>
      <c r="H1969" s="900"/>
      <c r="I1969" s="900"/>
      <c r="J1969" s="900"/>
      <c r="K1969" s="900"/>
      <c r="L1969" s="900"/>
      <c r="M1969" s="900"/>
      <c r="N1969" s="900"/>
      <c r="O1969" s="900"/>
      <c r="P1969" s="900"/>
    </row>
    <row r="1970" spans="3:16" ht="14.25">
      <c r="C1970" s="900"/>
      <c r="D1970" s="900"/>
      <c r="E1970" s="900"/>
      <c r="F1970" s="900"/>
      <c r="G1970" s="900"/>
      <c r="H1970" s="900"/>
      <c r="I1970" s="900"/>
      <c r="J1970" s="900"/>
      <c r="K1970" s="900"/>
      <c r="L1970" s="900"/>
      <c r="M1970" s="900"/>
      <c r="N1970" s="900"/>
      <c r="O1970" s="900"/>
      <c r="P1970" s="900"/>
    </row>
    <row r="1971" spans="3:16" ht="14.25">
      <c r="C1971" s="900"/>
      <c r="D1971" s="900"/>
      <c r="E1971" s="900"/>
      <c r="F1971" s="900"/>
      <c r="G1971" s="900"/>
      <c r="H1971" s="900"/>
      <c r="I1971" s="900"/>
      <c r="J1971" s="900"/>
      <c r="K1971" s="900"/>
      <c r="L1971" s="900"/>
      <c r="M1971" s="900"/>
      <c r="N1971" s="900"/>
      <c r="O1971" s="900"/>
      <c r="P1971" s="900"/>
    </row>
    <row r="1972" spans="3:16" ht="14.25">
      <c r="C1972" s="900"/>
      <c r="D1972" s="900"/>
      <c r="E1972" s="900"/>
      <c r="F1972" s="900"/>
      <c r="G1972" s="900"/>
      <c r="H1972" s="900"/>
      <c r="I1972" s="900"/>
      <c r="J1972" s="900"/>
      <c r="K1972" s="900"/>
      <c r="L1972" s="900"/>
      <c r="M1972" s="900"/>
      <c r="N1972" s="900"/>
      <c r="O1972" s="900"/>
      <c r="P1972" s="900"/>
    </row>
    <row r="1973" spans="3:16" ht="14.25">
      <c r="C1973" s="900"/>
      <c r="D1973" s="900"/>
      <c r="E1973" s="900"/>
      <c r="F1973" s="900"/>
      <c r="G1973" s="900"/>
      <c r="H1973" s="900"/>
      <c r="I1973" s="900"/>
      <c r="J1973" s="900"/>
      <c r="K1973" s="900"/>
      <c r="L1973" s="900"/>
      <c r="M1973" s="900"/>
      <c r="N1973" s="900"/>
      <c r="O1973" s="900"/>
      <c r="P1973" s="900"/>
    </row>
    <row r="1974" spans="3:16" ht="14.25">
      <c r="C1974" s="900"/>
      <c r="D1974" s="900"/>
      <c r="E1974" s="900"/>
      <c r="F1974" s="900"/>
      <c r="G1974" s="900"/>
      <c r="H1974" s="900"/>
      <c r="I1974" s="900"/>
      <c r="J1974" s="900"/>
      <c r="K1974" s="900"/>
      <c r="L1974" s="900"/>
      <c r="M1974" s="900"/>
      <c r="N1974" s="900"/>
      <c r="O1974" s="900"/>
      <c r="P1974" s="900"/>
    </row>
    <row r="1975" spans="3:16" ht="14.25">
      <c r="C1975" s="900"/>
      <c r="D1975" s="900"/>
      <c r="E1975" s="900"/>
      <c r="F1975" s="900"/>
      <c r="G1975" s="900"/>
      <c r="H1975" s="900"/>
      <c r="I1975" s="900"/>
      <c r="J1975" s="900"/>
      <c r="K1975" s="900"/>
      <c r="L1975" s="900"/>
      <c r="M1975" s="900"/>
      <c r="N1975" s="900"/>
      <c r="O1975" s="900"/>
      <c r="P1975" s="900"/>
    </row>
    <row r="1976" spans="3:16" ht="14.25">
      <c r="C1976" s="900"/>
      <c r="D1976" s="900"/>
      <c r="E1976" s="900"/>
      <c r="F1976" s="900"/>
      <c r="G1976" s="900"/>
      <c r="H1976" s="900"/>
      <c r="I1976" s="900"/>
      <c r="J1976" s="900"/>
      <c r="K1976" s="900"/>
      <c r="L1976" s="900"/>
      <c r="M1976" s="900"/>
      <c r="N1976" s="900"/>
      <c r="O1976" s="900"/>
      <c r="P1976" s="900"/>
    </row>
    <row r="1977" spans="3:16" ht="14.25">
      <c r="C1977" s="900"/>
      <c r="D1977" s="900"/>
      <c r="E1977" s="900"/>
      <c r="F1977" s="900"/>
      <c r="G1977" s="900"/>
      <c r="H1977" s="900"/>
      <c r="I1977" s="900"/>
      <c r="J1977" s="900"/>
      <c r="K1977" s="900"/>
      <c r="L1977" s="900"/>
      <c r="M1977" s="900"/>
      <c r="N1977" s="900"/>
      <c r="O1977" s="900"/>
      <c r="P1977" s="900"/>
    </row>
    <row r="1978" spans="3:16" ht="14.25">
      <c r="C1978" s="900"/>
      <c r="D1978" s="900"/>
      <c r="E1978" s="900"/>
      <c r="F1978" s="900"/>
      <c r="G1978" s="900"/>
      <c r="H1978" s="900"/>
      <c r="I1978" s="900"/>
      <c r="J1978" s="900"/>
      <c r="K1978" s="900"/>
      <c r="L1978" s="900"/>
      <c r="M1978" s="900"/>
      <c r="N1978" s="900"/>
      <c r="O1978" s="900"/>
      <c r="P1978" s="900"/>
    </row>
    <row r="1979" spans="3:16" ht="14.25">
      <c r="C1979" s="900"/>
      <c r="D1979" s="900"/>
      <c r="E1979" s="900"/>
      <c r="F1979" s="900"/>
      <c r="G1979" s="900"/>
      <c r="H1979" s="900"/>
      <c r="I1979" s="900"/>
      <c r="J1979" s="900"/>
      <c r="K1979" s="900"/>
      <c r="L1979" s="900"/>
      <c r="M1979" s="900"/>
      <c r="N1979" s="900"/>
      <c r="O1979" s="900"/>
      <c r="P1979" s="900"/>
    </row>
    <row r="1980" spans="3:16" ht="14.25">
      <c r="C1980" s="900"/>
      <c r="D1980" s="900"/>
      <c r="E1980" s="900"/>
      <c r="F1980" s="900"/>
      <c r="G1980" s="900"/>
      <c r="H1980" s="900"/>
      <c r="I1980" s="900"/>
      <c r="J1980" s="900"/>
      <c r="K1980" s="900"/>
      <c r="L1980" s="900"/>
      <c r="M1980" s="900"/>
      <c r="N1980" s="900"/>
      <c r="O1980" s="900"/>
      <c r="P1980" s="900"/>
    </row>
    <row r="1981" spans="3:16" ht="14.25">
      <c r="C1981" s="900"/>
      <c r="D1981" s="900"/>
      <c r="E1981" s="900"/>
      <c r="F1981" s="900"/>
      <c r="G1981" s="900"/>
      <c r="H1981" s="900"/>
      <c r="I1981" s="900"/>
      <c r="J1981" s="900"/>
      <c r="K1981" s="900"/>
      <c r="L1981" s="900"/>
      <c r="M1981" s="900"/>
      <c r="N1981" s="900"/>
      <c r="O1981" s="900"/>
      <c r="P1981" s="900"/>
    </row>
    <row r="1982" spans="3:16" ht="14.25">
      <c r="C1982" s="900"/>
      <c r="D1982" s="900"/>
      <c r="E1982" s="900"/>
      <c r="F1982" s="900"/>
      <c r="G1982" s="900"/>
      <c r="H1982" s="900"/>
      <c r="I1982" s="900"/>
      <c r="J1982" s="900"/>
      <c r="K1982" s="900"/>
      <c r="L1982" s="900"/>
      <c r="M1982" s="900"/>
      <c r="N1982" s="900"/>
      <c r="O1982" s="900"/>
      <c r="P1982" s="900"/>
    </row>
    <row r="1983" spans="3:16" ht="14.25">
      <c r="C1983" s="900"/>
      <c r="D1983" s="900"/>
      <c r="E1983" s="900"/>
      <c r="F1983" s="900"/>
      <c r="G1983" s="900"/>
      <c r="H1983" s="900"/>
      <c r="I1983" s="900"/>
      <c r="J1983" s="900"/>
      <c r="K1983" s="900"/>
      <c r="L1983" s="900"/>
      <c r="M1983" s="900"/>
      <c r="N1983" s="900"/>
      <c r="O1983" s="900"/>
      <c r="P1983" s="900"/>
    </row>
    <row r="1984" spans="3:16" ht="14.25">
      <c r="C1984" s="900"/>
      <c r="D1984" s="900"/>
      <c r="E1984" s="900"/>
      <c r="F1984" s="900"/>
      <c r="G1984" s="900"/>
      <c r="H1984" s="900"/>
      <c r="I1984" s="900"/>
      <c r="J1984" s="900"/>
      <c r="K1984" s="900"/>
      <c r="L1984" s="900"/>
      <c r="M1984" s="900"/>
      <c r="N1984" s="900"/>
      <c r="O1984" s="900"/>
      <c r="P1984" s="900"/>
    </row>
    <row r="1985" spans="3:16" ht="14.25">
      <c r="C1985" s="900"/>
      <c r="D1985" s="900"/>
      <c r="E1985" s="900"/>
      <c r="F1985" s="900"/>
      <c r="G1985" s="900"/>
      <c r="H1985" s="900"/>
      <c r="I1985" s="900"/>
      <c r="J1985" s="900"/>
      <c r="K1985" s="900"/>
      <c r="L1985" s="900"/>
      <c r="M1985" s="900"/>
      <c r="N1985" s="900"/>
      <c r="O1985" s="900"/>
      <c r="P1985" s="900"/>
    </row>
    <row r="1986" spans="3:16" ht="14.25">
      <c r="C1986" s="900"/>
      <c r="D1986" s="900"/>
      <c r="E1986" s="900"/>
      <c r="F1986" s="900"/>
      <c r="G1986" s="900"/>
      <c r="H1986" s="900"/>
      <c r="I1986" s="900"/>
      <c r="J1986" s="900"/>
      <c r="K1986" s="900"/>
      <c r="L1986" s="900"/>
      <c r="M1986" s="900"/>
      <c r="N1986" s="900"/>
      <c r="O1986" s="900"/>
      <c r="P1986" s="900"/>
    </row>
    <row r="1987" spans="3:16" ht="14.25">
      <c r="C1987" s="900"/>
      <c r="D1987" s="900"/>
      <c r="E1987" s="900"/>
      <c r="F1987" s="900"/>
      <c r="G1987" s="900"/>
      <c r="H1987" s="900"/>
      <c r="I1987" s="900"/>
      <c r="J1987" s="900"/>
      <c r="K1987" s="900"/>
      <c r="L1987" s="900"/>
      <c r="M1987" s="900"/>
      <c r="N1987" s="900"/>
      <c r="O1987" s="900"/>
      <c r="P1987" s="900"/>
    </row>
    <row r="1988" spans="3:16" ht="14.25">
      <c r="C1988" s="900"/>
      <c r="D1988" s="900"/>
      <c r="E1988" s="900"/>
      <c r="F1988" s="900"/>
      <c r="G1988" s="900"/>
      <c r="H1988" s="900"/>
      <c r="I1988" s="900"/>
      <c r="J1988" s="900"/>
      <c r="K1988" s="900"/>
      <c r="L1988" s="900"/>
      <c r="M1988" s="900"/>
      <c r="N1988" s="900"/>
      <c r="O1988" s="900"/>
      <c r="P1988" s="900"/>
    </row>
    <row r="1989" spans="3:16" ht="14.25">
      <c r="C1989" s="900"/>
      <c r="D1989" s="900"/>
      <c r="E1989" s="900"/>
      <c r="F1989" s="900"/>
      <c r="G1989" s="900"/>
      <c r="H1989" s="900"/>
      <c r="I1989" s="900"/>
      <c r="J1989" s="900"/>
      <c r="K1989" s="900"/>
      <c r="L1989" s="900"/>
      <c r="M1989" s="900"/>
      <c r="N1989" s="900"/>
      <c r="O1989" s="900"/>
      <c r="P1989" s="900"/>
    </row>
    <row r="1990" spans="3:16" ht="14.25">
      <c r="C1990" s="900"/>
      <c r="D1990" s="900"/>
      <c r="E1990" s="900"/>
      <c r="F1990" s="900"/>
      <c r="G1990" s="900"/>
      <c r="H1990" s="900"/>
      <c r="I1990" s="900"/>
      <c r="J1990" s="900"/>
      <c r="K1990" s="900"/>
      <c r="L1990" s="900"/>
      <c r="M1990" s="900"/>
      <c r="N1990" s="900"/>
      <c r="O1990" s="900"/>
      <c r="P1990" s="900"/>
    </row>
    <row r="1991" spans="3:16" ht="14.25">
      <c r="C1991" s="900"/>
      <c r="D1991" s="900"/>
      <c r="E1991" s="900"/>
      <c r="F1991" s="900"/>
      <c r="G1991" s="900"/>
      <c r="H1991" s="900"/>
      <c r="I1991" s="900"/>
      <c r="J1991" s="900"/>
      <c r="K1991" s="900"/>
      <c r="L1991" s="900"/>
      <c r="M1991" s="900"/>
      <c r="N1991" s="900"/>
      <c r="O1991" s="900"/>
      <c r="P1991" s="900"/>
    </row>
    <row r="1992" spans="3:16" ht="14.25">
      <c r="C1992" s="900"/>
      <c r="D1992" s="900"/>
      <c r="E1992" s="900"/>
      <c r="F1992" s="900"/>
      <c r="G1992" s="900"/>
      <c r="H1992" s="900"/>
      <c r="I1992" s="900"/>
      <c r="J1992" s="900"/>
      <c r="K1992" s="900"/>
      <c r="L1992" s="900"/>
      <c r="M1992" s="900"/>
      <c r="N1992" s="900"/>
      <c r="O1992" s="900"/>
      <c r="P1992" s="900"/>
    </row>
    <row r="1993" spans="3:16" ht="14.25">
      <c r="C1993" s="900"/>
      <c r="D1993" s="900"/>
      <c r="E1993" s="900"/>
      <c r="F1993" s="900"/>
      <c r="G1993" s="900"/>
      <c r="H1993" s="900"/>
      <c r="I1993" s="900"/>
      <c r="J1993" s="900"/>
      <c r="K1993" s="900"/>
      <c r="L1993" s="900"/>
      <c r="M1993" s="900"/>
      <c r="N1993" s="900"/>
      <c r="O1993" s="900"/>
      <c r="P1993" s="900"/>
    </row>
    <row r="1994" spans="3:16" ht="14.25">
      <c r="C1994" s="900"/>
      <c r="D1994" s="900"/>
      <c r="E1994" s="900"/>
      <c r="F1994" s="900"/>
      <c r="G1994" s="900"/>
      <c r="H1994" s="900"/>
      <c r="I1994" s="900"/>
      <c r="J1994" s="900"/>
      <c r="K1994" s="900"/>
      <c r="L1994" s="900"/>
      <c r="M1994" s="900"/>
      <c r="N1994" s="900"/>
      <c r="O1994" s="900"/>
      <c r="P1994" s="900"/>
    </row>
    <row r="1995" spans="3:16" ht="14.25">
      <c r="C1995" s="900"/>
      <c r="D1995" s="900"/>
      <c r="E1995" s="900"/>
      <c r="F1995" s="900"/>
      <c r="G1995" s="900"/>
      <c r="H1995" s="900"/>
      <c r="I1995" s="900"/>
      <c r="J1995" s="900"/>
      <c r="K1995" s="900"/>
      <c r="L1995" s="900"/>
      <c r="M1995" s="900"/>
      <c r="N1995" s="900"/>
      <c r="O1995" s="900"/>
      <c r="P1995" s="900"/>
    </row>
    <row r="1996" spans="3:16" ht="14.25">
      <c r="C1996" s="900"/>
      <c r="D1996" s="900"/>
      <c r="E1996" s="900"/>
      <c r="F1996" s="900"/>
      <c r="G1996" s="900"/>
      <c r="H1996" s="900"/>
      <c r="I1996" s="900"/>
      <c r="J1996" s="900"/>
      <c r="K1996" s="900"/>
      <c r="L1996" s="900"/>
      <c r="M1996" s="900"/>
      <c r="N1996" s="900"/>
      <c r="O1996" s="900"/>
      <c r="P1996" s="900"/>
    </row>
    <row r="1997" spans="3:16" ht="14.25">
      <c r="C1997" s="900"/>
      <c r="D1997" s="900"/>
      <c r="E1997" s="900"/>
      <c r="F1997" s="900"/>
      <c r="G1997" s="900"/>
      <c r="H1997" s="900"/>
      <c r="I1997" s="900"/>
      <c r="J1997" s="900"/>
      <c r="K1997" s="900"/>
      <c r="L1997" s="900"/>
      <c r="M1997" s="900"/>
      <c r="N1997" s="900"/>
      <c r="O1997" s="900"/>
      <c r="P1997" s="900"/>
    </row>
    <row r="1998" spans="3:16" ht="14.25">
      <c r="C1998" s="900"/>
      <c r="D1998" s="900"/>
      <c r="E1998" s="900"/>
      <c r="F1998" s="900"/>
      <c r="G1998" s="900"/>
      <c r="H1998" s="900"/>
      <c r="I1998" s="900"/>
      <c r="J1998" s="900"/>
      <c r="K1998" s="900"/>
      <c r="L1998" s="900"/>
      <c r="M1998" s="900"/>
      <c r="N1998" s="900"/>
      <c r="O1998" s="900"/>
      <c r="P1998" s="900"/>
    </row>
    <row r="1999" spans="3:16" ht="14.25">
      <c r="C1999" s="900"/>
      <c r="D1999" s="900"/>
      <c r="E1999" s="900"/>
      <c r="F1999" s="900"/>
      <c r="G1999" s="900"/>
      <c r="H1999" s="900"/>
      <c r="I1999" s="900"/>
      <c r="J1999" s="900"/>
      <c r="K1999" s="900"/>
      <c r="L1999" s="900"/>
      <c r="M1999" s="900"/>
      <c r="N1999" s="900"/>
      <c r="O1999" s="900"/>
      <c r="P1999" s="900"/>
    </row>
    <row r="2000" spans="3:16" ht="14.25">
      <c r="C2000" s="900"/>
      <c r="D2000" s="900"/>
      <c r="E2000" s="900"/>
      <c r="F2000" s="900"/>
      <c r="G2000" s="900"/>
      <c r="H2000" s="900"/>
      <c r="I2000" s="900"/>
      <c r="J2000" s="900"/>
      <c r="K2000" s="900"/>
      <c r="L2000" s="900"/>
      <c r="M2000" s="900"/>
      <c r="N2000" s="900"/>
      <c r="O2000" s="900"/>
      <c r="P2000" s="900"/>
    </row>
    <row r="2001" spans="3:16" ht="14.25">
      <c r="C2001" s="900"/>
      <c r="D2001" s="900"/>
      <c r="E2001" s="900"/>
      <c r="F2001" s="900"/>
      <c r="G2001" s="900"/>
      <c r="H2001" s="900"/>
      <c r="I2001" s="900"/>
      <c r="J2001" s="900"/>
      <c r="K2001" s="900"/>
      <c r="L2001" s="900"/>
      <c r="M2001" s="900"/>
      <c r="N2001" s="900"/>
      <c r="O2001" s="900"/>
      <c r="P2001" s="900"/>
    </row>
    <row r="2002" spans="3:16" ht="14.25">
      <c r="C2002" s="900"/>
      <c r="D2002" s="900"/>
      <c r="E2002" s="900"/>
      <c r="F2002" s="900"/>
      <c r="G2002" s="900"/>
      <c r="H2002" s="900"/>
      <c r="I2002" s="900"/>
      <c r="J2002" s="900"/>
      <c r="K2002" s="900"/>
      <c r="L2002" s="900"/>
      <c r="M2002" s="900"/>
      <c r="N2002" s="900"/>
      <c r="O2002" s="900"/>
      <c r="P2002" s="900"/>
    </row>
    <row r="2003" spans="3:16" ht="14.25">
      <c r="C2003" s="900"/>
      <c r="D2003" s="900"/>
      <c r="E2003" s="900"/>
      <c r="F2003" s="900"/>
      <c r="G2003" s="900"/>
      <c r="H2003" s="900"/>
      <c r="I2003" s="900"/>
      <c r="J2003" s="900"/>
      <c r="K2003" s="900"/>
      <c r="L2003" s="900"/>
      <c r="M2003" s="900"/>
      <c r="N2003" s="900"/>
      <c r="O2003" s="900"/>
      <c r="P2003" s="900"/>
    </row>
    <row r="2004" spans="3:16" ht="14.25">
      <c r="C2004" s="900"/>
      <c r="D2004" s="900"/>
      <c r="E2004" s="900"/>
      <c r="F2004" s="900"/>
      <c r="G2004" s="900"/>
      <c r="H2004" s="900"/>
      <c r="I2004" s="900"/>
      <c r="J2004" s="900"/>
      <c r="K2004" s="900"/>
      <c r="L2004" s="900"/>
      <c r="M2004" s="900"/>
      <c r="N2004" s="900"/>
      <c r="O2004" s="900"/>
      <c r="P2004" s="900"/>
    </row>
    <row r="2005" spans="3:16" ht="14.25">
      <c r="C2005" s="900"/>
      <c r="D2005" s="900"/>
      <c r="E2005" s="900"/>
      <c r="F2005" s="900"/>
      <c r="G2005" s="900"/>
      <c r="H2005" s="900"/>
      <c r="I2005" s="900"/>
      <c r="J2005" s="900"/>
      <c r="K2005" s="900"/>
      <c r="L2005" s="900"/>
      <c r="M2005" s="900"/>
      <c r="N2005" s="900"/>
      <c r="O2005" s="900"/>
      <c r="P2005" s="900"/>
    </row>
    <row r="2006" spans="3:16" ht="14.25">
      <c r="C2006" s="900"/>
      <c r="D2006" s="900"/>
      <c r="E2006" s="900"/>
      <c r="F2006" s="900"/>
      <c r="G2006" s="900"/>
      <c r="H2006" s="900"/>
      <c r="I2006" s="900"/>
      <c r="J2006" s="900"/>
      <c r="K2006" s="900"/>
      <c r="L2006" s="900"/>
      <c r="M2006" s="900"/>
      <c r="N2006" s="900"/>
      <c r="O2006" s="900"/>
      <c r="P2006" s="900"/>
    </row>
    <row r="2007" spans="3:16" ht="14.25">
      <c r="C2007" s="900"/>
      <c r="D2007" s="900"/>
      <c r="E2007" s="900"/>
      <c r="F2007" s="900"/>
      <c r="G2007" s="900"/>
      <c r="H2007" s="900"/>
      <c r="I2007" s="900"/>
      <c r="J2007" s="900"/>
      <c r="K2007" s="900"/>
      <c r="L2007" s="900"/>
      <c r="M2007" s="900"/>
      <c r="N2007" s="900"/>
      <c r="O2007" s="900"/>
      <c r="P2007" s="900"/>
    </row>
    <row r="2008" spans="3:16" ht="14.25">
      <c r="C2008" s="900"/>
      <c r="D2008" s="900"/>
      <c r="E2008" s="900"/>
      <c r="F2008" s="900"/>
      <c r="G2008" s="900"/>
      <c r="H2008" s="900"/>
      <c r="I2008" s="900"/>
      <c r="J2008" s="900"/>
      <c r="K2008" s="900"/>
      <c r="L2008" s="900"/>
      <c r="M2008" s="900"/>
      <c r="N2008" s="900"/>
      <c r="O2008" s="900"/>
      <c r="P2008" s="900"/>
    </row>
    <row r="2009" spans="3:16" ht="14.25">
      <c r="C2009" s="900"/>
      <c r="D2009" s="900"/>
      <c r="E2009" s="900"/>
      <c r="F2009" s="900"/>
      <c r="G2009" s="900"/>
      <c r="H2009" s="900"/>
      <c r="I2009" s="900"/>
      <c r="J2009" s="900"/>
      <c r="K2009" s="900"/>
      <c r="L2009" s="900"/>
      <c r="M2009" s="900"/>
      <c r="N2009" s="900"/>
      <c r="O2009" s="900"/>
      <c r="P2009" s="900"/>
    </row>
    <row r="2010" spans="3:16" ht="14.25">
      <c r="C2010" s="900"/>
      <c r="D2010" s="900"/>
      <c r="E2010" s="900"/>
      <c r="F2010" s="900"/>
      <c r="G2010" s="900"/>
      <c r="H2010" s="900"/>
      <c r="I2010" s="900"/>
      <c r="J2010" s="900"/>
      <c r="K2010" s="900"/>
      <c r="L2010" s="900"/>
      <c r="M2010" s="900"/>
      <c r="N2010" s="900"/>
      <c r="O2010" s="900"/>
      <c r="P2010" s="900"/>
    </row>
    <row r="2011" spans="3:16" ht="14.25">
      <c r="C2011" s="900"/>
      <c r="D2011" s="900"/>
      <c r="E2011" s="900"/>
      <c r="F2011" s="900"/>
      <c r="G2011" s="900"/>
      <c r="H2011" s="900"/>
      <c r="I2011" s="900"/>
      <c r="J2011" s="900"/>
      <c r="K2011" s="900"/>
      <c r="L2011" s="900"/>
      <c r="M2011" s="900"/>
      <c r="N2011" s="900"/>
      <c r="O2011" s="900"/>
      <c r="P2011" s="900"/>
    </row>
    <row r="2012" spans="3:16" ht="14.25">
      <c r="C2012" s="900"/>
      <c r="D2012" s="900"/>
      <c r="E2012" s="900"/>
      <c r="F2012" s="900"/>
      <c r="G2012" s="900"/>
      <c r="H2012" s="900"/>
      <c r="I2012" s="900"/>
      <c r="J2012" s="900"/>
      <c r="K2012" s="900"/>
      <c r="L2012" s="900"/>
      <c r="M2012" s="900"/>
      <c r="N2012" s="900"/>
      <c r="O2012" s="900"/>
      <c r="P2012" s="900"/>
    </row>
    <row r="2013" spans="3:16" ht="14.25">
      <c r="C2013" s="900"/>
      <c r="D2013" s="900"/>
      <c r="E2013" s="900"/>
      <c r="F2013" s="900"/>
      <c r="G2013" s="900"/>
      <c r="H2013" s="900"/>
      <c r="I2013" s="900"/>
      <c r="J2013" s="900"/>
      <c r="K2013" s="900"/>
      <c r="L2013" s="900"/>
      <c r="M2013" s="900"/>
      <c r="N2013" s="900"/>
      <c r="O2013" s="900"/>
      <c r="P2013" s="900"/>
    </row>
    <row r="2014" spans="3:16" ht="14.25">
      <c r="C2014" s="900"/>
      <c r="D2014" s="900"/>
      <c r="E2014" s="900"/>
      <c r="F2014" s="900"/>
      <c r="G2014" s="900"/>
      <c r="H2014" s="900"/>
      <c r="I2014" s="900"/>
      <c r="J2014" s="900"/>
      <c r="K2014" s="900"/>
      <c r="L2014" s="900"/>
      <c r="M2014" s="900"/>
      <c r="N2014" s="900"/>
      <c r="O2014" s="900"/>
      <c r="P2014" s="900"/>
    </row>
    <row r="2015" spans="3:16" ht="14.25">
      <c r="C2015" s="900"/>
      <c r="D2015" s="900"/>
      <c r="E2015" s="900"/>
      <c r="F2015" s="900"/>
      <c r="G2015" s="900"/>
      <c r="H2015" s="900"/>
      <c r="I2015" s="900"/>
      <c r="J2015" s="900"/>
      <c r="K2015" s="900"/>
      <c r="L2015" s="900"/>
      <c r="M2015" s="900"/>
      <c r="N2015" s="900"/>
      <c r="O2015" s="900"/>
      <c r="P2015" s="900"/>
    </row>
    <row r="2016" spans="3:16" ht="14.25">
      <c r="C2016" s="900"/>
      <c r="D2016" s="900"/>
      <c r="E2016" s="900"/>
      <c r="F2016" s="900"/>
      <c r="G2016" s="900"/>
      <c r="H2016" s="900"/>
      <c r="I2016" s="900"/>
      <c r="J2016" s="900"/>
      <c r="K2016" s="900"/>
      <c r="L2016" s="900"/>
      <c r="M2016" s="900"/>
      <c r="N2016" s="900"/>
      <c r="O2016" s="900"/>
      <c r="P2016" s="900"/>
    </row>
    <row r="2017" spans="3:16" ht="14.25">
      <c r="C2017" s="900"/>
      <c r="D2017" s="900"/>
      <c r="E2017" s="900"/>
      <c r="F2017" s="900"/>
      <c r="G2017" s="900"/>
      <c r="H2017" s="900"/>
      <c r="I2017" s="900"/>
      <c r="J2017" s="900"/>
      <c r="K2017" s="900"/>
      <c r="L2017" s="900"/>
      <c r="M2017" s="900"/>
      <c r="N2017" s="900"/>
      <c r="O2017" s="900"/>
      <c r="P2017" s="900"/>
    </row>
    <row r="2018" spans="3:16" ht="14.25">
      <c r="C2018" s="900"/>
      <c r="D2018" s="900"/>
      <c r="E2018" s="900"/>
      <c r="F2018" s="900"/>
      <c r="G2018" s="900"/>
      <c r="H2018" s="900"/>
      <c r="I2018" s="900"/>
      <c r="J2018" s="900"/>
      <c r="K2018" s="900"/>
      <c r="L2018" s="900"/>
      <c r="M2018" s="900"/>
      <c r="N2018" s="900"/>
      <c r="O2018" s="900"/>
      <c r="P2018" s="900"/>
    </row>
    <row r="2019" spans="3:16" ht="14.25">
      <c r="C2019" s="900"/>
      <c r="D2019" s="900"/>
      <c r="E2019" s="900"/>
      <c r="F2019" s="900"/>
      <c r="G2019" s="900"/>
      <c r="H2019" s="900"/>
      <c r="I2019" s="900"/>
      <c r="J2019" s="900"/>
      <c r="K2019" s="900"/>
      <c r="L2019" s="900"/>
      <c r="M2019" s="900"/>
      <c r="N2019" s="900"/>
      <c r="O2019" s="900"/>
      <c r="P2019" s="900"/>
    </row>
    <row r="2020" spans="3:16" ht="14.25">
      <c r="C2020" s="900"/>
      <c r="D2020" s="900"/>
      <c r="E2020" s="900"/>
      <c r="F2020" s="900"/>
      <c r="G2020" s="900"/>
      <c r="H2020" s="900"/>
      <c r="I2020" s="900"/>
      <c r="J2020" s="900"/>
      <c r="K2020" s="900"/>
      <c r="L2020" s="900"/>
      <c r="M2020" s="900"/>
      <c r="N2020" s="900"/>
      <c r="O2020" s="900"/>
      <c r="P2020" s="900"/>
    </row>
    <row r="2021" spans="3:16" ht="14.25">
      <c r="C2021" s="900"/>
      <c r="D2021" s="900"/>
      <c r="E2021" s="900"/>
      <c r="F2021" s="900"/>
      <c r="G2021" s="900"/>
      <c r="H2021" s="900"/>
      <c r="I2021" s="900"/>
      <c r="J2021" s="900"/>
      <c r="K2021" s="900"/>
      <c r="L2021" s="900"/>
      <c r="M2021" s="900"/>
      <c r="N2021" s="900"/>
      <c r="O2021" s="900"/>
      <c r="P2021" s="900"/>
    </row>
    <row r="2022" spans="3:16" ht="14.25">
      <c r="C2022" s="900"/>
      <c r="D2022" s="900"/>
      <c r="E2022" s="900"/>
      <c r="F2022" s="900"/>
      <c r="G2022" s="900"/>
      <c r="H2022" s="900"/>
      <c r="I2022" s="900"/>
      <c r="J2022" s="900"/>
      <c r="K2022" s="900"/>
      <c r="L2022" s="900"/>
      <c r="M2022" s="900"/>
      <c r="N2022" s="900"/>
      <c r="O2022" s="900"/>
      <c r="P2022" s="900"/>
    </row>
    <row r="2023" spans="3:16" ht="14.25">
      <c r="C2023" s="900"/>
      <c r="D2023" s="900"/>
      <c r="E2023" s="900"/>
      <c r="F2023" s="900"/>
      <c r="G2023" s="900"/>
      <c r="H2023" s="900"/>
      <c r="I2023" s="900"/>
      <c r="J2023" s="900"/>
      <c r="K2023" s="900"/>
      <c r="L2023" s="900"/>
      <c r="M2023" s="900"/>
      <c r="N2023" s="900"/>
      <c r="O2023" s="900"/>
      <c r="P2023" s="900"/>
    </row>
    <row r="2024" spans="3:16" ht="14.25">
      <c r="C2024" s="900"/>
      <c r="D2024" s="900"/>
      <c r="E2024" s="900"/>
      <c r="F2024" s="900"/>
      <c r="G2024" s="900"/>
      <c r="H2024" s="900"/>
      <c r="I2024" s="900"/>
      <c r="J2024" s="900"/>
      <c r="K2024" s="900"/>
      <c r="L2024" s="900"/>
      <c r="M2024" s="900"/>
      <c r="N2024" s="900"/>
      <c r="O2024" s="900"/>
      <c r="P2024" s="900"/>
    </row>
    <row r="2025" spans="3:16" ht="14.25">
      <c r="C2025" s="900"/>
      <c r="D2025" s="900"/>
      <c r="E2025" s="900"/>
      <c r="F2025" s="900"/>
      <c r="G2025" s="900"/>
      <c r="H2025" s="900"/>
      <c r="I2025" s="900"/>
      <c r="J2025" s="900"/>
      <c r="K2025" s="900"/>
      <c r="L2025" s="900"/>
      <c r="M2025" s="900"/>
      <c r="N2025" s="900"/>
      <c r="O2025" s="900"/>
      <c r="P2025" s="900"/>
    </row>
    <row r="2026" spans="3:16" ht="14.25">
      <c r="C2026" s="900"/>
      <c r="D2026" s="900"/>
      <c r="E2026" s="900"/>
      <c r="F2026" s="900"/>
      <c r="G2026" s="900"/>
      <c r="H2026" s="900"/>
      <c r="I2026" s="900"/>
      <c r="J2026" s="900"/>
      <c r="K2026" s="900"/>
      <c r="L2026" s="900"/>
      <c r="M2026" s="900"/>
      <c r="N2026" s="900"/>
      <c r="O2026" s="900"/>
      <c r="P2026" s="900"/>
    </row>
    <row r="2027" spans="3:16" ht="14.25">
      <c r="C2027" s="900"/>
      <c r="D2027" s="900"/>
      <c r="E2027" s="900"/>
      <c r="F2027" s="900"/>
      <c r="G2027" s="900"/>
      <c r="H2027" s="900"/>
      <c r="I2027" s="900"/>
      <c r="J2027" s="900"/>
      <c r="K2027" s="900"/>
      <c r="L2027" s="900"/>
      <c r="M2027" s="900"/>
      <c r="N2027" s="900"/>
      <c r="O2027" s="900"/>
      <c r="P2027" s="900"/>
    </row>
    <row r="2028" spans="3:16" ht="14.25">
      <c r="C2028" s="900"/>
      <c r="D2028" s="900"/>
      <c r="E2028" s="900"/>
      <c r="F2028" s="900"/>
      <c r="G2028" s="900"/>
      <c r="H2028" s="900"/>
      <c r="I2028" s="900"/>
      <c r="J2028" s="900"/>
      <c r="K2028" s="900"/>
      <c r="L2028" s="900"/>
      <c r="M2028" s="900"/>
      <c r="N2028" s="900"/>
      <c r="O2028" s="900"/>
      <c r="P2028" s="900"/>
    </row>
    <row r="2029" spans="3:16" ht="14.25">
      <c r="C2029" s="900"/>
      <c r="D2029" s="900"/>
      <c r="E2029" s="900"/>
      <c r="F2029" s="900"/>
      <c r="G2029" s="900"/>
      <c r="H2029" s="900"/>
      <c r="I2029" s="900"/>
      <c r="J2029" s="900"/>
      <c r="K2029" s="900"/>
      <c r="L2029" s="900"/>
      <c r="M2029" s="900"/>
      <c r="N2029" s="900"/>
      <c r="O2029" s="900"/>
      <c r="P2029" s="900"/>
    </row>
    <row r="2030" spans="3:16" ht="14.25">
      <c r="C2030" s="900"/>
      <c r="D2030" s="900"/>
      <c r="E2030" s="900"/>
      <c r="F2030" s="900"/>
      <c r="G2030" s="900"/>
      <c r="H2030" s="900"/>
      <c r="I2030" s="900"/>
      <c r="J2030" s="900"/>
      <c r="K2030" s="900"/>
      <c r="L2030" s="900"/>
      <c r="M2030" s="900"/>
      <c r="N2030" s="900"/>
      <c r="O2030" s="900"/>
      <c r="P2030" s="900"/>
    </row>
    <row r="2031" spans="3:16" ht="14.25">
      <c r="C2031" s="900"/>
      <c r="D2031" s="900"/>
      <c r="E2031" s="900"/>
      <c r="F2031" s="900"/>
      <c r="G2031" s="900"/>
      <c r="H2031" s="900"/>
      <c r="I2031" s="900"/>
      <c r="J2031" s="900"/>
      <c r="K2031" s="900"/>
      <c r="L2031" s="900"/>
      <c r="M2031" s="900"/>
      <c r="N2031" s="900"/>
      <c r="O2031" s="900"/>
      <c r="P2031" s="900"/>
    </row>
    <row r="2032" spans="3:16" ht="14.25">
      <c r="C2032" s="900"/>
      <c r="D2032" s="900"/>
      <c r="E2032" s="900"/>
      <c r="F2032" s="900"/>
      <c r="G2032" s="900"/>
      <c r="H2032" s="900"/>
      <c r="I2032" s="900"/>
      <c r="J2032" s="900"/>
      <c r="K2032" s="900"/>
      <c r="L2032" s="900"/>
      <c r="M2032" s="900"/>
      <c r="N2032" s="900"/>
      <c r="O2032" s="900"/>
      <c r="P2032" s="900"/>
    </row>
    <row r="2033" spans="3:16" ht="14.25">
      <c r="C2033" s="900"/>
      <c r="D2033" s="900"/>
      <c r="E2033" s="900"/>
      <c r="F2033" s="900"/>
      <c r="G2033" s="900"/>
      <c r="H2033" s="900"/>
      <c r="I2033" s="900"/>
      <c r="J2033" s="900"/>
      <c r="K2033" s="900"/>
      <c r="L2033" s="900"/>
      <c r="M2033" s="900"/>
      <c r="N2033" s="900"/>
      <c r="O2033" s="900"/>
      <c r="P2033" s="900"/>
    </row>
    <row r="2034" spans="3:16" ht="14.25">
      <c r="C2034" s="900"/>
      <c r="D2034" s="900"/>
      <c r="E2034" s="900"/>
      <c r="F2034" s="900"/>
      <c r="G2034" s="900"/>
      <c r="H2034" s="900"/>
      <c r="I2034" s="900"/>
      <c r="J2034" s="900"/>
      <c r="K2034" s="900"/>
      <c r="L2034" s="900"/>
      <c r="M2034" s="900"/>
      <c r="N2034" s="900"/>
      <c r="O2034" s="900"/>
      <c r="P2034" s="900"/>
    </row>
    <row r="2035" spans="3:16" ht="14.25">
      <c r="C2035" s="900"/>
      <c r="D2035" s="900"/>
      <c r="E2035" s="900"/>
      <c r="F2035" s="900"/>
      <c r="G2035" s="900"/>
      <c r="H2035" s="900"/>
      <c r="I2035" s="900"/>
      <c r="J2035" s="900"/>
      <c r="K2035" s="900"/>
      <c r="L2035" s="900"/>
      <c r="M2035" s="900"/>
      <c r="N2035" s="900"/>
      <c r="O2035" s="900"/>
      <c r="P2035" s="900"/>
    </row>
    <row r="2036" spans="3:16" ht="14.25">
      <c r="C2036" s="900"/>
      <c r="D2036" s="900"/>
      <c r="E2036" s="900"/>
      <c r="F2036" s="900"/>
      <c r="G2036" s="900"/>
      <c r="H2036" s="900"/>
      <c r="I2036" s="900"/>
      <c r="J2036" s="900"/>
      <c r="K2036" s="900"/>
      <c r="L2036" s="900"/>
      <c r="M2036" s="900"/>
      <c r="N2036" s="900"/>
      <c r="O2036" s="900"/>
      <c r="P2036" s="900"/>
    </row>
    <row r="2037" spans="3:16" ht="14.25">
      <c r="C2037" s="900"/>
      <c r="D2037" s="900"/>
      <c r="E2037" s="900"/>
      <c r="F2037" s="900"/>
      <c r="G2037" s="900"/>
      <c r="H2037" s="900"/>
      <c r="I2037" s="900"/>
      <c r="J2037" s="900"/>
      <c r="K2037" s="900"/>
      <c r="L2037" s="900"/>
      <c r="M2037" s="900"/>
      <c r="N2037" s="900"/>
      <c r="O2037" s="900"/>
      <c r="P2037" s="900"/>
    </row>
    <row r="2038" spans="3:16" ht="14.25">
      <c r="C2038" s="900"/>
      <c r="D2038" s="900"/>
      <c r="E2038" s="900"/>
      <c r="F2038" s="900"/>
      <c r="G2038" s="900"/>
      <c r="H2038" s="900"/>
      <c r="I2038" s="900"/>
      <c r="J2038" s="900"/>
      <c r="K2038" s="900"/>
      <c r="L2038" s="900"/>
      <c r="M2038" s="900"/>
      <c r="N2038" s="900"/>
      <c r="O2038" s="900"/>
      <c r="P2038" s="900"/>
    </row>
    <row r="2039" spans="3:16" ht="14.25">
      <c r="C2039" s="900"/>
      <c r="D2039" s="900"/>
      <c r="E2039" s="900"/>
      <c r="F2039" s="900"/>
      <c r="G2039" s="900"/>
      <c r="H2039" s="900"/>
      <c r="I2039" s="900"/>
      <c r="J2039" s="900"/>
      <c r="K2039" s="900"/>
      <c r="L2039" s="900"/>
      <c r="M2039" s="900"/>
      <c r="N2039" s="900"/>
      <c r="O2039" s="900"/>
      <c r="P2039" s="900"/>
    </row>
    <row r="2040" spans="3:16" ht="14.25">
      <c r="C2040" s="900"/>
      <c r="D2040" s="900"/>
      <c r="E2040" s="900"/>
      <c r="F2040" s="900"/>
      <c r="G2040" s="900"/>
      <c r="H2040" s="900"/>
      <c r="I2040" s="900"/>
      <c r="J2040" s="900"/>
      <c r="K2040" s="900"/>
      <c r="L2040" s="900"/>
      <c r="M2040" s="900"/>
      <c r="N2040" s="900"/>
      <c r="O2040" s="900"/>
      <c r="P2040" s="900"/>
    </row>
    <row r="2041" spans="3:16" ht="14.25">
      <c r="C2041" s="900"/>
      <c r="D2041" s="900"/>
      <c r="E2041" s="900"/>
      <c r="F2041" s="900"/>
      <c r="G2041" s="900"/>
      <c r="H2041" s="900"/>
      <c r="I2041" s="900"/>
      <c r="J2041" s="900"/>
      <c r="K2041" s="900"/>
      <c r="L2041" s="900"/>
      <c r="M2041" s="900"/>
      <c r="N2041" s="900"/>
      <c r="O2041" s="900"/>
      <c r="P2041" s="900"/>
    </row>
    <row r="2042" spans="3:16" ht="14.25">
      <c r="C2042" s="900"/>
      <c r="D2042" s="900"/>
      <c r="E2042" s="900"/>
      <c r="F2042" s="900"/>
      <c r="G2042" s="900"/>
      <c r="H2042" s="900"/>
      <c r="I2042" s="900"/>
      <c r="J2042" s="900"/>
      <c r="K2042" s="900"/>
      <c r="L2042" s="900"/>
      <c r="M2042" s="900"/>
      <c r="N2042" s="900"/>
      <c r="O2042" s="900"/>
      <c r="P2042" s="900"/>
    </row>
    <row r="2043" spans="3:16" ht="14.25">
      <c r="C2043" s="900"/>
      <c r="D2043" s="900"/>
      <c r="E2043" s="900"/>
      <c r="F2043" s="900"/>
      <c r="G2043" s="900"/>
      <c r="H2043" s="900"/>
      <c r="I2043" s="900"/>
      <c r="J2043" s="900"/>
      <c r="K2043" s="900"/>
      <c r="L2043" s="900"/>
      <c r="M2043" s="900"/>
      <c r="N2043" s="900"/>
      <c r="O2043" s="900"/>
      <c r="P2043" s="900"/>
    </row>
    <row r="2044" spans="3:16" ht="14.25">
      <c r="C2044" s="900"/>
      <c r="D2044" s="900"/>
      <c r="E2044" s="900"/>
      <c r="F2044" s="900"/>
      <c r="G2044" s="900"/>
      <c r="H2044" s="900"/>
      <c r="I2044" s="900"/>
      <c r="J2044" s="900"/>
      <c r="K2044" s="900"/>
      <c r="L2044" s="900"/>
      <c r="M2044" s="900"/>
      <c r="N2044" s="900"/>
      <c r="O2044" s="900"/>
      <c r="P2044" s="900"/>
    </row>
    <row r="2045" spans="3:16" ht="14.25">
      <c r="C2045" s="900"/>
      <c r="D2045" s="900"/>
      <c r="E2045" s="900"/>
      <c r="F2045" s="900"/>
      <c r="G2045" s="900"/>
      <c r="H2045" s="900"/>
      <c r="I2045" s="900"/>
      <c r="J2045" s="900"/>
      <c r="K2045" s="900"/>
      <c r="L2045" s="900"/>
      <c r="M2045" s="900"/>
      <c r="N2045" s="900"/>
      <c r="O2045" s="900"/>
      <c r="P2045" s="900"/>
    </row>
    <row r="2046" spans="3:16" ht="14.25">
      <c r="C2046" s="900"/>
      <c r="D2046" s="900"/>
      <c r="E2046" s="900"/>
      <c r="F2046" s="900"/>
      <c r="G2046" s="900"/>
      <c r="H2046" s="900"/>
      <c r="I2046" s="900"/>
      <c r="J2046" s="900"/>
      <c r="K2046" s="900"/>
      <c r="L2046" s="900"/>
      <c r="M2046" s="900"/>
      <c r="N2046" s="900"/>
      <c r="O2046" s="900"/>
      <c r="P2046" s="900"/>
    </row>
    <row r="2047" spans="3:16" ht="14.25">
      <c r="C2047" s="900"/>
      <c r="D2047" s="900"/>
      <c r="E2047" s="900"/>
      <c r="F2047" s="900"/>
      <c r="G2047" s="900"/>
      <c r="H2047" s="900"/>
      <c r="I2047" s="900"/>
      <c r="J2047" s="900"/>
      <c r="K2047" s="900"/>
      <c r="L2047" s="900"/>
      <c r="M2047" s="900"/>
      <c r="N2047" s="900"/>
      <c r="O2047" s="900"/>
      <c r="P2047" s="900"/>
    </row>
    <row r="2048" spans="3:16" ht="14.25">
      <c r="C2048" s="900"/>
      <c r="D2048" s="900"/>
      <c r="E2048" s="900"/>
      <c r="F2048" s="900"/>
      <c r="G2048" s="900"/>
      <c r="H2048" s="900"/>
      <c r="I2048" s="900"/>
      <c r="J2048" s="900"/>
      <c r="K2048" s="900"/>
      <c r="L2048" s="900"/>
      <c r="M2048" s="900"/>
      <c r="N2048" s="900"/>
      <c r="O2048" s="900"/>
      <c r="P2048" s="900"/>
    </row>
    <row r="2049" spans="3:16" ht="14.25">
      <c r="C2049" s="900"/>
      <c r="D2049" s="900"/>
      <c r="E2049" s="900"/>
      <c r="F2049" s="900"/>
      <c r="G2049" s="900"/>
      <c r="H2049" s="900"/>
      <c r="I2049" s="900"/>
      <c r="J2049" s="900"/>
      <c r="K2049" s="900"/>
      <c r="L2049" s="900"/>
      <c r="M2049" s="900"/>
      <c r="N2049" s="900"/>
      <c r="O2049" s="900"/>
      <c r="P2049" s="900"/>
    </row>
    <row r="2050" spans="3:16" ht="14.25">
      <c r="C2050" s="900"/>
      <c r="D2050" s="900"/>
      <c r="E2050" s="900"/>
      <c r="F2050" s="900"/>
      <c r="G2050" s="900"/>
      <c r="H2050" s="900"/>
      <c r="I2050" s="900"/>
      <c r="J2050" s="900"/>
      <c r="K2050" s="900"/>
      <c r="L2050" s="900"/>
      <c r="M2050" s="900"/>
      <c r="N2050" s="900"/>
      <c r="O2050" s="900"/>
      <c r="P2050" s="900"/>
    </row>
    <row r="2051" spans="3:16" ht="14.25">
      <c r="C2051" s="900"/>
      <c r="D2051" s="900"/>
      <c r="E2051" s="900"/>
      <c r="F2051" s="900"/>
      <c r="G2051" s="900"/>
      <c r="H2051" s="900"/>
      <c r="I2051" s="900"/>
      <c r="J2051" s="900"/>
      <c r="K2051" s="900"/>
      <c r="L2051" s="900"/>
      <c r="M2051" s="900"/>
      <c r="N2051" s="900"/>
      <c r="O2051" s="900"/>
      <c r="P2051" s="900"/>
    </row>
    <row r="2052" spans="3:16" ht="14.25">
      <c r="C2052" s="900"/>
      <c r="D2052" s="900"/>
      <c r="E2052" s="900"/>
      <c r="F2052" s="900"/>
      <c r="G2052" s="900"/>
      <c r="H2052" s="900"/>
      <c r="I2052" s="900"/>
      <c r="J2052" s="900"/>
      <c r="K2052" s="900"/>
      <c r="L2052" s="900"/>
      <c r="M2052" s="900"/>
      <c r="N2052" s="900"/>
      <c r="O2052" s="900"/>
      <c r="P2052" s="900"/>
    </row>
    <row r="2053" spans="3:16" ht="14.25">
      <c r="C2053" s="900"/>
      <c r="D2053" s="900"/>
      <c r="E2053" s="900"/>
      <c r="F2053" s="900"/>
      <c r="G2053" s="900"/>
      <c r="H2053" s="900"/>
      <c r="I2053" s="900"/>
      <c r="J2053" s="900"/>
      <c r="K2053" s="900"/>
      <c r="L2053" s="900"/>
      <c r="M2053" s="900"/>
      <c r="N2053" s="900"/>
      <c r="O2053" s="900"/>
      <c r="P2053" s="900"/>
    </row>
    <row r="2054" spans="3:16" ht="14.25">
      <c r="C2054" s="900"/>
      <c r="D2054" s="900"/>
      <c r="E2054" s="900"/>
      <c r="F2054" s="900"/>
      <c r="G2054" s="900"/>
      <c r="H2054" s="900"/>
      <c r="I2054" s="900"/>
      <c r="J2054" s="900"/>
      <c r="K2054" s="900"/>
      <c r="L2054" s="900"/>
      <c r="M2054" s="900"/>
      <c r="N2054" s="900"/>
      <c r="O2054" s="900"/>
      <c r="P2054" s="900"/>
    </row>
    <row r="2055" spans="3:16" ht="14.25">
      <c r="C2055" s="900"/>
      <c r="D2055" s="900"/>
      <c r="E2055" s="900"/>
      <c r="F2055" s="900"/>
      <c r="G2055" s="900"/>
      <c r="H2055" s="900"/>
      <c r="I2055" s="900"/>
      <c r="J2055" s="900"/>
      <c r="K2055" s="900"/>
      <c r="L2055" s="900"/>
      <c r="M2055" s="900"/>
      <c r="N2055" s="900"/>
      <c r="O2055" s="900"/>
      <c r="P2055" s="900"/>
    </row>
    <row r="2056" spans="3:16" ht="14.25">
      <c r="C2056" s="900"/>
      <c r="D2056" s="900"/>
      <c r="E2056" s="900"/>
      <c r="F2056" s="900"/>
      <c r="G2056" s="900"/>
      <c r="H2056" s="900"/>
      <c r="I2056" s="900"/>
      <c r="J2056" s="900"/>
      <c r="K2056" s="900"/>
      <c r="L2056" s="900"/>
      <c r="M2056" s="900"/>
      <c r="N2056" s="900"/>
      <c r="O2056" s="900"/>
      <c r="P2056" s="900"/>
    </row>
    <row r="2057" spans="3:16" ht="14.25">
      <c r="C2057" s="900"/>
      <c r="D2057" s="900"/>
      <c r="E2057" s="900"/>
      <c r="F2057" s="900"/>
      <c r="G2057" s="900"/>
      <c r="H2057" s="900"/>
      <c r="I2057" s="900"/>
      <c r="J2057" s="900"/>
      <c r="K2057" s="900"/>
      <c r="L2057" s="900"/>
      <c r="M2057" s="900"/>
      <c r="N2057" s="900"/>
      <c r="O2057" s="900"/>
      <c r="P2057" s="900"/>
    </row>
    <row r="2058" spans="3:16" ht="14.25">
      <c r="C2058" s="900"/>
      <c r="D2058" s="900"/>
      <c r="E2058" s="900"/>
      <c r="F2058" s="900"/>
      <c r="G2058" s="900"/>
      <c r="H2058" s="900"/>
      <c r="I2058" s="900"/>
      <c r="J2058" s="900"/>
      <c r="K2058" s="900"/>
      <c r="L2058" s="900"/>
      <c r="M2058" s="900"/>
      <c r="N2058" s="900"/>
      <c r="O2058" s="900"/>
      <c r="P2058" s="900"/>
    </row>
    <row r="2059" spans="3:16" ht="14.25">
      <c r="C2059" s="900"/>
      <c r="D2059" s="900"/>
      <c r="E2059" s="900"/>
      <c r="F2059" s="900"/>
      <c r="G2059" s="900"/>
      <c r="H2059" s="900"/>
      <c r="I2059" s="900"/>
      <c r="J2059" s="900"/>
      <c r="K2059" s="900"/>
      <c r="L2059" s="900"/>
      <c r="M2059" s="900"/>
      <c r="N2059" s="900"/>
      <c r="O2059" s="900"/>
      <c r="P2059" s="900"/>
    </row>
    <row r="2060" spans="3:16" ht="14.25">
      <c r="C2060" s="900"/>
      <c r="D2060" s="900"/>
      <c r="E2060" s="900"/>
      <c r="F2060" s="900"/>
      <c r="G2060" s="900"/>
      <c r="H2060" s="900"/>
      <c r="I2060" s="900"/>
      <c r="J2060" s="900"/>
      <c r="K2060" s="900"/>
      <c r="L2060" s="900"/>
      <c r="M2060" s="900"/>
      <c r="N2060" s="900"/>
      <c r="O2060" s="900"/>
      <c r="P2060" s="900"/>
    </row>
    <row r="2061" spans="3:16" ht="14.25">
      <c r="C2061" s="900"/>
      <c r="D2061" s="900"/>
      <c r="E2061" s="900"/>
      <c r="F2061" s="900"/>
      <c r="G2061" s="900"/>
      <c r="H2061" s="900"/>
      <c r="I2061" s="900"/>
      <c r="J2061" s="900"/>
      <c r="K2061" s="900"/>
      <c r="L2061" s="900"/>
      <c r="M2061" s="900"/>
      <c r="N2061" s="900"/>
      <c r="O2061" s="900"/>
      <c r="P2061" s="900"/>
    </row>
    <row r="2062" spans="3:16" ht="14.25">
      <c r="C2062" s="900"/>
      <c r="D2062" s="900"/>
      <c r="E2062" s="900"/>
      <c r="F2062" s="900"/>
      <c r="G2062" s="900"/>
      <c r="H2062" s="900"/>
      <c r="I2062" s="900"/>
      <c r="J2062" s="900"/>
      <c r="K2062" s="900"/>
      <c r="L2062" s="900"/>
      <c r="M2062" s="900"/>
      <c r="N2062" s="900"/>
      <c r="O2062" s="900"/>
      <c r="P2062" s="900"/>
    </row>
    <row r="2063" spans="3:16" ht="14.25">
      <c r="C2063" s="900"/>
      <c r="D2063" s="900"/>
      <c r="E2063" s="900"/>
      <c r="F2063" s="900"/>
      <c r="G2063" s="900"/>
      <c r="H2063" s="900"/>
      <c r="I2063" s="900"/>
      <c r="J2063" s="900"/>
      <c r="K2063" s="900"/>
      <c r="L2063" s="900"/>
      <c r="M2063" s="900"/>
      <c r="N2063" s="900"/>
      <c r="O2063" s="900"/>
      <c r="P2063" s="900"/>
    </row>
    <row r="2064" spans="3:16" ht="14.25">
      <c r="C2064" s="900"/>
      <c r="D2064" s="900"/>
      <c r="E2064" s="900"/>
      <c r="F2064" s="900"/>
      <c r="G2064" s="900"/>
      <c r="H2064" s="900"/>
      <c r="I2064" s="900"/>
      <c r="J2064" s="900"/>
      <c r="K2064" s="900"/>
      <c r="L2064" s="900"/>
      <c r="M2064" s="900"/>
      <c r="N2064" s="900"/>
      <c r="O2064" s="900"/>
      <c r="P2064" s="900"/>
    </row>
    <row r="2065" spans="3:16" ht="14.25">
      <c r="C2065" s="900"/>
      <c r="D2065" s="900"/>
      <c r="E2065" s="900"/>
      <c r="F2065" s="900"/>
      <c r="G2065" s="900"/>
      <c r="H2065" s="900"/>
      <c r="I2065" s="900"/>
      <c r="J2065" s="900"/>
      <c r="K2065" s="900"/>
      <c r="L2065" s="900"/>
      <c r="M2065" s="900"/>
      <c r="N2065" s="900"/>
      <c r="O2065" s="900"/>
      <c r="P2065" s="900"/>
    </row>
    <row r="2066" spans="3:16" ht="14.25">
      <c r="C2066" s="900"/>
      <c r="D2066" s="900"/>
      <c r="E2066" s="900"/>
      <c r="F2066" s="900"/>
      <c r="G2066" s="900"/>
      <c r="H2066" s="900"/>
      <c r="I2066" s="900"/>
      <c r="J2066" s="900"/>
      <c r="K2066" s="900"/>
      <c r="L2066" s="900"/>
      <c r="M2066" s="900"/>
      <c r="N2066" s="900"/>
      <c r="O2066" s="900"/>
      <c r="P2066" s="900"/>
    </row>
    <row r="2067" spans="3:16" ht="14.25">
      <c r="C2067" s="900"/>
      <c r="D2067" s="900"/>
      <c r="E2067" s="900"/>
      <c r="F2067" s="900"/>
      <c r="G2067" s="900"/>
      <c r="H2067" s="900"/>
      <c r="I2067" s="900"/>
      <c r="J2067" s="900"/>
      <c r="K2067" s="900"/>
      <c r="L2067" s="900"/>
      <c r="M2067" s="900"/>
      <c r="N2067" s="900"/>
      <c r="O2067" s="900"/>
      <c r="P2067" s="900"/>
    </row>
    <row r="2068" spans="3:16" ht="14.25">
      <c r="C2068" s="900"/>
      <c r="D2068" s="900"/>
      <c r="E2068" s="900"/>
      <c r="F2068" s="900"/>
      <c r="G2068" s="900"/>
      <c r="H2068" s="900"/>
      <c r="I2068" s="900"/>
      <c r="J2068" s="900"/>
      <c r="K2068" s="900"/>
      <c r="L2068" s="900"/>
      <c r="M2068" s="900"/>
      <c r="N2068" s="900"/>
      <c r="O2068" s="900"/>
      <c r="P2068" s="900"/>
    </row>
    <row r="2069" spans="3:16" ht="14.25">
      <c r="C2069" s="900"/>
      <c r="D2069" s="900"/>
      <c r="E2069" s="900"/>
      <c r="F2069" s="900"/>
      <c r="G2069" s="900"/>
      <c r="H2069" s="900"/>
      <c r="I2069" s="900"/>
      <c r="J2069" s="900"/>
      <c r="K2069" s="900"/>
      <c r="L2069" s="900"/>
      <c r="M2069" s="900"/>
      <c r="N2069" s="900"/>
      <c r="O2069" s="900"/>
      <c r="P2069" s="900"/>
    </row>
    <row r="2070" spans="3:16" ht="14.25">
      <c r="C2070" s="900"/>
      <c r="D2070" s="900"/>
      <c r="E2070" s="900"/>
      <c r="F2070" s="900"/>
      <c r="G2070" s="900"/>
      <c r="H2070" s="900"/>
      <c r="I2070" s="900"/>
      <c r="J2070" s="900"/>
      <c r="K2070" s="900"/>
      <c r="L2070" s="900"/>
      <c r="M2070" s="900"/>
      <c r="N2070" s="900"/>
      <c r="O2070" s="900"/>
      <c r="P2070" s="900"/>
    </row>
    <row r="2071" spans="3:16" ht="14.25">
      <c r="C2071" s="900"/>
      <c r="D2071" s="900"/>
      <c r="E2071" s="900"/>
      <c r="F2071" s="900"/>
      <c r="G2071" s="900"/>
      <c r="H2071" s="900"/>
      <c r="I2071" s="900"/>
      <c r="J2071" s="900"/>
      <c r="K2071" s="900"/>
      <c r="L2071" s="900"/>
      <c r="M2071" s="900"/>
      <c r="N2071" s="900"/>
      <c r="O2071" s="900"/>
      <c r="P2071" s="900"/>
    </row>
    <row r="2072" spans="3:16" ht="14.25">
      <c r="C2072" s="900"/>
      <c r="D2072" s="900"/>
      <c r="E2072" s="900"/>
      <c r="F2072" s="900"/>
      <c r="G2072" s="900"/>
      <c r="H2072" s="900"/>
      <c r="I2072" s="900"/>
      <c r="J2072" s="900"/>
      <c r="K2072" s="900"/>
      <c r="L2072" s="900"/>
      <c r="M2072" s="900"/>
      <c r="N2072" s="900"/>
      <c r="O2072" s="900"/>
      <c r="P2072" s="900"/>
    </row>
    <row r="2073" spans="3:16" ht="14.25">
      <c r="C2073" s="900"/>
      <c r="D2073" s="900"/>
      <c r="E2073" s="900"/>
      <c r="F2073" s="900"/>
      <c r="G2073" s="900"/>
      <c r="H2073" s="900"/>
      <c r="I2073" s="900"/>
      <c r="J2073" s="900"/>
      <c r="K2073" s="900"/>
      <c r="L2073" s="900"/>
      <c r="M2073" s="900"/>
      <c r="N2073" s="900"/>
      <c r="O2073" s="900"/>
      <c r="P2073" s="900"/>
    </row>
    <row r="2074" spans="3:16" ht="14.25">
      <c r="C2074" s="900"/>
      <c r="D2074" s="900"/>
      <c r="E2074" s="900"/>
      <c r="F2074" s="900"/>
      <c r="G2074" s="900"/>
      <c r="H2074" s="900"/>
      <c r="I2074" s="900"/>
      <c r="J2074" s="900"/>
      <c r="K2074" s="900"/>
      <c r="L2074" s="900"/>
      <c r="M2074" s="900"/>
      <c r="N2074" s="900"/>
      <c r="O2074" s="900"/>
      <c r="P2074" s="900"/>
    </row>
    <row r="2075" spans="3:16" ht="14.25">
      <c r="C2075" s="900"/>
      <c r="D2075" s="900"/>
      <c r="E2075" s="900"/>
      <c r="F2075" s="900"/>
      <c r="G2075" s="900"/>
      <c r="H2075" s="900"/>
      <c r="I2075" s="900"/>
      <c r="J2075" s="900"/>
      <c r="K2075" s="900"/>
      <c r="L2075" s="900"/>
      <c r="M2075" s="900"/>
      <c r="N2075" s="900"/>
      <c r="O2075" s="900"/>
      <c r="P2075" s="900"/>
    </row>
    <row r="2076" spans="3:16" ht="14.25">
      <c r="C2076" s="900"/>
      <c r="D2076" s="900"/>
      <c r="E2076" s="900"/>
      <c r="F2076" s="900"/>
      <c r="G2076" s="900"/>
      <c r="H2076" s="900"/>
      <c r="I2076" s="900"/>
      <c r="J2076" s="900"/>
      <c r="K2076" s="900"/>
      <c r="L2076" s="900"/>
      <c r="M2076" s="900"/>
      <c r="N2076" s="900"/>
      <c r="O2076" s="900"/>
      <c r="P2076" s="900"/>
    </row>
    <row r="2077" spans="3:16" ht="14.25">
      <c r="C2077" s="900"/>
      <c r="D2077" s="900"/>
      <c r="E2077" s="900"/>
      <c r="F2077" s="900"/>
      <c r="G2077" s="900"/>
      <c r="H2077" s="900"/>
      <c r="I2077" s="900"/>
      <c r="J2077" s="900"/>
      <c r="K2077" s="900"/>
      <c r="L2077" s="900"/>
      <c r="M2077" s="900"/>
      <c r="N2077" s="900"/>
      <c r="O2077" s="900"/>
      <c r="P2077" s="900"/>
    </row>
    <row r="2078" spans="3:16" ht="14.25">
      <c r="C2078" s="900"/>
      <c r="D2078" s="900"/>
      <c r="E2078" s="900"/>
      <c r="F2078" s="900"/>
      <c r="G2078" s="900"/>
      <c r="H2078" s="900"/>
      <c r="I2078" s="900"/>
      <c r="J2078" s="900"/>
      <c r="K2078" s="900"/>
      <c r="L2078" s="900"/>
      <c r="M2078" s="900"/>
      <c r="N2078" s="900"/>
      <c r="O2078" s="900"/>
      <c r="P2078" s="900"/>
    </row>
    <row r="2079" spans="3:16" ht="14.25">
      <c r="C2079" s="900"/>
      <c r="D2079" s="900"/>
      <c r="E2079" s="900"/>
      <c r="F2079" s="900"/>
      <c r="G2079" s="900"/>
      <c r="H2079" s="900"/>
      <c r="I2079" s="900"/>
      <c r="J2079" s="900"/>
      <c r="K2079" s="900"/>
      <c r="L2079" s="900"/>
      <c r="M2079" s="900"/>
      <c r="N2079" s="900"/>
      <c r="O2079" s="900"/>
      <c r="P2079" s="900"/>
    </row>
    <row r="2080" spans="3:16" ht="14.25">
      <c r="C2080" s="900"/>
      <c r="D2080" s="900"/>
      <c r="E2080" s="900"/>
      <c r="F2080" s="900"/>
      <c r="G2080" s="900"/>
      <c r="H2080" s="900"/>
      <c r="I2080" s="900"/>
      <c r="J2080" s="900"/>
      <c r="K2080" s="900"/>
      <c r="L2080" s="900"/>
      <c r="M2080" s="900"/>
      <c r="N2080" s="900"/>
      <c r="O2080" s="900"/>
      <c r="P2080" s="900"/>
    </row>
    <row r="2081" spans="3:16" ht="14.25">
      <c r="C2081" s="900"/>
      <c r="D2081" s="900"/>
      <c r="E2081" s="900"/>
      <c r="F2081" s="900"/>
      <c r="G2081" s="900"/>
      <c r="H2081" s="900"/>
      <c r="I2081" s="900"/>
      <c r="J2081" s="900"/>
      <c r="K2081" s="900"/>
      <c r="L2081" s="900"/>
      <c r="M2081" s="900"/>
      <c r="N2081" s="900"/>
      <c r="O2081" s="900"/>
      <c r="P2081" s="900"/>
    </row>
    <row r="2082" spans="3:16" ht="14.25">
      <c r="C2082" s="900"/>
      <c r="D2082" s="900"/>
      <c r="E2082" s="900"/>
      <c r="F2082" s="900"/>
      <c r="G2082" s="900"/>
      <c r="H2082" s="900"/>
      <c r="I2082" s="900"/>
      <c r="J2082" s="900"/>
      <c r="K2082" s="900"/>
      <c r="L2082" s="900"/>
      <c r="M2082" s="900"/>
      <c r="N2082" s="900"/>
      <c r="O2082" s="900"/>
      <c r="P2082" s="900"/>
    </row>
    <row r="2083" spans="3:16" ht="14.25">
      <c r="C2083" s="900"/>
      <c r="D2083" s="900"/>
      <c r="E2083" s="900"/>
      <c r="F2083" s="900"/>
      <c r="G2083" s="900"/>
      <c r="H2083" s="900"/>
      <c r="I2083" s="900"/>
      <c r="J2083" s="900"/>
      <c r="K2083" s="900"/>
      <c r="L2083" s="900"/>
      <c r="M2083" s="900"/>
      <c r="N2083" s="900"/>
      <c r="O2083" s="900"/>
      <c r="P2083" s="900"/>
    </row>
    <row r="2084" spans="3:16" ht="14.25">
      <c r="C2084" s="900"/>
      <c r="D2084" s="900"/>
      <c r="E2084" s="900"/>
      <c r="F2084" s="900"/>
      <c r="G2084" s="900"/>
      <c r="H2084" s="900"/>
      <c r="I2084" s="900"/>
      <c r="J2084" s="900"/>
      <c r="K2084" s="900"/>
      <c r="L2084" s="900"/>
      <c r="M2084" s="900"/>
      <c r="N2084" s="900"/>
      <c r="O2084" s="900"/>
      <c r="P2084" s="900"/>
    </row>
    <row r="2085" spans="3:16" ht="14.25">
      <c r="C2085" s="900"/>
      <c r="D2085" s="900"/>
      <c r="E2085" s="900"/>
      <c r="F2085" s="900"/>
      <c r="G2085" s="900"/>
      <c r="H2085" s="900"/>
      <c r="I2085" s="900"/>
      <c r="J2085" s="900"/>
      <c r="K2085" s="900"/>
      <c r="L2085" s="900"/>
      <c r="M2085" s="900"/>
      <c r="N2085" s="900"/>
      <c r="O2085" s="900"/>
      <c r="P2085" s="900"/>
    </row>
    <row r="2086" spans="3:16" ht="14.25">
      <c r="C2086" s="900"/>
      <c r="D2086" s="900"/>
      <c r="E2086" s="900"/>
      <c r="F2086" s="900"/>
      <c r="G2086" s="900"/>
      <c r="H2086" s="900"/>
      <c r="I2086" s="900"/>
      <c r="J2086" s="900"/>
      <c r="K2086" s="900"/>
      <c r="L2086" s="900"/>
      <c r="M2086" s="900"/>
      <c r="N2086" s="900"/>
      <c r="O2086" s="900"/>
      <c r="P2086" s="900"/>
    </row>
    <row r="2087" spans="3:16" ht="14.25">
      <c r="C2087" s="900"/>
      <c r="D2087" s="900"/>
      <c r="E2087" s="900"/>
      <c r="F2087" s="900"/>
      <c r="G2087" s="900"/>
      <c r="H2087" s="900"/>
      <c r="I2087" s="900"/>
      <c r="J2087" s="900"/>
      <c r="K2087" s="900"/>
      <c r="L2087" s="900"/>
      <c r="M2087" s="900"/>
      <c r="N2087" s="900"/>
      <c r="O2087" s="900"/>
      <c r="P2087" s="900"/>
    </row>
    <row r="2088" spans="3:16" ht="14.25">
      <c r="C2088" s="900"/>
      <c r="D2088" s="900"/>
      <c r="E2088" s="900"/>
      <c r="F2088" s="900"/>
      <c r="G2088" s="900"/>
      <c r="H2088" s="900"/>
      <c r="I2088" s="900"/>
      <c r="J2088" s="900"/>
      <c r="K2088" s="900"/>
      <c r="L2088" s="900"/>
      <c r="M2088" s="900"/>
      <c r="N2088" s="900"/>
      <c r="O2088" s="900"/>
      <c r="P2088" s="900"/>
    </row>
    <row r="2089" spans="3:16" ht="14.25">
      <c r="C2089" s="900"/>
      <c r="D2089" s="900"/>
      <c r="E2089" s="900"/>
      <c r="F2089" s="900"/>
      <c r="G2089" s="900"/>
      <c r="H2089" s="900"/>
      <c r="I2089" s="900"/>
      <c r="J2089" s="900"/>
      <c r="K2089" s="900"/>
      <c r="L2089" s="900"/>
      <c r="M2089" s="900"/>
      <c r="N2089" s="900"/>
      <c r="O2089" s="900"/>
      <c r="P2089" s="900"/>
    </row>
    <row r="2090" spans="3:16" ht="14.25">
      <c r="C2090" s="900"/>
      <c r="D2090" s="900"/>
      <c r="E2090" s="900"/>
      <c r="F2090" s="900"/>
      <c r="G2090" s="900"/>
      <c r="H2090" s="900"/>
      <c r="I2090" s="900"/>
      <c r="J2090" s="900"/>
      <c r="K2090" s="900"/>
      <c r="L2090" s="900"/>
      <c r="M2090" s="900"/>
      <c r="N2090" s="900"/>
      <c r="O2090" s="900"/>
      <c r="P2090" s="900"/>
    </row>
    <row r="2091" spans="3:16" ht="14.25">
      <c r="C2091" s="900"/>
      <c r="D2091" s="900"/>
      <c r="E2091" s="900"/>
      <c r="F2091" s="900"/>
      <c r="G2091" s="900"/>
      <c r="H2091" s="900"/>
      <c r="I2091" s="900"/>
      <c r="J2091" s="900"/>
      <c r="K2091" s="900"/>
      <c r="L2091" s="900"/>
      <c r="M2091" s="900"/>
      <c r="N2091" s="900"/>
      <c r="O2091" s="900"/>
      <c r="P2091" s="900"/>
    </row>
    <row r="2092" spans="3:16" ht="14.25">
      <c r="C2092" s="900"/>
      <c r="D2092" s="900"/>
      <c r="E2092" s="900"/>
      <c r="F2092" s="900"/>
      <c r="G2092" s="900"/>
      <c r="H2092" s="900"/>
      <c r="I2092" s="900"/>
      <c r="J2092" s="900"/>
      <c r="K2092" s="900"/>
      <c r="L2092" s="900"/>
      <c r="M2092" s="900"/>
      <c r="N2092" s="900"/>
      <c r="O2092" s="900"/>
      <c r="P2092" s="900"/>
    </row>
    <row r="2093" spans="3:16" ht="14.25">
      <c r="C2093" s="900"/>
      <c r="D2093" s="900"/>
      <c r="E2093" s="900"/>
      <c r="F2093" s="900"/>
      <c r="G2093" s="900"/>
      <c r="H2093" s="900"/>
      <c r="I2093" s="900"/>
      <c r="J2093" s="900"/>
      <c r="K2093" s="900"/>
      <c r="L2093" s="900"/>
      <c r="M2093" s="900"/>
      <c r="N2093" s="900"/>
      <c r="O2093" s="900"/>
      <c r="P2093" s="900"/>
    </row>
    <row r="2094" spans="3:16" ht="14.25">
      <c r="C2094" s="900"/>
      <c r="D2094" s="900"/>
      <c r="E2094" s="900"/>
      <c r="F2094" s="900"/>
      <c r="G2094" s="900"/>
      <c r="H2094" s="900"/>
      <c r="I2094" s="900"/>
      <c r="J2094" s="900"/>
      <c r="K2094" s="900"/>
      <c r="L2094" s="900"/>
      <c r="M2094" s="900"/>
      <c r="N2094" s="900"/>
      <c r="O2094" s="900"/>
      <c r="P2094" s="900"/>
    </row>
    <row r="2095" spans="3:16" ht="14.25">
      <c r="C2095" s="900"/>
      <c r="D2095" s="900"/>
      <c r="E2095" s="900"/>
      <c r="F2095" s="900"/>
      <c r="G2095" s="900"/>
      <c r="H2095" s="900"/>
      <c r="I2095" s="900"/>
      <c r="J2095" s="900"/>
      <c r="K2095" s="900"/>
      <c r="L2095" s="900"/>
      <c r="M2095" s="900"/>
      <c r="N2095" s="900"/>
      <c r="O2095" s="900"/>
      <c r="P2095" s="900"/>
    </row>
    <row r="2096" spans="3:16" ht="14.25">
      <c r="C2096" s="900"/>
      <c r="D2096" s="900"/>
      <c r="E2096" s="900"/>
      <c r="F2096" s="900"/>
      <c r="G2096" s="900"/>
      <c r="H2096" s="900"/>
      <c r="I2096" s="900"/>
      <c r="J2096" s="900"/>
      <c r="K2096" s="900"/>
      <c r="L2096" s="900"/>
      <c r="M2096" s="900"/>
      <c r="N2096" s="900"/>
      <c r="O2096" s="900"/>
      <c r="P2096" s="900"/>
    </row>
    <row r="2097" spans="3:16" ht="14.25">
      <c r="C2097" s="900"/>
      <c r="D2097" s="900"/>
      <c r="E2097" s="900"/>
      <c r="F2097" s="900"/>
      <c r="G2097" s="900"/>
      <c r="H2097" s="900"/>
      <c r="I2097" s="900"/>
      <c r="J2097" s="900"/>
      <c r="K2097" s="900"/>
      <c r="L2097" s="900"/>
      <c r="M2097" s="900"/>
      <c r="N2097" s="900"/>
      <c r="O2097" s="900"/>
      <c r="P2097" s="900"/>
    </row>
    <row r="2098" spans="3:16" ht="14.25">
      <c r="C2098" s="900"/>
      <c r="D2098" s="900"/>
      <c r="E2098" s="900"/>
      <c r="F2098" s="900"/>
      <c r="G2098" s="900"/>
      <c r="H2098" s="900"/>
      <c r="I2098" s="900"/>
      <c r="J2098" s="900"/>
      <c r="K2098" s="900"/>
      <c r="L2098" s="900"/>
      <c r="M2098" s="900"/>
      <c r="N2098" s="900"/>
      <c r="O2098" s="900"/>
      <c r="P2098" s="900"/>
    </row>
    <row r="2099" spans="3:16" ht="14.25">
      <c r="C2099" s="900"/>
      <c r="D2099" s="900"/>
      <c r="E2099" s="900"/>
      <c r="F2099" s="900"/>
      <c r="G2099" s="900"/>
      <c r="H2099" s="900"/>
      <c r="I2099" s="900"/>
      <c r="J2099" s="900"/>
      <c r="K2099" s="900"/>
      <c r="L2099" s="900"/>
      <c r="M2099" s="900"/>
      <c r="N2099" s="900"/>
      <c r="O2099" s="900"/>
      <c r="P2099" s="900"/>
    </row>
    <row r="2100" spans="3:16" ht="14.25">
      <c r="C2100" s="900"/>
      <c r="D2100" s="900"/>
      <c r="E2100" s="900"/>
      <c r="F2100" s="900"/>
      <c r="G2100" s="900"/>
      <c r="H2100" s="900"/>
      <c r="I2100" s="900"/>
      <c r="J2100" s="900"/>
      <c r="K2100" s="900"/>
      <c r="L2100" s="900"/>
      <c r="M2100" s="900"/>
      <c r="N2100" s="900"/>
      <c r="O2100" s="900"/>
      <c r="P2100" s="900"/>
    </row>
    <row r="2101" spans="3:16" ht="14.25">
      <c r="C2101" s="900"/>
      <c r="D2101" s="900"/>
      <c r="E2101" s="900"/>
      <c r="F2101" s="900"/>
      <c r="G2101" s="900"/>
      <c r="H2101" s="900"/>
      <c r="I2101" s="900"/>
      <c r="J2101" s="900"/>
      <c r="K2101" s="900"/>
      <c r="L2101" s="900"/>
      <c r="M2101" s="900"/>
      <c r="N2101" s="900"/>
      <c r="O2101" s="900"/>
      <c r="P2101" s="900"/>
    </row>
    <row r="2102" spans="3:16" ht="14.25">
      <c r="C2102" s="900"/>
      <c r="D2102" s="900"/>
      <c r="E2102" s="900"/>
      <c r="F2102" s="900"/>
      <c r="G2102" s="900"/>
      <c r="H2102" s="900"/>
      <c r="I2102" s="900"/>
      <c r="J2102" s="900"/>
      <c r="K2102" s="900"/>
      <c r="L2102" s="900"/>
      <c r="M2102" s="900"/>
      <c r="N2102" s="900"/>
      <c r="O2102" s="900"/>
      <c r="P2102" s="900"/>
    </row>
    <row r="2103" spans="3:16" ht="14.25">
      <c r="C2103" s="900"/>
      <c r="D2103" s="900"/>
      <c r="E2103" s="900"/>
      <c r="F2103" s="900"/>
      <c r="G2103" s="900"/>
      <c r="H2103" s="900"/>
      <c r="I2103" s="900"/>
      <c r="J2103" s="900"/>
      <c r="K2103" s="900"/>
      <c r="L2103" s="900"/>
      <c r="M2103" s="900"/>
      <c r="N2103" s="900"/>
      <c r="O2103" s="900"/>
      <c r="P2103" s="900"/>
    </row>
    <row r="2104" spans="3:16" ht="14.25">
      <c r="C2104" s="900"/>
      <c r="D2104" s="900"/>
      <c r="E2104" s="900"/>
      <c r="F2104" s="900"/>
      <c r="G2104" s="900"/>
      <c r="H2104" s="900"/>
      <c r="I2104" s="900"/>
      <c r="J2104" s="900"/>
      <c r="K2104" s="900"/>
      <c r="L2104" s="900"/>
      <c r="M2104" s="900"/>
      <c r="N2104" s="900"/>
      <c r="O2104" s="900"/>
      <c r="P2104" s="900"/>
    </row>
    <row r="2105" spans="3:16" ht="14.25">
      <c r="C2105" s="900"/>
      <c r="D2105" s="900"/>
      <c r="E2105" s="900"/>
      <c r="F2105" s="900"/>
      <c r="G2105" s="900"/>
      <c r="H2105" s="900"/>
      <c r="I2105" s="900"/>
      <c r="J2105" s="900"/>
      <c r="K2105" s="900"/>
      <c r="L2105" s="900"/>
      <c r="M2105" s="900"/>
      <c r="N2105" s="900"/>
      <c r="O2105" s="900"/>
      <c r="P2105" s="900"/>
    </row>
    <row r="2106" spans="3:16" ht="14.25">
      <c r="C2106" s="900"/>
      <c r="D2106" s="900"/>
      <c r="E2106" s="900"/>
      <c r="F2106" s="900"/>
      <c r="G2106" s="900"/>
      <c r="H2106" s="900"/>
      <c r="I2106" s="900"/>
      <c r="J2106" s="900"/>
      <c r="K2106" s="900"/>
      <c r="L2106" s="900"/>
      <c r="M2106" s="900"/>
      <c r="N2106" s="900"/>
      <c r="O2106" s="900"/>
      <c r="P2106" s="900"/>
    </row>
    <row r="2107" spans="3:16" ht="14.25">
      <c r="C2107" s="900"/>
      <c r="D2107" s="900"/>
      <c r="E2107" s="900"/>
      <c r="F2107" s="900"/>
      <c r="G2107" s="900"/>
      <c r="H2107" s="900"/>
      <c r="I2107" s="900"/>
      <c r="J2107" s="900"/>
      <c r="K2107" s="900"/>
      <c r="L2107" s="900"/>
      <c r="M2107" s="900"/>
      <c r="N2107" s="900"/>
      <c r="O2107" s="900"/>
      <c r="P2107" s="900"/>
    </row>
    <row r="2108" spans="3:16" ht="14.25">
      <c r="C2108" s="900"/>
      <c r="D2108" s="900"/>
      <c r="E2108" s="900"/>
      <c r="F2108" s="900"/>
      <c r="G2108" s="900"/>
      <c r="H2108" s="900"/>
      <c r="I2108" s="900"/>
      <c r="J2108" s="900"/>
      <c r="K2108" s="900"/>
      <c r="L2108" s="900"/>
      <c r="M2108" s="900"/>
      <c r="N2108" s="900"/>
      <c r="O2108" s="900"/>
      <c r="P2108" s="900"/>
    </row>
    <row r="2109" spans="3:16" ht="14.25">
      <c r="C2109" s="900"/>
      <c r="D2109" s="900"/>
      <c r="E2109" s="900"/>
      <c r="F2109" s="900"/>
      <c r="G2109" s="900"/>
      <c r="H2109" s="900"/>
      <c r="I2109" s="900"/>
      <c r="J2109" s="900"/>
      <c r="K2109" s="900"/>
      <c r="L2109" s="900"/>
      <c r="M2109" s="900"/>
      <c r="N2109" s="900"/>
      <c r="O2109" s="900"/>
      <c r="P2109" s="900"/>
    </row>
    <row r="2110" spans="3:16" ht="14.25">
      <c r="C2110" s="900"/>
      <c r="D2110" s="900"/>
      <c r="E2110" s="900"/>
      <c r="F2110" s="900"/>
      <c r="G2110" s="900"/>
      <c r="H2110" s="900"/>
      <c r="I2110" s="900"/>
      <c r="J2110" s="900"/>
      <c r="K2110" s="900"/>
      <c r="L2110" s="900"/>
      <c r="M2110" s="900"/>
      <c r="N2110" s="900"/>
      <c r="O2110" s="900"/>
      <c r="P2110" s="900"/>
    </row>
    <row r="2111" spans="3:16" ht="14.25">
      <c r="C2111" s="900"/>
      <c r="D2111" s="900"/>
      <c r="E2111" s="900"/>
      <c r="F2111" s="900"/>
      <c r="G2111" s="900"/>
      <c r="H2111" s="900"/>
      <c r="I2111" s="900"/>
      <c r="J2111" s="900"/>
      <c r="K2111" s="900"/>
      <c r="L2111" s="900"/>
      <c r="M2111" s="900"/>
      <c r="N2111" s="900"/>
      <c r="O2111" s="900"/>
      <c r="P2111" s="900"/>
    </row>
    <row r="2112" spans="3:16" ht="14.25">
      <c r="C2112" s="900"/>
      <c r="D2112" s="900"/>
      <c r="E2112" s="900"/>
      <c r="F2112" s="900"/>
      <c r="G2112" s="900"/>
      <c r="H2112" s="900"/>
      <c r="I2112" s="900"/>
      <c r="J2112" s="900"/>
      <c r="K2112" s="900"/>
      <c r="L2112" s="900"/>
      <c r="M2112" s="900"/>
      <c r="N2112" s="900"/>
      <c r="O2112" s="900"/>
      <c r="P2112" s="900"/>
    </row>
    <row r="2113" spans="3:16" ht="14.25">
      <c r="C2113" s="900"/>
      <c r="D2113" s="900"/>
      <c r="E2113" s="900"/>
      <c r="F2113" s="900"/>
      <c r="G2113" s="900"/>
      <c r="H2113" s="900"/>
      <c r="I2113" s="900"/>
      <c r="J2113" s="900"/>
      <c r="K2113" s="900"/>
      <c r="L2113" s="900"/>
      <c r="M2113" s="900"/>
      <c r="N2113" s="900"/>
      <c r="O2113" s="900"/>
      <c r="P2113" s="900"/>
    </row>
    <row r="2114" spans="3:16" ht="14.25">
      <c r="C2114" s="900"/>
      <c r="D2114" s="900"/>
      <c r="E2114" s="900"/>
      <c r="F2114" s="900"/>
      <c r="G2114" s="900"/>
      <c r="H2114" s="900"/>
      <c r="I2114" s="900"/>
      <c r="J2114" s="900"/>
      <c r="K2114" s="900"/>
      <c r="L2114" s="900"/>
      <c r="M2114" s="900"/>
      <c r="N2114" s="900"/>
      <c r="O2114" s="900"/>
      <c r="P2114" s="900"/>
    </row>
    <row r="2115" spans="3:16" ht="14.25">
      <c r="C2115" s="900"/>
      <c r="D2115" s="900"/>
      <c r="E2115" s="900"/>
      <c r="F2115" s="900"/>
      <c r="G2115" s="900"/>
      <c r="H2115" s="900"/>
      <c r="I2115" s="900"/>
      <c r="J2115" s="900"/>
      <c r="K2115" s="900"/>
      <c r="L2115" s="900"/>
      <c r="M2115" s="900"/>
      <c r="N2115" s="900"/>
      <c r="O2115" s="900"/>
      <c r="P2115" s="900"/>
    </row>
    <row r="2116" spans="3:16" ht="14.25">
      <c r="C2116" s="900"/>
      <c r="D2116" s="900"/>
      <c r="E2116" s="900"/>
      <c r="F2116" s="900"/>
      <c r="G2116" s="900"/>
      <c r="H2116" s="900"/>
      <c r="I2116" s="900"/>
      <c r="J2116" s="900"/>
      <c r="K2116" s="900"/>
      <c r="L2116" s="900"/>
      <c r="M2116" s="900"/>
      <c r="N2116" s="900"/>
      <c r="O2116" s="900"/>
      <c r="P2116" s="900"/>
    </row>
    <row r="2117" spans="3:16" ht="14.25">
      <c r="C2117" s="900"/>
      <c r="D2117" s="900"/>
      <c r="E2117" s="900"/>
      <c r="F2117" s="900"/>
      <c r="G2117" s="900"/>
      <c r="H2117" s="900"/>
      <c r="I2117" s="900"/>
      <c r="J2117" s="900"/>
      <c r="K2117" s="900"/>
      <c r="L2117" s="900"/>
      <c r="M2117" s="900"/>
      <c r="N2117" s="900"/>
      <c r="O2117" s="900"/>
      <c r="P2117" s="900"/>
    </row>
    <row r="2118" spans="3:16" ht="14.25">
      <c r="C2118" s="900"/>
      <c r="D2118" s="900"/>
      <c r="E2118" s="900"/>
      <c r="F2118" s="900"/>
      <c r="G2118" s="900"/>
      <c r="H2118" s="900"/>
      <c r="I2118" s="900"/>
      <c r="J2118" s="900"/>
      <c r="K2118" s="900"/>
      <c r="L2118" s="900"/>
      <c r="M2118" s="900"/>
      <c r="N2118" s="900"/>
      <c r="O2118" s="900"/>
      <c r="P2118" s="900"/>
    </row>
    <row r="2119" spans="3:16" ht="14.25">
      <c r="C2119" s="900"/>
      <c r="D2119" s="900"/>
      <c r="E2119" s="900"/>
      <c r="F2119" s="900"/>
      <c r="G2119" s="900"/>
      <c r="H2119" s="900"/>
      <c r="I2119" s="900"/>
      <c r="J2119" s="900"/>
      <c r="K2119" s="900"/>
      <c r="L2119" s="900"/>
      <c r="M2119" s="900"/>
      <c r="N2119" s="900"/>
      <c r="O2119" s="900"/>
      <c r="P2119" s="900"/>
    </row>
    <row r="2120" spans="3:16" ht="14.25">
      <c r="C2120" s="900"/>
      <c r="D2120" s="900"/>
      <c r="E2120" s="900"/>
      <c r="F2120" s="900"/>
      <c r="G2120" s="900"/>
      <c r="H2120" s="900"/>
      <c r="I2120" s="900"/>
      <c r="J2120" s="900"/>
      <c r="K2120" s="900"/>
      <c r="L2120" s="900"/>
      <c r="M2120" s="900"/>
      <c r="N2120" s="900"/>
      <c r="O2120" s="900"/>
      <c r="P2120" s="900"/>
    </row>
    <row r="2121" spans="3:16" ht="14.25">
      <c r="C2121" s="900"/>
      <c r="D2121" s="900"/>
      <c r="E2121" s="900"/>
      <c r="F2121" s="900"/>
      <c r="G2121" s="900"/>
      <c r="H2121" s="900"/>
      <c r="I2121" s="900"/>
      <c r="J2121" s="900"/>
      <c r="K2121" s="900"/>
      <c r="L2121" s="900"/>
      <c r="M2121" s="900"/>
      <c r="N2121" s="900"/>
      <c r="O2121" s="900"/>
      <c r="P2121" s="900"/>
    </row>
    <row r="2122" spans="3:16" ht="14.25">
      <c r="C2122" s="900"/>
      <c r="D2122" s="900"/>
      <c r="E2122" s="900"/>
      <c r="F2122" s="900"/>
      <c r="G2122" s="900"/>
      <c r="H2122" s="900"/>
      <c r="I2122" s="900"/>
      <c r="J2122" s="900"/>
      <c r="K2122" s="900"/>
      <c r="L2122" s="900"/>
      <c r="M2122" s="900"/>
      <c r="N2122" s="900"/>
      <c r="O2122" s="900"/>
      <c r="P2122" s="900"/>
    </row>
    <row r="2123" spans="3:16" ht="14.25">
      <c r="C2123" s="900"/>
      <c r="D2123" s="900"/>
      <c r="E2123" s="900"/>
      <c r="F2123" s="900"/>
      <c r="G2123" s="900"/>
      <c r="H2123" s="900"/>
      <c r="I2123" s="900"/>
      <c r="J2123" s="900"/>
      <c r="K2123" s="900"/>
      <c r="L2123" s="900"/>
      <c r="M2123" s="900"/>
      <c r="N2123" s="900"/>
      <c r="O2123" s="900"/>
      <c r="P2123" s="900"/>
    </row>
    <row r="2124" spans="3:16" ht="14.25">
      <c r="C2124" s="900"/>
      <c r="D2124" s="900"/>
      <c r="E2124" s="900"/>
      <c r="F2124" s="900"/>
      <c r="G2124" s="900"/>
      <c r="H2124" s="900"/>
      <c r="I2124" s="900"/>
      <c r="J2124" s="900"/>
      <c r="K2124" s="900"/>
      <c r="L2124" s="900"/>
      <c r="M2124" s="900"/>
      <c r="N2124" s="900"/>
      <c r="O2124" s="900"/>
      <c r="P2124" s="900"/>
    </row>
    <row r="2125" spans="3:16" ht="14.25">
      <c r="C2125" s="900"/>
      <c r="D2125" s="900"/>
      <c r="E2125" s="900"/>
      <c r="F2125" s="900"/>
      <c r="G2125" s="900"/>
      <c r="H2125" s="900"/>
      <c r="I2125" s="900"/>
      <c r="J2125" s="900"/>
      <c r="K2125" s="900"/>
      <c r="L2125" s="900"/>
      <c r="M2125" s="900"/>
      <c r="N2125" s="900"/>
      <c r="O2125" s="900"/>
      <c r="P2125" s="900"/>
    </row>
    <row r="2126" spans="3:16" ht="14.25">
      <c r="C2126" s="900"/>
      <c r="D2126" s="900"/>
      <c r="E2126" s="900"/>
      <c r="F2126" s="900"/>
      <c r="G2126" s="900"/>
      <c r="H2126" s="900"/>
      <c r="I2126" s="900"/>
      <c r="J2126" s="900"/>
      <c r="K2126" s="900"/>
      <c r="L2126" s="900"/>
      <c r="M2126" s="900"/>
      <c r="N2126" s="900"/>
      <c r="O2126" s="900"/>
      <c r="P2126" s="900"/>
    </row>
    <row r="2127" spans="3:16" ht="14.25">
      <c r="C2127" s="900"/>
      <c r="D2127" s="900"/>
      <c r="E2127" s="900"/>
      <c r="F2127" s="900"/>
      <c r="G2127" s="900"/>
      <c r="H2127" s="900"/>
      <c r="I2127" s="900"/>
      <c r="J2127" s="900"/>
      <c r="K2127" s="900"/>
      <c r="L2127" s="900"/>
      <c r="M2127" s="900"/>
      <c r="N2127" s="900"/>
      <c r="O2127" s="900"/>
      <c r="P2127" s="900"/>
    </row>
    <row r="2128" spans="3:16" ht="14.25">
      <c r="C2128" s="900"/>
      <c r="D2128" s="900"/>
      <c r="E2128" s="900"/>
      <c r="F2128" s="900"/>
      <c r="G2128" s="900"/>
      <c r="H2128" s="900"/>
      <c r="I2128" s="900"/>
      <c r="J2128" s="900"/>
      <c r="K2128" s="900"/>
      <c r="L2128" s="900"/>
      <c r="M2128" s="900"/>
      <c r="N2128" s="900"/>
      <c r="O2128" s="900"/>
      <c r="P2128" s="900"/>
    </row>
    <row r="2129" spans="3:16" ht="14.25">
      <c r="C2129" s="900"/>
      <c r="D2129" s="900"/>
      <c r="E2129" s="900"/>
      <c r="F2129" s="900"/>
      <c r="G2129" s="900"/>
      <c r="H2129" s="900"/>
      <c r="I2129" s="900"/>
      <c r="J2129" s="900"/>
      <c r="K2129" s="900"/>
      <c r="L2129" s="900"/>
      <c r="M2129" s="900"/>
      <c r="N2129" s="900"/>
      <c r="O2129" s="900"/>
      <c r="P2129" s="900"/>
    </row>
    <row r="2130" spans="3:16" ht="14.25">
      <c r="C2130" s="900"/>
      <c r="D2130" s="900"/>
      <c r="E2130" s="900"/>
      <c r="F2130" s="900"/>
      <c r="G2130" s="900"/>
      <c r="H2130" s="900"/>
      <c r="I2130" s="900"/>
      <c r="J2130" s="900"/>
      <c r="K2130" s="900"/>
      <c r="L2130" s="900"/>
      <c r="M2130" s="900"/>
      <c r="N2130" s="900"/>
      <c r="O2130" s="900"/>
      <c r="P2130" s="900"/>
    </row>
    <row r="2131" spans="3:16" ht="14.25">
      <c r="C2131" s="900"/>
      <c r="D2131" s="900"/>
      <c r="E2131" s="900"/>
      <c r="F2131" s="900"/>
      <c r="G2131" s="900"/>
      <c r="H2131" s="900"/>
      <c r="I2131" s="900"/>
      <c r="J2131" s="900"/>
      <c r="K2131" s="900"/>
      <c r="L2131" s="900"/>
      <c r="M2131" s="900"/>
      <c r="N2131" s="900"/>
      <c r="O2131" s="900"/>
      <c r="P2131" s="900"/>
    </row>
    <row r="2132" spans="3:16" ht="14.25">
      <c r="C2132" s="900"/>
      <c r="D2132" s="900"/>
      <c r="E2132" s="900"/>
      <c r="F2132" s="900"/>
      <c r="G2132" s="900"/>
      <c r="H2132" s="900"/>
      <c r="I2132" s="900"/>
      <c r="J2132" s="900"/>
      <c r="K2132" s="900"/>
      <c r="L2132" s="900"/>
      <c r="M2132" s="900"/>
      <c r="N2132" s="900"/>
      <c r="O2132" s="900"/>
      <c r="P2132" s="900"/>
    </row>
    <row r="2133" spans="3:16" ht="14.25">
      <c r="C2133" s="900"/>
      <c r="D2133" s="900"/>
      <c r="E2133" s="900"/>
      <c r="F2133" s="900"/>
      <c r="G2133" s="900"/>
      <c r="H2133" s="900"/>
      <c r="I2133" s="900"/>
      <c r="J2133" s="900"/>
      <c r="K2133" s="900"/>
      <c r="L2133" s="900"/>
      <c r="M2133" s="900"/>
      <c r="N2133" s="900"/>
      <c r="O2133" s="900"/>
      <c r="P2133" s="900"/>
    </row>
    <row r="2134" spans="3:16" ht="14.25">
      <c r="C2134" s="900"/>
      <c r="D2134" s="900"/>
      <c r="E2134" s="900"/>
      <c r="F2134" s="900"/>
      <c r="G2134" s="900"/>
      <c r="H2134" s="900"/>
      <c r="I2134" s="900"/>
      <c r="J2134" s="900"/>
      <c r="K2134" s="900"/>
      <c r="L2134" s="900"/>
      <c r="M2134" s="900"/>
      <c r="N2134" s="900"/>
      <c r="O2134" s="900"/>
      <c r="P2134" s="900"/>
    </row>
    <row r="2135" spans="3:16" ht="14.25">
      <c r="C2135" s="900"/>
      <c r="D2135" s="900"/>
      <c r="E2135" s="900"/>
      <c r="F2135" s="900"/>
      <c r="G2135" s="900"/>
      <c r="H2135" s="900"/>
      <c r="I2135" s="900"/>
      <c r="J2135" s="900"/>
      <c r="K2135" s="900"/>
      <c r="L2135" s="900"/>
      <c r="M2135" s="900"/>
      <c r="N2135" s="900"/>
      <c r="O2135" s="900"/>
      <c r="P2135" s="900"/>
    </row>
    <row r="2136" spans="3:16" ht="14.25">
      <c r="C2136" s="900"/>
      <c r="D2136" s="900"/>
      <c r="E2136" s="900"/>
      <c r="F2136" s="900"/>
      <c r="G2136" s="900"/>
      <c r="H2136" s="900"/>
      <c r="I2136" s="900"/>
      <c r="J2136" s="900"/>
      <c r="K2136" s="900"/>
      <c r="L2136" s="900"/>
      <c r="M2136" s="900"/>
      <c r="N2136" s="900"/>
      <c r="O2136" s="900"/>
      <c r="P2136" s="900"/>
    </row>
    <row r="2137" spans="3:16" ht="14.25">
      <c r="C2137" s="900"/>
      <c r="D2137" s="900"/>
      <c r="E2137" s="900"/>
      <c r="F2137" s="900"/>
      <c r="G2137" s="900"/>
      <c r="H2137" s="900"/>
      <c r="I2137" s="900"/>
      <c r="J2137" s="900"/>
      <c r="K2137" s="900"/>
      <c r="L2137" s="900"/>
      <c r="M2137" s="900"/>
      <c r="N2137" s="900"/>
      <c r="O2137" s="900"/>
      <c r="P2137" s="900"/>
    </row>
    <row r="2138" spans="3:16" ht="14.25">
      <c r="C2138" s="900"/>
      <c r="D2138" s="900"/>
      <c r="E2138" s="900"/>
      <c r="F2138" s="900"/>
      <c r="G2138" s="900"/>
      <c r="H2138" s="900"/>
      <c r="I2138" s="900"/>
      <c r="J2138" s="900"/>
      <c r="K2138" s="900"/>
      <c r="L2138" s="900"/>
      <c r="M2138" s="900"/>
      <c r="N2138" s="900"/>
      <c r="O2138" s="900"/>
      <c r="P2138" s="900"/>
    </row>
    <row r="2139" spans="3:16" ht="14.25">
      <c r="C2139" s="900"/>
      <c r="D2139" s="900"/>
      <c r="E2139" s="900"/>
      <c r="F2139" s="900"/>
      <c r="G2139" s="900"/>
      <c r="H2139" s="900"/>
      <c r="I2139" s="900"/>
      <c r="J2139" s="900"/>
      <c r="K2139" s="900"/>
      <c r="L2139" s="900"/>
      <c r="M2139" s="900"/>
      <c r="N2139" s="900"/>
      <c r="O2139" s="900"/>
      <c r="P2139" s="900"/>
    </row>
    <row r="2140" spans="3:16" ht="14.25">
      <c r="C2140" s="900"/>
      <c r="D2140" s="900"/>
      <c r="E2140" s="900"/>
      <c r="F2140" s="900"/>
      <c r="G2140" s="900"/>
      <c r="H2140" s="900"/>
      <c r="I2140" s="900"/>
      <c r="J2140" s="900"/>
      <c r="K2140" s="900"/>
      <c r="L2140" s="900"/>
      <c r="M2140" s="900"/>
      <c r="N2140" s="900"/>
      <c r="O2140" s="900"/>
      <c r="P2140" s="900"/>
    </row>
    <row r="2141" spans="3:16" ht="14.25">
      <c r="C2141" s="900"/>
      <c r="D2141" s="900"/>
      <c r="E2141" s="900"/>
      <c r="F2141" s="900"/>
      <c r="G2141" s="900"/>
      <c r="H2141" s="900"/>
      <c r="I2141" s="900"/>
      <c r="J2141" s="900"/>
      <c r="K2141" s="900"/>
      <c r="L2141" s="900"/>
      <c r="M2141" s="900"/>
      <c r="N2141" s="900"/>
      <c r="O2141" s="900"/>
      <c r="P2141" s="900"/>
    </row>
    <row r="2142" spans="3:16" ht="14.25">
      <c r="C2142" s="900"/>
      <c r="D2142" s="900"/>
      <c r="E2142" s="900"/>
      <c r="F2142" s="900"/>
      <c r="G2142" s="900"/>
      <c r="H2142" s="900"/>
      <c r="I2142" s="900"/>
      <c r="J2142" s="900"/>
      <c r="K2142" s="900"/>
      <c r="L2142" s="900"/>
      <c r="M2142" s="900"/>
      <c r="N2142" s="900"/>
      <c r="O2142" s="900"/>
      <c r="P2142" s="900"/>
    </row>
    <row r="2143" spans="3:16" ht="14.25">
      <c r="C2143" s="900"/>
      <c r="D2143" s="900"/>
      <c r="E2143" s="900"/>
      <c r="F2143" s="900"/>
      <c r="G2143" s="900"/>
      <c r="H2143" s="900"/>
      <c r="I2143" s="900"/>
      <c r="J2143" s="900"/>
      <c r="K2143" s="900"/>
      <c r="L2143" s="900"/>
      <c r="M2143" s="900"/>
      <c r="N2143" s="900"/>
      <c r="O2143" s="900"/>
      <c r="P2143" s="900"/>
    </row>
    <row r="2144" spans="3:16" ht="14.25">
      <c r="C2144" s="900"/>
      <c r="D2144" s="900"/>
      <c r="E2144" s="900"/>
      <c r="F2144" s="900"/>
      <c r="G2144" s="900"/>
      <c r="H2144" s="900"/>
      <c r="I2144" s="900"/>
      <c r="J2144" s="900"/>
      <c r="K2144" s="900"/>
      <c r="L2144" s="900"/>
      <c r="M2144" s="900"/>
      <c r="N2144" s="900"/>
      <c r="O2144" s="900"/>
      <c r="P2144" s="900"/>
    </row>
    <row r="2145" spans="3:16" ht="14.25">
      <c r="C2145" s="900"/>
      <c r="D2145" s="900"/>
      <c r="E2145" s="900"/>
      <c r="F2145" s="900"/>
      <c r="G2145" s="900"/>
      <c r="H2145" s="900"/>
      <c r="I2145" s="900"/>
      <c r="J2145" s="900"/>
      <c r="K2145" s="900"/>
      <c r="L2145" s="900"/>
      <c r="M2145" s="900"/>
      <c r="N2145" s="900"/>
      <c r="O2145" s="900"/>
      <c r="P2145" s="900"/>
    </row>
    <row r="2146" spans="3:16" ht="14.25">
      <c r="C2146" s="900"/>
      <c r="D2146" s="900"/>
      <c r="E2146" s="900"/>
      <c r="F2146" s="900"/>
      <c r="G2146" s="900"/>
      <c r="H2146" s="900"/>
      <c r="I2146" s="900"/>
      <c r="J2146" s="900"/>
      <c r="K2146" s="900"/>
      <c r="L2146" s="900"/>
      <c r="M2146" s="900"/>
      <c r="N2146" s="900"/>
      <c r="O2146" s="900"/>
      <c r="P2146" s="900"/>
    </row>
    <row r="2147" spans="3:16" ht="14.25">
      <c r="C2147" s="900"/>
      <c r="D2147" s="900"/>
      <c r="E2147" s="900"/>
      <c r="F2147" s="900"/>
      <c r="G2147" s="900"/>
      <c r="H2147" s="900"/>
      <c r="I2147" s="900"/>
      <c r="J2147" s="900"/>
      <c r="K2147" s="900"/>
      <c r="L2147" s="900"/>
      <c r="M2147" s="900"/>
      <c r="N2147" s="900"/>
      <c r="O2147" s="900"/>
      <c r="P2147" s="900"/>
    </row>
    <row r="2148" spans="3:16" ht="14.25">
      <c r="C2148" s="900"/>
      <c r="D2148" s="900"/>
      <c r="E2148" s="900"/>
      <c r="F2148" s="900"/>
      <c r="G2148" s="900"/>
      <c r="H2148" s="900"/>
      <c r="I2148" s="900"/>
      <c r="J2148" s="900"/>
      <c r="K2148" s="900"/>
      <c r="L2148" s="900"/>
      <c r="M2148" s="900"/>
      <c r="N2148" s="900"/>
      <c r="O2148" s="900"/>
      <c r="P2148" s="900"/>
    </row>
    <row r="2149" spans="3:16" ht="14.25">
      <c r="C2149" s="900"/>
      <c r="D2149" s="900"/>
      <c r="E2149" s="900"/>
      <c r="F2149" s="900"/>
      <c r="G2149" s="900"/>
      <c r="H2149" s="900"/>
      <c r="I2149" s="900"/>
      <c r="J2149" s="900"/>
      <c r="K2149" s="900"/>
      <c r="L2149" s="900"/>
      <c r="M2149" s="900"/>
      <c r="N2149" s="900"/>
      <c r="O2149" s="900"/>
      <c r="P2149" s="900"/>
    </row>
    <row r="2150" spans="3:16" ht="14.25">
      <c r="C2150" s="900"/>
      <c r="D2150" s="900"/>
      <c r="E2150" s="900"/>
      <c r="F2150" s="900"/>
      <c r="G2150" s="900"/>
      <c r="H2150" s="900"/>
      <c r="I2150" s="900"/>
      <c r="J2150" s="900"/>
      <c r="K2150" s="900"/>
      <c r="L2150" s="900"/>
      <c r="M2150" s="900"/>
      <c r="N2150" s="900"/>
      <c r="O2150" s="900"/>
      <c r="P2150" s="900"/>
    </row>
    <row r="2151" spans="3:16" ht="14.25">
      <c r="C2151" s="900"/>
      <c r="D2151" s="900"/>
      <c r="E2151" s="900"/>
      <c r="F2151" s="900"/>
      <c r="G2151" s="900"/>
      <c r="H2151" s="900"/>
      <c r="I2151" s="900"/>
      <c r="J2151" s="900"/>
      <c r="K2151" s="900"/>
      <c r="L2151" s="900"/>
      <c r="M2151" s="900"/>
      <c r="N2151" s="900"/>
      <c r="O2151" s="900"/>
      <c r="P2151" s="900"/>
    </row>
    <row r="2152" spans="3:16" ht="14.25">
      <c r="C2152" s="900"/>
      <c r="D2152" s="900"/>
      <c r="E2152" s="900"/>
      <c r="F2152" s="900"/>
      <c r="G2152" s="900"/>
      <c r="H2152" s="900"/>
      <c r="I2152" s="900"/>
      <c r="J2152" s="900"/>
      <c r="K2152" s="900"/>
      <c r="L2152" s="900"/>
      <c r="M2152" s="900"/>
      <c r="N2152" s="900"/>
      <c r="O2152" s="900"/>
      <c r="P2152" s="900"/>
    </row>
    <row r="2153" spans="3:16" ht="14.25">
      <c r="C2153" s="900"/>
      <c r="D2153" s="900"/>
      <c r="E2153" s="900"/>
      <c r="F2153" s="900"/>
      <c r="G2153" s="900"/>
      <c r="H2153" s="900"/>
      <c r="I2153" s="900"/>
      <c r="J2153" s="900"/>
      <c r="K2153" s="900"/>
      <c r="L2153" s="900"/>
      <c r="M2153" s="900"/>
      <c r="N2153" s="900"/>
      <c r="O2153" s="900"/>
      <c r="P2153" s="900"/>
    </row>
    <row r="2154" spans="3:16" ht="14.25">
      <c r="C2154" s="900"/>
      <c r="D2154" s="900"/>
      <c r="E2154" s="900"/>
      <c r="F2154" s="900"/>
      <c r="G2154" s="900"/>
      <c r="H2154" s="900"/>
      <c r="I2154" s="900"/>
      <c r="J2154" s="900"/>
      <c r="K2154" s="900"/>
      <c r="L2154" s="900"/>
      <c r="M2154" s="900"/>
      <c r="N2154" s="900"/>
      <c r="O2154" s="900"/>
      <c r="P2154" s="900"/>
    </row>
    <row r="2155" spans="3:16" ht="14.25">
      <c r="C2155" s="900"/>
      <c r="D2155" s="900"/>
      <c r="E2155" s="900"/>
      <c r="F2155" s="900"/>
      <c r="G2155" s="900"/>
      <c r="H2155" s="900"/>
      <c r="I2155" s="900"/>
      <c r="J2155" s="900"/>
      <c r="K2155" s="900"/>
      <c r="L2155" s="900"/>
      <c r="M2155" s="900"/>
      <c r="N2155" s="900"/>
      <c r="O2155" s="900"/>
      <c r="P2155" s="900"/>
    </row>
    <row r="2156" spans="3:16" ht="14.25">
      <c r="C2156" s="900"/>
      <c r="D2156" s="900"/>
      <c r="E2156" s="900"/>
      <c r="F2156" s="900"/>
      <c r="G2156" s="900"/>
      <c r="H2156" s="900"/>
      <c r="I2156" s="900"/>
      <c r="J2156" s="900"/>
      <c r="K2156" s="900"/>
      <c r="L2156" s="900"/>
      <c r="M2156" s="900"/>
      <c r="N2156" s="900"/>
      <c r="O2156" s="900"/>
      <c r="P2156" s="900"/>
    </row>
    <row r="2157" spans="3:16" ht="14.25">
      <c r="C2157" s="900"/>
      <c r="D2157" s="900"/>
      <c r="E2157" s="900"/>
      <c r="F2157" s="900"/>
      <c r="G2157" s="900"/>
      <c r="H2157" s="900"/>
      <c r="I2157" s="900"/>
      <c r="J2157" s="900"/>
      <c r="K2157" s="900"/>
      <c r="L2157" s="900"/>
      <c r="M2157" s="900"/>
      <c r="N2157" s="900"/>
      <c r="O2157" s="900"/>
      <c r="P2157" s="900"/>
    </row>
    <row r="2158" spans="3:16" ht="14.25">
      <c r="C2158" s="900"/>
      <c r="D2158" s="900"/>
      <c r="E2158" s="900"/>
      <c r="F2158" s="900"/>
      <c r="G2158" s="900"/>
      <c r="H2158" s="900"/>
      <c r="I2158" s="900"/>
      <c r="J2158" s="900"/>
      <c r="K2158" s="900"/>
      <c r="L2158" s="900"/>
      <c r="M2158" s="900"/>
      <c r="N2158" s="900"/>
      <c r="O2158" s="900"/>
      <c r="P2158" s="900"/>
    </row>
    <row r="2159" spans="3:16" ht="14.25">
      <c r="C2159" s="900"/>
      <c r="D2159" s="900"/>
      <c r="E2159" s="900"/>
      <c r="F2159" s="900"/>
      <c r="G2159" s="900"/>
      <c r="H2159" s="900"/>
      <c r="I2159" s="900"/>
      <c r="J2159" s="900"/>
      <c r="K2159" s="900"/>
      <c r="L2159" s="900"/>
      <c r="M2159" s="900"/>
      <c r="N2159" s="900"/>
      <c r="O2159" s="900"/>
      <c r="P2159" s="900"/>
    </row>
    <row r="2160" spans="3:16" ht="14.25">
      <c r="C2160" s="900"/>
      <c r="D2160" s="900"/>
      <c r="E2160" s="900"/>
      <c r="F2160" s="900"/>
      <c r="G2160" s="900"/>
      <c r="H2160" s="900"/>
      <c r="I2160" s="900"/>
      <c r="J2160" s="900"/>
      <c r="K2160" s="900"/>
      <c r="L2160" s="900"/>
      <c r="M2160" s="900"/>
      <c r="N2160" s="900"/>
      <c r="O2160" s="900"/>
      <c r="P2160" s="900"/>
    </row>
    <row r="2161" spans="3:16" ht="14.25">
      <c r="C2161" s="900"/>
      <c r="D2161" s="900"/>
      <c r="E2161" s="900"/>
      <c r="F2161" s="900"/>
      <c r="G2161" s="900"/>
      <c r="H2161" s="900"/>
      <c r="I2161" s="900"/>
      <c r="J2161" s="900"/>
      <c r="K2161" s="900"/>
      <c r="L2161" s="900"/>
      <c r="M2161" s="900"/>
      <c r="N2161" s="900"/>
      <c r="O2161" s="900"/>
      <c r="P2161" s="900"/>
    </row>
    <row r="2162" spans="3:16" ht="14.25">
      <c r="C2162" s="900"/>
      <c r="D2162" s="900"/>
      <c r="E2162" s="900"/>
      <c r="F2162" s="900"/>
      <c r="G2162" s="900"/>
      <c r="H2162" s="900"/>
      <c r="I2162" s="900"/>
      <c r="J2162" s="900"/>
      <c r="K2162" s="900"/>
      <c r="L2162" s="900"/>
      <c r="M2162" s="900"/>
      <c r="N2162" s="900"/>
      <c r="O2162" s="900"/>
      <c r="P2162" s="900"/>
    </row>
    <row r="2163" spans="3:16" ht="14.25">
      <c r="C2163" s="900"/>
      <c r="D2163" s="900"/>
      <c r="E2163" s="900"/>
      <c r="F2163" s="900"/>
      <c r="G2163" s="900"/>
      <c r="H2163" s="900"/>
      <c r="I2163" s="900"/>
      <c r="J2163" s="900"/>
      <c r="K2163" s="900"/>
      <c r="L2163" s="900"/>
      <c r="M2163" s="900"/>
      <c r="N2163" s="900"/>
      <c r="O2163" s="900"/>
      <c r="P2163" s="900"/>
    </row>
    <row r="2164" spans="3:16" ht="14.25">
      <c r="C2164" s="900"/>
      <c r="D2164" s="900"/>
      <c r="E2164" s="900"/>
      <c r="F2164" s="900"/>
      <c r="G2164" s="900"/>
      <c r="H2164" s="900"/>
      <c r="I2164" s="900"/>
      <c r="J2164" s="900"/>
      <c r="K2164" s="900"/>
      <c r="L2164" s="900"/>
      <c r="M2164" s="900"/>
      <c r="N2164" s="900"/>
      <c r="O2164" s="900"/>
      <c r="P2164" s="900"/>
    </row>
    <row r="2165" spans="3:16" ht="14.25">
      <c r="C2165" s="900"/>
      <c r="D2165" s="900"/>
      <c r="E2165" s="900"/>
      <c r="F2165" s="900"/>
      <c r="G2165" s="900"/>
      <c r="H2165" s="900"/>
      <c r="I2165" s="900"/>
      <c r="J2165" s="900"/>
      <c r="K2165" s="900"/>
      <c r="L2165" s="900"/>
      <c r="M2165" s="900"/>
      <c r="N2165" s="900"/>
      <c r="O2165" s="900"/>
      <c r="P2165" s="900"/>
    </row>
    <row r="2166" spans="3:16" ht="14.25">
      <c r="C2166" s="900"/>
      <c r="D2166" s="900"/>
      <c r="E2166" s="900"/>
      <c r="F2166" s="900"/>
      <c r="G2166" s="900"/>
      <c r="H2166" s="900"/>
      <c r="I2166" s="900"/>
      <c r="J2166" s="900"/>
      <c r="K2166" s="900"/>
      <c r="L2166" s="900"/>
      <c r="M2166" s="900"/>
      <c r="N2166" s="900"/>
      <c r="O2166" s="900"/>
      <c r="P2166" s="900"/>
    </row>
    <row r="2167" spans="3:16" ht="14.25">
      <c r="C2167" s="900"/>
      <c r="D2167" s="900"/>
      <c r="E2167" s="900"/>
      <c r="F2167" s="900"/>
      <c r="G2167" s="900"/>
      <c r="H2167" s="900"/>
      <c r="I2167" s="900"/>
      <c r="J2167" s="900"/>
      <c r="K2167" s="900"/>
      <c r="L2167" s="900"/>
      <c r="M2167" s="900"/>
      <c r="N2167" s="900"/>
      <c r="O2167" s="900"/>
      <c r="P2167" s="900"/>
    </row>
    <row r="2168" spans="3:16" ht="14.25">
      <c r="C2168" s="900"/>
      <c r="D2168" s="900"/>
      <c r="E2168" s="900"/>
      <c r="F2168" s="900"/>
      <c r="G2168" s="900"/>
      <c r="H2168" s="900"/>
      <c r="I2168" s="900"/>
      <c r="J2168" s="900"/>
      <c r="K2168" s="900"/>
      <c r="L2168" s="900"/>
      <c r="M2168" s="900"/>
      <c r="N2168" s="900"/>
      <c r="O2168" s="900"/>
      <c r="P2168" s="900"/>
    </row>
    <row r="2169" spans="3:16" ht="14.25">
      <c r="C2169" s="900"/>
      <c r="D2169" s="900"/>
      <c r="E2169" s="900"/>
      <c r="F2169" s="900"/>
      <c r="G2169" s="900"/>
      <c r="H2169" s="900"/>
      <c r="I2169" s="900"/>
      <c r="J2169" s="900"/>
      <c r="K2169" s="900"/>
      <c r="L2169" s="900"/>
      <c r="M2169" s="900"/>
      <c r="N2169" s="900"/>
      <c r="O2169" s="900"/>
      <c r="P2169" s="900"/>
    </row>
    <row r="2170" spans="3:16" ht="14.25">
      <c r="C2170" s="900"/>
      <c r="D2170" s="900"/>
      <c r="E2170" s="900"/>
      <c r="F2170" s="900"/>
      <c r="G2170" s="900"/>
      <c r="H2170" s="900"/>
      <c r="I2170" s="900"/>
      <c r="J2170" s="900"/>
      <c r="K2170" s="900"/>
      <c r="L2170" s="900"/>
      <c r="M2170" s="900"/>
      <c r="N2170" s="900"/>
      <c r="O2170" s="900"/>
      <c r="P2170" s="900"/>
    </row>
    <row r="2171" spans="3:16" ht="14.25">
      <c r="C2171" s="900"/>
      <c r="D2171" s="900"/>
      <c r="E2171" s="900"/>
      <c r="F2171" s="900"/>
      <c r="G2171" s="900"/>
      <c r="H2171" s="900"/>
      <c r="I2171" s="900"/>
      <c r="J2171" s="900"/>
      <c r="K2171" s="900"/>
      <c r="L2171" s="900"/>
      <c r="M2171" s="900"/>
      <c r="N2171" s="900"/>
      <c r="O2171" s="900"/>
      <c r="P2171" s="900"/>
    </row>
    <row r="2172" spans="3:16" ht="14.25">
      <c r="C2172" s="900"/>
      <c r="D2172" s="900"/>
      <c r="E2172" s="900"/>
      <c r="F2172" s="900"/>
      <c r="G2172" s="900"/>
      <c r="H2172" s="900"/>
      <c r="I2172" s="900"/>
      <c r="J2172" s="900"/>
      <c r="K2172" s="900"/>
      <c r="L2172" s="900"/>
      <c r="M2172" s="900"/>
      <c r="N2172" s="900"/>
      <c r="O2172" s="900"/>
      <c r="P2172" s="900"/>
    </row>
    <row r="2173" spans="3:16" ht="14.25">
      <c r="C2173" s="900"/>
      <c r="D2173" s="900"/>
      <c r="E2173" s="900"/>
      <c r="F2173" s="900"/>
      <c r="G2173" s="900"/>
      <c r="H2173" s="900"/>
      <c r="I2173" s="900"/>
      <c r="J2173" s="900"/>
      <c r="K2173" s="900"/>
      <c r="L2173" s="900"/>
      <c r="M2173" s="900"/>
      <c r="N2173" s="900"/>
      <c r="O2173" s="900"/>
      <c r="P2173" s="900"/>
    </row>
    <row r="2174" spans="3:16" ht="14.25">
      <c r="C2174" s="900"/>
      <c r="D2174" s="900"/>
      <c r="E2174" s="900"/>
      <c r="F2174" s="900"/>
      <c r="G2174" s="900"/>
      <c r="H2174" s="900"/>
      <c r="I2174" s="900"/>
      <c r="J2174" s="900"/>
      <c r="K2174" s="900"/>
      <c r="L2174" s="900"/>
      <c r="M2174" s="900"/>
      <c r="N2174" s="900"/>
      <c r="O2174" s="900"/>
      <c r="P2174" s="900"/>
    </row>
    <row r="2175" spans="3:16" ht="14.25">
      <c r="C2175" s="900"/>
      <c r="D2175" s="900"/>
      <c r="E2175" s="900"/>
      <c r="F2175" s="900"/>
      <c r="G2175" s="900"/>
      <c r="H2175" s="900"/>
      <c r="I2175" s="900"/>
      <c r="J2175" s="900"/>
      <c r="K2175" s="900"/>
      <c r="L2175" s="900"/>
      <c r="M2175" s="900"/>
      <c r="N2175" s="900"/>
      <c r="O2175" s="900"/>
      <c r="P2175" s="900"/>
    </row>
    <row r="2176" spans="3:16" ht="14.25">
      <c r="C2176" s="900"/>
      <c r="D2176" s="900"/>
      <c r="E2176" s="900"/>
      <c r="F2176" s="900"/>
      <c r="G2176" s="900"/>
      <c r="H2176" s="900"/>
      <c r="I2176" s="900"/>
      <c r="J2176" s="900"/>
      <c r="K2176" s="900"/>
      <c r="L2176" s="900"/>
      <c r="M2176" s="900"/>
      <c r="N2176" s="900"/>
      <c r="O2176" s="900"/>
      <c r="P2176" s="900"/>
    </row>
    <row r="2177" spans="3:16" ht="14.25">
      <c r="C2177" s="900"/>
      <c r="D2177" s="900"/>
      <c r="E2177" s="900"/>
      <c r="F2177" s="900"/>
      <c r="G2177" s="900"/>
      <c r="H2177" s="900"/>
      <c r="I2177" s="900"/>
      <c r="J2177" s="900"/>
      <c r="K2177" s="900"/>
      <c r="L2177" s="900"/>
      <c r="M2177" s="900"/>
      <c r="N2177" s="900"/>
      <c r="O2177" s="900"/>
      <c r="P2177" s="900"/>
    </row>
    <row r="2178" spans="3:16" ht="14.25">
      <c r="C2178" s="900"/>
      <c r="D2178" s="900"/>
      <c r="E2178" s="900"/>
      <c r="F2178" s="900"/>
      <c r="G2178" s="900"/>
      <c r="H2178" s="900"/>
      <c r="I2178" s="900"/>
      <c r="J2178" s="900"/>
      <c r="K2178" s="900"/>
      <c r="L2178" s="900"/>
      <c r="M2178" s="900"/>
      <c r="N2178" s="900"/>
      <c r="O2178" s="900"/>
      <c r="P2178" s="900"/>
    </row>
    <row r="2179" spans="3:16" ht="14.25">
      <c r="C2179" s="900"/>
      <c r="D2179" s="900"/>
      <c r="E2179" s="900"/>
      <c r="F2179" s="900"/>
      <c r="G2179" s="900"/>
      <c r="H2179" s="900"/>
      <c r="I2179" s="900"/>
      <c r="J2179" s="900"/>
      <c r="K2179" s="900"/>
      <c r="L2179" s="900"/>
      <c r="M2179" s="900"/>
      <c r="N2179" s="900"/>
      <c r="O2179" s="900"/>
      <c r="P2179" s="900"/>
    </row>
    <row r="2180" spans="3:16" ht="14.25">
      <c r="C2180" s="900"/>
      <c r="D2180" s="900"/>
      <c r="E2180" s="900"/>
      <c r="F2180" s="900"/>
      <c r="G2180" s="900"/>
      <c r="H2180" s="900"/>
      <c r="I2180" s="900"/>
      <c r="J2180" s="900"/>
      <c r="K2180" s="900"/>
      <c r="L2180" s="900"/>
      <c r="M2180" s="900"/>
      <c r="N2180" s="900"/>
      <c r="O2180" s="900"/>
      <c r="P2180" s="900"/>
    </row>
    <row r="2181" spans="3:16" ht="14.25">
      <c r="C2181" s="900"/>
      <c r="D2181" s="900"/>
      <c r="E2181" s="900"/>
      <c r="F2181" s="900"/>
      <c r="G2181" s="900"/>
      <c r="H2181" s="900"/>
      <c r="I2181" s="900"/>
      <c r="J2181" s="900"/>
      <c r="K2181" s="900"/>
      <c r="L2181" s="900"/>
      <c r="M2181" s="900"/>
      <c r="N2181" s="900"/>
      <c r="O2181" s="900"/>
      <c r="P2181" s="900"/>
    </row>
    <row r="2182" spans="3:16" ht="14.25">
      <c r="C2182" s="900"/>
      <c r="D2182" s="900"/>
      <c r="E2182" s="900"/>
      <c r="F2182" s="900"/>
      <c r="G2182" s="900"/>
      <c r="H2182" s="900"/>
      <c r="I2182" s="900"/>
      <c r="J2182" s="900"/>
      <c r="K2182" s="900"/>
      <c r="L2182" s="900"/>
      <c r="M2182" s="900"/>
      <c r="N2182" s="900"/>
      <c r="O2182" s="900"/>
      <c r="P2182" s="900"/>
    </row>
    <row r="2183" spans="3:16" ht="14.25">
      <c r="C2183" s="900"/>
      <c r="D2183" s="900"/>
      <c r="E2183" s="900"/>
      <c r="F2183" s="900"/>
      <c r="G2183" s="900"/>
      <c r="H2183" s="900"/>
      <c r="I2183" s="900"/>
      <c r="J2183" s="900"/>
      <c r="K2183" s="900"/>
      <c r="L2183" s="900"/>
      <c r="M2183" s="900"/>
      <c r="N2183" s="900"/>
      <c r="O2183" s="900"/>
      <c r="P2183" s="900"/>
    </row>
    <row r="2184" spans="3:16" ht="14.25">
      <c r="C2184" s="900"/>
      <c r="D2184" s="900"/>
      <c r="E2184" s="900"/>
      <c r="F2184" s="900"/>
      <c r="G2184" s="900"/>
      <c r="H2184" s="900"/>
      <c r="I2184" s="900"/>
      <c r="J2184" s="900"/>
      <c r="K2184" s="900"/>
      <c r="L2184" s="900"/>
      <c r="M2184" s="900"/>
      <c r="N2184" s="900"/>
      <c r="O2184" s="900"/>
      <c r="P2184" s="900"/>
    </row>
    <row r="2185" spans="3:16" ht="14.25">
      <c r="C2185" s="900"/>
      <c r="D2185" s="900"/>
      <c r="E2185" s="900"/>
      <c r="F2185" s="900"/>
      <c r="G2185" s="900"/>
      <c r="H2185" s="900"/>
      <c r="I2185" s="900"/>
      <c r="J2185" s="900"/>
      <c r="K2185" s="900"/>
      <c r="L2185" s="900"/>
      <c r="M2185" s="900"/>
      <c r="N2185" s="900"/>
      <c r="O2185" s="900"/>
      <c r="P2185" s="900"/>
    </row>
    <row r="2186" spans="3:16" ht="14.25">
      <c r="C2186" s="900"/>
      <c r="D2186" s="900"/>
      <c r="E2186" s="900"/>
      <c r="F2186" s="900"/>
      <c r="G2186" s="900"/>
      <c r="H2186" s="900"/>
      <c r="I2186" s="900"/>
      <c r="J2186" s="900"/>
      <c r="K2186" s="900"/>
      <c r="L2186" s="900"/>
      <c r="M2186" s="900"/>
      <c r="N2186" s="900"/>
      <c r="O2186" s="900"/>
      <c r="P2186" s="900"/>
    </row>
    <row r="2187" spans="3:16" ht="14.25">
      <c r="C2187" s="900"/>
      <c r="D2187" s="900"/>
      <c r="E2187" s="900"/>
      <c r="F2187" s="900"/>
      <c r="G2187" s="900"/>
      <c r="H2187" s="900"/>
      <c r="I2187" s="900"/>
      <c r="J2187" s="900"/>
      <c r="K2187" s="900"/>
      <c r="L2187" s="900"/>
      <c r="M2187" s="900"/>
      <c r="N2187" s="900"/>
      <c r="O2187" s="900"/>
      <c r="P2187" s="900"/>
    </row>
    <row r="2188" spans="3:16" ht="14.25">
      <c r="C2188" s="900"/>
      <c r="D2188" s="900"/>
      <c r="E2188" s="900"/>
      <c r="F2188" s="900"/>
      <c r="G2188" s="900"/>
      <c r="H2188" s="900"/>
      <c r="I2188" s="900"/>
      <c r="J2188" s="900"/>
      <c r="K2188" s="900"/>
      <c r="L2188" s="900"/>
      <c r="M2188" s="900"/>
      <c r="N2188" s="900"/>
      <c r="O2188" s="900"/>
      <c r="P2188" s="900"/>
    </row>
    <row r="2189" spans="3:16" ht="14.25">
      <c r="C2189" s="900"/>
      <c r="D2189" s="900"/>
      <c r="E2189" s="900"/>
      <c r="F2189" s="900"/>
      <c r="G2189" s="900"/>
      <c r="H2189" s="900"/>
      <c r="I2189" s="900"/>
      <c r="J2189" s="900"/>
      <c r="K2189" s="900"/>
      <c r="L2189" s="900"/>
      <c r="M2189" s="900"/>
      <c r="N2189" s="900"/>
      <c r="O2189" s="900"/>
      <c r="P2189" s="900"/>
    </row>
    <row r="2190" spans="3:16" ht="14.25">
      <c r="C2190" s="900"/>
      <c r="D2190" s="900"/>
      <c r="E2190" s="900"/>
      <c r="F2190" s="900"/>
      <c r="G2190" s="900"/>
      <c r="H2190" s="900"/>
      <c r="I2190" s="900"/>
      <c r="J2190" s="900"/>
      <c r="K2190" s="900"/>
      <c r="L2190" s="900"/>
      <c r="M2190" s="900"/>
      <c r="N2190" s="900"/>
      <c r="O2190" s="900"/>
      <c r="P2190" s="900"/>
    </row>
    <row r="2191" spans="3:16" ht="14.25">
      <c r="C2191" s="900"/>
      <c r="D2191" s="900"/>
      <c r="E2191" s="900"/>
      <c r="F2191" s="900"/>
      <c r="G2191" s="900"/>
      <c r="H2191" s="900"/>
      <c r="I2191" s="900"/>
      <c r="J2191" s="900"/>
      <c r="K2191" s="900"/>
      <c r="L2191" s="900"/>
      <c r="M2191" s="900"/>
      <c r="N2191" s="900"/>
      <c r="O2191" s="900"/>
      <c r="P2191" s="900"/>
    </row>
    <row r="2192" spans="3:16" ht="14.25">
      <c r="C2192" s="900"/>
      <c r="D2192" s="900"/>
      <c r="E2192" s="900"/>
      <c r="F2192" s="900"/>
      <c r="G2192" s="900"/>
      <c r="H2192" s="900"/>
      <c r="I2192" s="900"/>
      <c r="J2192" s="900"/>
      <c r="K2192" s="900"/>
      <c r="L2192" s="900"/>
      <c r="M2192" s="900"/>
      <c r="N2192" s="900"/>
      <c r="O2192" s="900"/>
      <c r="P2192" s="900"/>
    </row>
    <row r="2193" spans="3:16" ht="14.25">
      <c r="C2193" s="900"/>
      <c r="D2193" s="900"/>
      <c r="E2193" s="900"/>
      <c r="F2193" s="900"/>
      <c r="G2193" s="900"/>
      <c r="H2193" s="900"/>
      <c r="I2193" s="900"/>
      <c r="J2193" s="900"/>
      <c r="K2193" s="900"/>
      <c r="L2193" s="900"/>
      <c r="M2193" s="900"/>
      <c r="N2193" s="900"/>
      <c r="O2193" s="900"/>
      <c r="P2193" s="900"/>
    </row>
    <row r="2194" spans="3:16" ht="14.25">
      <c r="C2194" s="900"/>
      <c r="D2194" s="900"/>
      <c r="E2194" s="900"/>
      <c r="F2194" s="900"/>
      <c r="G2194" s="900"/>
      <c r="H2194" s="900"/>
      <c r="I2194" s="900"/>
      <c r="J2194" s="900"/>
      <c r="K2194" s="900"/>
      <c r="L2194" s="900"/>
      <c r="M2194" s="900"/>
      <c r="N2194" s="900"/>
      <c r="O2194" s="900"/>
      <c r="P2194" s="900"/>
    </row>
    <row r="2195" spans="3:16" ht="14.25">
      <c r="C2195" s="900"/>
      <c r="D2195" s="900"/>
      <c r="E2195" s="900"/>
      <c r="F2195" s="900"/>
      <c r="G2195" s="900"/>
      <c r="H2195" s="900"/>
      <c r="I2195" s="900"/>
      <c r="J2195" s="900"/>
      <c r="K2195" s="900"/>
      <c r="L2195" s="900"/>
      <c r="M2195" s="900"/>
      <c r="N2195" s="900"/>
      <c r="O2195" s="900"/>
      <c r="P2195" s="900"/>
    </row>
    <row r="2196" spans="3:16" ht="14.25">
      <c r="C2196" s="900"/>
      <c r="D2196" s="900"/>
      <c r="E2196" s="900"/>
      <c r="F2196" s="900"/>
      <c r="G2196" s="900"/>
      <c r="H2196" s="900"/>
      <c r="I2196" s="900"/>
      <c r="J2196" s="900"/>
      <c r="K2196" s="900"/>
      <c r="L2196" s="900"/>
      <c r="M2196" s="900"/>
      <c r="N2196" s="900"/>
      <c r="O2196" s="900"/>
      <c r="P2196" s="900"/>
    </row>
    <row r="2197" spans="3:16" ht="14.25">
      <c r="C2197" s="900"/>
      <c r="D2197" s="900"/>
      <c r="E2197" s="900"/>
      <c r="F2197" s="900"/>
      <c r="G2197" s="900"/>
      <c r="H2197" s="900"/>
      <c r="I2197" s="900"/>
      <c r="J2197" s="900"/>
      <c r="K2197" s="900"/>
      <c r="L2197" s="900"/>
      <c r="M2197" s="900"/>
      <c r="N2197" s="900"/>
      <c r="O2197" s="900"/>
      <c r="P2197" s="900"/>
    </row>
    <row r="2198" spans="3:16" ht="14.25">
      <c r="C2198" s="900"/>
      <c r="D2198" s="900"/>
      <c r="E2198" s="900"/>
      <c r="F2198" s="900"/>
      <c r="G2198" s="900"/>
      <c r="H2198" s="900"/>
      <c r="I2198" s="900"/>
      <c r="J2198" s="900"/>
      <c r="K2198" s="900"/>
      <c r="L2198" s="900"/>
      <c r="M2198" s="900"/>
      <c r="N2198" s="900"/>
      <c r="O2198" s="900"/>
      <c r="P2198" s="900"/>
    </row>
    <row r="2199" spans="3:16" ht="14.25">
      <c r="C2199" s="900"/>
      <c r="D2199" s="900"/>
      <c r="E2199" s="900"/>
      <c r="F2199" s="900"/>
      <c r="G2199" s="900"/>
      <c r="H2199" s="900"/>
      <c r="I2199" s="900"/>
      <c r="J2199" s="900"/>
      <c r="K2199" s="900"/>
      <c r="L2199" s="900"/>
      <c r="M2199" s="900"/>
      <c r="N2199" s="900"/>
      <c r="O2199" s="900"/>
      <c r="P2199" s="900"/>
    </row>
    <row r="2200" spans="3:16" ht="14.25">
      <c r="C2200" s="900"/>
      <c r="D2200" s="900"/>
      <c r="E2200" s="900"/>
      <c r="F2200" s="900"/>
      <c r="G2200" s="900"/>
      <c r="H2200" s="900"/>
      <c r="I2200" s="900"/>
      <c r="J2200" s="900"/>
      <c r="K2200" s="900"/>
      <c r="L2200" s="900"/>
      <c r="M2200" s="900"/>
      <c r="N2200" s="900"/>
      <c r="O2200" s="900"/>
      <c r="P2200" s="900"/>
    </row>
    <row r="2201" spans="3:16" ht="14.25">
      <c r="C2201" s="900"/>
      <c r="D2201" s="900"/>
      <c r="E2201" s="900"/>
      <c r="F2201" s="900"/>
      <c r="G2201" s="900"/>
      <c r="H2201" s="900"/>
      <c r="I2201" s="900"/>
      <c r="J2201" s="900"/>
      <c r="K2201" s="900"/>
      <c r="L2201" s="900"/>
      <c r="M2201" s="900"/>
      <c r="N2201" s="900"/>
      <c r="O2201" s="900"/>
      <c r="P2201" s="900"/>
    </row>
    <row r="2202" spans="3:16" ht="14.25">
      <c r="C2202" s="900"/>
      <c r="D2202" s="900"/>
      <c r="E2202" s="900"/>
      <c r="F2202" s="900"/>
      <c r="G2202" s="900"/>
      <c r="H2202" s="900"/>
      <c r="I2202" s="900"/>
      <c r="J2202" s="900"/>
      <c r="K2202" s="900"/>
      <c r="L2202" s="900"/>
      <c r="M2202" s="900"/>
      <c r="N2202" s="900"/>
      <c r="O2202" s="900"/>
      <c r="P2202" s="900"/>
    </row>
    <row r="2203" spans="3:16" ht="14.25">
      <c r="C2203" s="900"/>
      <c r="D2203" s="900"/>
      <c r="E2203" s="900"/>
      <c r="F2203" s="900"/>
      <c r="G2203" s="900"/>
      <c r="H2203" s="900"/>
      <c r="I2203" s="900"/>
      <c r="J2203" s="900"/>
      <c r="K2203" s="900"/>
      <c r="L2203" s="900"/>
      <c r="M2203" s="900"/>
      <c r="N2203" s="900"/>
      <c r="O2203" s="900"/>
      <c r="P2203" s="900"/>
    </row>
    <row r="2204" spans="3:16" ht="14.25">
      <c r="C2204" s="900"/>
      <c r="D2204" s="900"/>
      <c r="E2204" s="900"/>
      <c r="F2204" s="900"/>
      <c r="G2204" s="900"/>
      <c r="H2204" s="900"/>
      <c r="I2204" s="900"/>
      <c r="J2204" s="900"/>
      <c r="K2204" s="900"/>
      <c r="L2204" s="900"/>
      <c r="M2204" s="900"/>
      <c r="N2204" s="900"/>
      <c r="O2204" s="900"/>
      <c r="P2204" s="900"/>
    </row>
    <row r="2205" spans="3:16" ht="14.25">
      <c r="C2205" s="900"/>
      <c r="D2205" s="900"/>
      <c r="E2205" s="900"/>
      <c r="F2205" s="900"/>
      <c r="G2205" s="900"/>
      <c r="H2205" s="900"/>
      <c r="I2205" s="900"/>
      <c r="J2205" s="900"/>
      <c r="K2205" s="900"/>
      <c r="L2205" s="900"/>
      <c r="M2205" s="900"/>
      <c r="N2205" s="900"/>
      <c r="O2205" s="900"/>
      <c r="P2205" s="900"/>
    </row>
    <row r="2206" spans="3:16" ht="14.25">
      <c r="C2206" s="900"/>
      <c r="D2206" s="900"/>
      <c r="E2206" s="900"/>
      <c r="F2206" s="900"/>
      <c r="G2206" s="900"/>
      <c r="H2206" s="900"/>
      <c r="I2206" s="900"/>
      <c r="J2206" s="900"/>
      <c r="K2206" s="900"/>
      <c r="L2206" s="900"/>
      <c r="M2206" s="900"/>
      <c r="N2206" s="900"/>
      <c r="O2206" s="900"/>
      <c r="P2206" s="900"/>
    </row>
    <row r="2207" spans="3:16" ht="14.25">
      <c r="C2207" s="900"/>
      <c r="D2207" s="900"/>
      <c r="E2207" s="900"/>
      <c r="F2207" s="900"/>
      <c r="G2207" s="900"/>
      <c r="H2207" s="900"/>
      <c r="I2207" s="900"/>
      <c r="J2207" s="900"/>
      <c r="K2207" s="900"/>
      <c r="L2207" s="900"/>
      <c r="M2207" s="900"/>
      <c r="N2207" s="900"/>
      <c r="O2207" s="900"/>
      <c r="P2207" s="900"/>
    </row>
    <row r="2208" spans="3:16" ht="14.25">
      <c r="C2208" s="900"/>
      <c r="D2208" s="900"/>
      <c r="E2208" s="900"/>
      <c r="F2208" s="900"/>
      <c r="G2208" s="900"/>
      <c r="H2208" s="900"/>
      <c r="I2208" s="900"/>
      <c r="J2208" s="900"/>
      <c r="K2208" s="900"/>
      <c r="L2208" s="900"/>
      <c r="M2208" s="900"/>
      <c r="N2208" s="900"/>
      <c r="O2208" s="900"/>
      <c r="P2208" s="900"/>
    </row>
    <row r="2209" spans="3:16" ht="14.25">
      <c r="C2209" s="900"/>
      <c r="D2209" s="900"/>
      <c r="E2209" s="900"/>
      <c r="F2209" s="900"/>
      <c r="G2209" s="900"/>
      <c r="H2209" s="900"/>
      <c r="I2209" s="900"/>
      <c r="J2209" s="900"/>
      <c r="K2209" s="900"/>
      <c r="L2209" s="900"/>
      <c r="M2209" s="900"/>
      <c r="N2209" s="900"/>
      <c r="O2209" s="900"/>
      <c r="P2209" s="900"/>
    </row>
    <row r="2210" spans="3:16" ht="14.25">
      <c r="C2210" s="900"/>
      <c r="D2210" s="900"/>
      <c r="E2210" s="900"/>
      <c r="F2210" s="900"/>
      <c r="G2210" s="900"/>
      <c r="H2210" s="900"/>
      <c r="I2210" s="900"/>
      <c r="J2210" s="900"/>
      <c r="K2210" s="900"/>
      <c r="L2210" s="900"/>
      <c r="M2210" s="900"/>
      <c r="N2210" s="900"/>
      <c r="O2210" s="900"/>
      <c r="P2210" s="900"/>
    </row>
    <row r="2211" spans="3:16" ht="14.25">
      <c r="C2211" s="900"/>
      <c r="D2211" s="900"/>
      <c r="E2211" s="900"/>
      <c r="F2211" s="900"/>
      <c r="G2211" s="900"/>
      <c r="H2211" s="900"/>
      <c r="I2211" s="900"/>
      <c r="J2211" s="900"/>
      <c r="K2211" s="900"/>
      <c r="L2211" s="900"/>
      <c r="M2211" s="900"/>
      <c r="N2211" s="900"/>
      <c r="O2211" s="900"/>
      <c r="P2211" s="900"/>
    </row>
    <row r="2212" spans="3:16" ht="14.25">
      <c r="C2212" s="900"/>
      <c r="D2212" s="900"/>
      <c r="E2212" s="900"/>
      <c r="F2212" s="900"/>
      <c r="G2212" s="900"/>
      <c r="H2212" s="900"/>
      <c r="I2212" s="900"/>
      <c r="J2212" s="900"/>
      <c r="K2212" s="900"/>
      <c r="L2212" s="900"/>
      <c r="M2212" s="900"/>
      <c r="N2212" s="900"/>
      <c r="O2212" s="900"/>
      <c r="P2212" s="900"/>
    </row>
    <row r="2213" spans="3:16" ht="14.25">
      <c r="C2213" s="900"/>
      <c r="D2213" s="900"/>
      <c r="E2213" s="900"/>
      <c r="F2213" s="900"/>
      <c r="G2213" s="900"/>
      <c r="H2213" s="900"/>
      <c r="I2213" s="900"/>
      <c r="J2213" s="900"/>
      <c r="K2213" s="900"/>
      <c r="L2213" s="900"/>
      <c r="M2213" s="900"/>
      <c r="N2213" s="900"/>
      <c r="O2213" s="900"/>
      <c r="P2213" s="900"/>
    </row>
    <row r="2214" spans="3:16" ht="14.25">
      <c r="C2214" s="900"/>
      <c r="D2214" s="900"/>
      <c r="E2214" s="900"/>
      <c r="F2214" s="900"/>
      <c r="G2214" s="900"/>
      <c r="H2214" s="900"/>
      <c r="I2214" s="900"/>
      <c r="J2214" s="900"/>
      <c r="K2214" s="900"/>
      <c r="L2214" s="900"/>
      <c r="M2214" s="900"/>
      <c r="N2214" s="900"/>
      <c r="O2214" s="900"/>
      <c r="P2214" s="900"/>
    </row>
    <row r="2215" spans="3:16" ht="14.25">
      <c r="C2215" s="900"/>
      <c r="D2215" s="900"/>
      <c r="E2215" s="900"/>
      <c r="F2215" s="900"/>
      <c r="G2215" s="900"/>
      <c r="H2215" s="900"/>
      <c r="I2215" s="900"/>
      <c r="J2215" s="900"/>
      <c r="K2215" s="900"/>
      <c r="L2215" s="900"/>
      <c r="M2215" s="900"/>
      <c r="N2215" s="900"/>
      <c r="O2215" s="900"/>
      <c r="P2215" s="900"/>
    </row>
    <row r="2216" spans="3:16" ht="14.25">
      <c r="C2216" s="900"/>
      <c r="D2216" s="900"/>
      <c r="E2216" s="900"/>
      <c r="F2216" s="900"/>
      <c r="G2216" s="900"/>
      <c r="H2216" s="900"/>
      <c r="I2216" s="900"/>
      <c r="J2216" s="900"/>
      <c r="K2216" s="900"/>
      <c r="L2216" s="900"/>
      <c r="M2216" s="900"/>
      <c r="N2216" s="900"/>
      <c r="O2216" s="900"/>
      <c r="P2216" s="900"/>
    </row>
    <row r="2217" spans="3:16" ht="14.25">
      <c r="C2217" s="900"/>
      <c r="D2217" s="900"/>
      <c r="E2217" s="900"/>
      <c r="F2217" s="900"/>
      <c r="G2217" s="900"/>
      <c r="H2217" s="900"/>
      <c r="I2217" s="900"/>
      <c r="J2217" s="900"/>
      <c r="K2217" s="900"/>
      <c r="L2217" s="900"/>
      <c r="M2217" s="900"/>
      <c r="N2217" s="900"/>
      <c r="O2217" s="900"/>
      <c r="P2217" s="900"/>
    </row>
    <row r="2218" spans="3:16" ht="14.25">
      <c r="C2218" s="900"/>
      <c r="D2218" s="900"/>
      <c r="E2218" s="900"/>
      <c r="F2218" s="900"/>
      <c r="G2218" s="900"/>
      <c r="H2218" s="900"/>
      <c r="I2218" s="900"/>
      <c r="J2218" s="900"/>
      <c r="K2218" s="900"/>
      <c r="L2218" s="900"/>
      <c r="M2218" s="900"/>
      <c r="N2218" s="900"/>
      <c r="O2218" s="900"/>
      <c r="P2218" s="900"/>
    </row>
    <row r="2219" spans="3:16" ht="14.25">
      <c r="C2219" s="900"/>
      <c r="D2219" s="900"/>
      <c r="E2219" s="900"/>
      <c r="F2219" s="900"/>
      <c r="G2219" s="900"/>
      <c r="H2219" s="900"/>
      <c r="I2219" s="900"/>
      <c r="J2219" s="900"/>
      <c r="K2219" s="900"/>
      <c r="L2219" s="900"/>
      <c r="M2219" s="900"/>
      <c r="N2219" s="900"/>
      <c r="O2219" s="900"/>
      <c r="P2219" s="900"/>
    </row>
    <row r="2220" spans="3:16" ht="14.25">
      <c r="C2220" s="900"/>
      <c r="D2220" s="900"/>
      <c r="E2220" s="900"/>
      <c r="F2220" s="900"/>
      <c r="G2220" s="900"/>
      <c r="H2220" s="900"/>
      <c r="I2220" s="900"/>
      <c r="J2220" s="900"/>
      <c r="K2220" s="900"/>
      <c r="L2220" s="900"/>
      <c r="M2220" s="900"/>
      <c r="N2220" s="900"/>
      <c r="O2220" s="900"/>
      <c r="P2220" s="900"/>
    </row>
    <row r="2221" spans="3:16" ht="14.25">
      <c r="C2221" s="900"/>
      <c r="D2221" s="900"/>
      <c r="E2221" s="900"/>
      <c r="F2221" s="900"/>
      <c r="G2221" s="900"/>
      <c r="H2221" s="900"/>
      <c r="I2221" s="900"/>
      <c r="J2221" s="900"/>
      <c r="K2221" s="900"/>
      <c r="L2221" s="900"/>
      <c r="M2221" s="900"/>
      <c r="N2221" s="900"/>
      <c r="O2221" s="900"/>
      <c r="P2221" s="900"/>
    </row>
    <row r="2222" spans="3:16" ht="14.25">
      <c r="C2222" s="900"/>
      <c r="D2222" s="900"/>
      <c r="E2222" s="900"/>
      <c r="F2222" s="900"/>
      <c r="G2222" s="900"/>
      <c r="H2222" s="900"/>
      <c r="I2222" s="900"/>
      <c r="J2222" s="900"/>
      <c r="K2222" s="900"/>
      <c r="L2222" s="900"/>
      <c r="M2222" s="900"/>
      <c r="N2222" s="900"/>
      <c r="O2222" s="900"/>
      <c r="P2222" s="900"/>
    </row>
    <row r="2223" spans="3:16" ht="14.25">
      <c r="C2223" s="900"/>
      <c r="D2223" s="900"/>
      <c r="E2223" s="900"/>
      <c r="F2223" s="900"/>
      <c r="G2223" s="900"/>
      <c r="H2223" s="900"/>
      <c r="I2223" s="900"/>
      <c r="J2223" s="900"/>
      <c r="K2223" s="900"/>
      <c r="L2223" s="900"/>
      <c r="M2223" s="900"/>
      <c r="N2223" s="900"/>
      <c r="O2223" s="900"/>
      <c r="P2223" s="900"/>
    </row>
    <row r="2224" spans="3:16" ht="14.25">
      <c r="C2224" s="900"/>
      <c r="D2224" s="900"/>
      <c r="E2224" s="900"/>
      <c r="F2224" s="900"/>
      <c r="G2224" s="900"/>
      <c r="H2224" s="900"/>
      <c r="I2224" s="900"/>
      <c r="J2224" s="900"/>
      <c r="K2224" s="900"/>
      <c r="L2224" s="900"/>
      <c r="M2224" s="900"/>
      <c r="N2224" s="900"/>
      <c r="O2224" s="900"/>
      <c r="P2224" s="900"/>
    </row>
    <row r="2225" spans="3:16" ht="14.25">
      <c r="C2225" s="900"/>
      <c r="D2225" s="900"/>
      <c r="E2225" s="900"/>
      <c r="F2225" s="900"/>
      <c r="G2225" s="900"/>
      <c r="H2225" s="900"/>
      <c r="I2225" s="900"/>
      <c r="J2225" s="900"/>
      <c r="K2225" s="900"/>
      <c r="L2225" s="900"/>
      <c r="M2225" s="900"/>
      <c r="N2225" s="900"/>
      <c r="O2225" s="900"/>
      <c r="P2225" s="900"/>
    </row>
    <row r="2226" spans="3:16" ht="14.25">
      <c r="C2226" s="900"/>
      <c r="D2226" s="900"/>
      <c r="E2226" s="900"/>
      <c r="F2226" s="900"/>
      <c r="G2226" s="900"/>
      <c r="H2226" s="900"/>
      <c r="I2226" s="900"/>
      <c r="J2226" s="900"/>
      <c r="K2226" s="900"/>
      <c r="L2226" s="900"/>
      <c r="M2226" s="900"/>
      <c r="N2226" s="900"/>
      <c r="O2226" s="900"/>
      <c r="P2226" s="900"/>
    </row>
    <row r="2227" spans="3:16" ht="14.25">
      <c r="C2227" s="900"/>
      <c r="D2227" s="900"/>
      <c r="E2227" s="900"/>
      <c r="F2227" s="900"/>
      <c r="G2227" s="900"/>
      <c r="H2227" s="900"/>
      <c r="I2227" s="900"/>
      <c r="J2227" s="900"/>
      <c r="K2227" s="900"/>
      <c r="L2227" s="900"/>
      <c r="M2227" s="900"/>
      <c r="N2227" s="900"/>
      <c r="O2227" s="900"/>
      <c r="P2227" s="900"/>
    </row>
    <row r="2228" spans="3:16" ht="14.25">
      <c r="C2228" s="900"/>
      <c r="D2228" s="900"/>
      <c r="E2228" s="900"/>
      <c r="F2228" s="900"/>
      <c r="G2228" s="900"/>
      <c r="H2228" s="900"/>
      <c r="I2228" s="900"/>
      <c r="J2228" s="900"/>
      <c r="K2228" s="900"/>
      <c r="L2228" s="900"/>
      <c r="M2228" s="900"/>
      <c r="N2228" s="900"/>
      <c r="O2228" s="900"/>
      <c r="P2228" s="900"/>
    </row>
    <row r="2229" spans="3:16" ht="14.25">
      <c r="C2229" s="900"/>
      <c r="D2229" s="900"/>
      <c r="E2229" s="900"/>
      <c r="F2229" s="900"/>
      <c r="G2229" s="900"/>
      <c r="H2229" s="900"/>
      <c r="I2229" s="900"/>
      <c r="J2229" s="900"/>
      <c r="K2229" s="900"/>
      <c r="L2229" s="900"/>
      <c r="M2229" s="900"/>
      <c r="N2229" s="900"/>
      <c r="O2229" s="900"/>
      <c r="P2229" s="900"/>
    </row>
    <row r="2230" spans="3:16" ht="14.25">
      <c r="C2230" s="900"/>
      <c r="D2230" s="900"/>
      <c r="E2230" s="900"/>
      <c r="F2230" s="900"/>
      <c r="G2230" s="900"/>
      <c r="H2230" s="900"/>
      <c r="I2230" s="900"/>
      <c r="J2230" s="900"/>
      <c r="K2230" s="900"/>
      <c r="L2230" s="900"/>
      <c r="M2230" s="900"/>
      <c r="N2230" s="900"/>
      <c r="O2230" s="900"/>
      <c r="P2230" s="900"/>
    </row>
    <row r="2231" spans="3:16" ht="14.25">
      <c r="C2231" s="900"/>
      <c r="D2231" s="900"/>
      <c r="E2231" s="900"/>
      <c r="F2231" s="900"/>
      <c r="G2231" s="900"/>
      <c r="H2231" s="900"/>
      <c r="I2231" s="900"/>
      <c r="J2231" s="900"/>
      <c r="K2231" s="900"/>
      <c r="L2231" s="900"/>
      <c r="M2231" s="900"/>
      <c r="N2231" s="900"/>
      <c r="O2231" s="900"/>
      <c r="P2231" s="900"/>
    </row>
    <row r="2232" spans="3:16" ht="14.25">
      <c r="C2232" s="900"/>
      <c r="D2232" s="900"/>
      <c r="E2232" s="900"/>
      <c r="F2232" s="900"/>
      <c r="G2232" s="900"/>
      <c r="H2232" s="900"/>
      <c r="I2232" s="900"/>
      <c r="J2232" s="900"/>
      <c r="K2232" s="900"/>
      <c r="L2232" s="900"/>
      <c r="M2232" s="900"/>
      <c r="N2232" s="900"/>
      <c r="O2232" s="900"/>
      <c r="P2232" s="900"/>
    </row>
    <row r="2233" spans="3:16" ht="14.25">
      <c r="C2233" s="900"/>
      <c r="D2233" s="900"/>
      <c r="E2233" s="900"/>
      <c r="F2233" s="900"/>
      <c r="G2233" s="900"/>
      <c r="H2233" s="900"/>
      <c r="I2233" s="900"/>
      <c r="J2233" s="900"/>
      <c r="K2233" s="900"/>
      <c r="L2233" s="900"/>
      <c r="M2233" s="900"/>
      <c r="N2233" s="900"/>
      <c r="O2233" s="900"/>
      <c r="P2233" s="900"/>
    </row>
    <row r="2234" spans="3:16" ht="14.25">
      <c r="C2234" s="900"/>
      <c r="D2234" s="900"/>
      <c r="E2234" s="900"/>
      <c r="F2234" s="900"/>
      <c r="G2234" s="900"/>
      <c r="H2234" s="900"/>
      <c r="I2234" s="900"/>
      <c r="J2234" s="900"/>
      <c r="K2234" s="900"/>
      <c r="L2234" s="900"/>
      <c r="M2234" s="900"/>
      <c r="N2234" s="900"/>
      <c r="O2234" s="900"/>
      <c r="P2234" s="900"/>
    </row>
    <row r="2235" spans="3:16" ht="14.25">
      <c r="C2235" s="900"/>
      <c r="D2235" s="900"/>
      <c r="E2235" s="900"/>
      <c r="F2235" s="900"/>
      <c r="G2235" s="900"/>
      <c r="H2235" s="900"/>
      <c r="I2235" s="900"/>
      <c r="J2235" s="900"/>
      <c r="K2235" s="900"/>
      <c r="L2235" s="900"/>
      <c r="M2235" s="900"/>
      <c r="N2235" s="900"/>
      <c r="O2235" s="900"/>
      <c r="P2235" s="900"/>
    </row>
    <row r="2236" spans="3:16" ht="14.25">
      <c r="C2236" s="900"/>
      <c r="D2236" s="900"/>
      <c r="E2236" s="900"/>
      <c r="F2236" s="900"/>
      <c r="G2236" s="900"/>
      <c r="H2236" s="900"/>
      <c r="I2236" s="900"/>
      <c r="J2236" s="900"/>
      <c r="K2236" s="900"/>
      <c r="L2236" s="900"/>
      <c r="M2236" s="900"/>
      <c r="N2236" s="900"/>
      <c r="O2236" s="900"/>
      <c r="P2236" s="900"/>
    </row>
    <row r="2237" spans="3:16" ht="14.25">
      <c r="C2237" s="900"/>
      <c r="D2237" s="900"/>
      <c r="E2237" s="900"/>
      <c r="F2237" s="900"/>
      <c r="G2237" s="900"/>
      <c r="H2237" s="900"/>
      <c r="I2237" s="900"/>
      <c r="J2237" s="900"/>
      <c r="K2237" s="900"/>
      <c r="L2237" s="900"/>
      <c r="M2237" s="900"/>
      <c r="N2237" s="900"/>
      <c r="O2237" s="900"/>
      <c r="P2237" s="900"/>
    </row>
    <row r="2238" spans="3:16" ht="14.25">
      <c r="C2238" s="900"/>
      <c r="D2238" s="900"/>
      <c r="E2238" s="900"/>
      <c r="F2238" s="900"/>
      <c r="G2238" s="900"/>
      <c r="H2238" s="900"/>
      <c r="I2238" s="900"/>
      <c r="J2238" s="900"/>
      <c r="K2238" s="900"/>
      <c r="L2238" s="900"/>
      <c r="M2238" s="900"/>
      <c r="N2238" s="900"/>
      <c r="O2238" s="900"/>
      <c r="P2238" s="900"/>
    </row>
    <row r="2239" spans="3:16" ht="14.25">
      <c r="C2239" s="900"/>
      <c r="D2239" s="900"/>
      <c r="E2239" s="900"/>
      <c r="F2239" s="900"/>
      <c r="G2239" s="900"/>
      <c r="H2239" s="900"/>
      <c r="I2239" s="900"/>
      <c r="J2239" s="900"/>
      <c r="K2239" s="900"/>
      <c r="L2239" s="900"/>
      <c r="M2239" s="900"/>
      <c r="N2239" s="900"/>
      <c r="O2239" s="900"/>
      <c r="P2239" s="900"/>
    </row>
    <row r="2240" spans="3:16" ht="14.25">
      <c r="C2240" s="900"/>
      <c r="D2240" s="900"/>
      <c r="E2240" s="900"/>
      <c r="F2240" s="900"/>
      <c r="G2240" s="900"/>
      <c r="H2240" s="900"/>
      <c r="I2240" s="900"/>
      <c r="J2240" s="900"/>
      <c r="K2240" s="900"/>
      <c r="L2240" s="900"/>
      <c r="M2240" s="900"/>
      <c r="N2240" s="900"/>
      <c r="O2240" s="900"/>
      <c r="P2240" s="900"/>
    </row>
    <row r="2241" spans="3:16" ht="14.25">
      <c r="C2241" s="900"/>
      <c r="D2241" s="900"/>
      <c r="E2241" s="900"/>
      <c r="F2241" s="900"/>
      <c r="G2241" s="900"/>
      <c r="H2241" s="900"/>
      <c r="I2241" s="900"/>
      <c r="J2241" s="900"/>
      <c r="K2241" s="900"/>
      <c r="L2241" s="900"/>
      <c r="M2241" s="900"/>
      <c r="N2241" s="900"/>
      <c r="O2241" s="900"/>
      <c r="P2241" s="900"/>
    </row>
    <row r="2242" spans="3:16" ht="14.25">
      <c r="C2242" s="900"/>
      <c r="D2242" s="900"/>
      <c r="E2242" s="900"/>
      <c r="F2242" s="900"/>
      <c r="G2242" s="900"/>
      <c r="H2242" s="900"/>
      <c r="I2242" s="900"/>
      <c r="J2242" s="900"/>
      <c r="K2242" s="900"/>
      <c r="L2242" s="900"/>
      <c r="M2242" s="900"/>
      <c r="N2242" s="900"/>
      <c r="O2242" s="900"/>
      <c r="P2242" s="900"/>
    </row>
    <row r="2243" spans="3:16" ht="14.25">
      <c r="C2243" s="900"/>
      <c r="D2243" s="900"/>
      <c r="E2243" s="900"/>
      <c r="F2243" s="900"/>
      <c r="G2243" s="900"/>
      <c r="H2243" s="900"/>
      <c r="I2243" s="900"/>
      <c r="J2243" s="900"/>
      <c r="K2243" s="900"/>
      <c r="L2243" s="900"/>
      <c r="M2243" s="900"/>
      <c r="N2243" s="900"/>
      <c r="O2243" s="900"/>
      <c r="P2243" s="900"/>
    </row>
    <row r="2244" spans="3:16" ht="14.25">
      <c r="C2244" s="900"/>
      <c r="D2244" s="900"/>
      <c r="E2244" s="900"/>
      <c r="F2244" s="900"/>
      <c r="G2244" s="900"/>
      <c r="H2244" s="900"/>
      <c r="I2244" s="900"/>
      <c r="J2244" s="900"/>
      <c r="K2244" s="900"/>
      <c r="L2244" s="900"/>
      <c r="M2244" s="900"/>
      <c r="N2244" s="900"/>
      <c r="O2244" s="900"/>
      <c r="P2244" s="900"/>
    </row>
    <row r="2245" spans="3:16" ht="14.25">
      <c r="C2245" s="900"/>
      <c r="D2245" s="900"/>
      <c r="E2245" s="900"/>
      <c r="F2245" s="900"/>
      <c r="G2245" s="900"/>
      <c r="H2245" s="900"/>
      <c r="I2245" s="900"/>
      <c r="J2245" s="900"/>
      <c r="K2245" s="900"/>
      <c r="L2245" s="900"/>
      <c r="M2245" s="900"/>
      <c r="N2245" s="900"/>
      <c r="O2245" s="900"/>
      <c r="P2245" s="900"/>
    </row>
    <row r="2246" spans="3:16" ht="14.25">
      <c r="C2246" s="900"/>
      <c r="D2246" s="900"/>
      <c r="E2246" s="900"/>
      <c r="F2246" s="900"/>
      <c r="G2246" s="900"/>
      <c r="H2246" s="900"/>
      <c r="I2246" s="900"/>
      <c r="J2246" s="900"/>
      <c r="K2246" s="900"/>
      <c r="L2246" s="900"/>
      <c r="M2246" s="900"/>
      <c r="N2246" s="900"/>
      <c r="O2246" s="900"/>
      <c r="P2246" s="900"/>
    </row>
    <row r="2247" spans="3:16" ht="14.25">
      <c r="C2247" s="900"/>
      <c r="D2247" s="900"/>
      <c r="E2247" s="900"/>
      <c r="F2247" s="900"/>
      <c r="G2247" s="900"/>
      <c r="H2247" s="900"/>
      <c r="I2247" s="900"/>
      <c r="J2247" s="900"/>
      <c r="K2247" s="900"/>
      <c r="L2247" s="900"/>
      <c r="M2247" s="900"/>
      <c r="N2247" s="900"/>
      <c r="O2247" s="900"/>
      <c r="P2247" s="900"/>
    </row>
    <row r="2248" spans="3:16" ht="14.25">
      <c r="C2248" s="900"/>
      <c r="D2248" s="900"/>
      <c r="E2248" s="900"/>
      <c r="F2248" s="900"/>
      <c r="G2248" s="900"/>
      <c r="H2248" s="900"/>
      <c r="I2248" s="900"/>
      <c r="J2248" s="900"/>
      <c r="K2248" s="900"/>
      <c r="L2248" s="900"/>
      <c r="M2248" s="900"/>
      <c r="N2248" s="900"/>
      <c r="O2248" s="900"/>
      <c r="P2248" s="900"/>
    </row>
    <row r="2249" spans="3:16" ht="14.25">
      <c r="C2249" s="900"/>
      <c r="D2249" s="900"/>
      <c r="E2249" s="900"/>
      <c r="F2249" s="900"/>
      <c r="G2249" s="900"/>
      <c r="H2249" s="900"/>
      <c r="I2249" s="900"/>
      <c r="J2249" s="900"/>
      <c r="K2249" s="900"/>
      <c r="L2249" s="900"/>
      <c r="M2249" s="900"/>
      <c r="N2249" s="900"/>
      <c r="O2249" s="900"/>
      <c r="P2249" s="900"/>
    </row>
    <row r="2250" spans="3:16" ht="14.25">
      <c r="C2250" s="900"/>
      <c r="D2250" s="900"/>
      <c r="E2250" s="900"/>
      <c r="F2250" s="900"/>
      <c r="G2250" s="900"/>
      <c r="H2250" s="900"/>
      <c r="I2250" s="900"/>
      <c r="J2250" s="900"/>
      <c r="K2250" s="900"/>
      <c r="L2250" s="900"/>
      <c r="M2250" s="900"/>
      <c r="N2250" s="900"/>
      <c r="O2250" s="900"/>
      <c r="P2250" s="900"/>
    </row>
    <row r="2251" spans="3:16" ht="14.25">
      <c r="C2251" s="900"/>
      <c r="D2251" s="900"/>
      <c r="E2251" s="900"/>
      <c r="F2251" s="900"/>
      <c r="G2251" s="900"/>
      <c r="H2251" s="900"/>
      <c r="I2251" s="900"/>
      <c r="J2251" s="900"/>
      <c r="K2251" s="900"/>
      <c r="L2251" s="900"/>
      <c r="M2251" s="900"/>
      <c r="N2251" s="900"/>
      <c r="O2251" s="900"/>
      <c r="P2251" s="900"/>
    </row>
    <row r="2252" spans="3:16" ht="14.25">
      <c r="C2252" s="900"/>
      <c r="D2252" s="900"/>
      <c r="E2252" s="900"/>
      <c r="F2252" s="900"/>
      <c r="G2252" s="900"/>
      <c r="H2252" s="900"/>
      <c r="I2252" s="900"/>
      <c r="J2252" s="900"/>
      <c r="K2252" s="900"/>
      <c r="L2252" s="900"/>
      <c r="M2252" s="900"/>
      <c r="N2252" s="900"/>
      <c r="O2252" s="900"/>
      <c r="P2252" s="900"/>
    </row>
    <row r="2253" spans="3:16" ht="14.25">
      <c r="C2253" s="900"/>
      <c r="D2253" s="900"/>
      <c r="E2253" s="900"/>
      <c r="F2253" s="900"/>
      <c r="G2253" s="900"/>
      <c r="H2253" s="900"/>
      <c r="I2253" s="900"/>
      <c r="J2253" s="900"/>
      <c r="K2253" s="900"/>
      <c r="L2253" s="900"/>
      <c r="M2253" s="900"/>
      <c r="N2253" s="900"/>
      <c r="O2253" s="900"/>
      <c r="P2253" s="900"/>
    </row>
    <row r="2254" spans="3:16" ht="14.25">
      <c r="C2254" s="900"/>
      <c r="D2254" s="900"/>
      <c r="E2254" s="900"/>
      <c r="F2254" s="900"/>
      <c r="G2254" s="900"/>
      <c r="H2254" s="900"/>
      <c r="I2254" s="900"/>
      <c r="J2254" s="900"/>
      <c r="K2254" s="900"/>
      <c r="L2254" s="900"/>
      <c r="M2254" s="900"/>
      <c r="N2254" s="900"/>
      <c r="O2254" s="900"/>
      <c r="P2254" s="900"/>
    </row>
    <row r="2255" spans="3:16" ht="14.25">
      <c r="C2255" s="900"/>
      <c r="D2255" s="900"/>
      <c r="E2255" s="900"/>
      <c r="F2255" s="900"/>
      <c r="G2255" s="900"/>
      <c r="H2255" s="900"/>
      <c r="I2255" s="900"/>
      <c r="J2255" s="900"/>
      <c r="K2255" s="900"/>
      <c r="L2255" s="900"/>
      <c r="M2255" s="900"/>
      <c r="N2255" s="900"/>
      <c r="O2255" s="900"/>
      <c r="P2255" s="900"/>
    </row>
    <row r="2256" spans="3:16" ht="14.25">
      <c r="C2256" s="900"/>
      <c r="D2256" s="900"/>
      <c r="E2256" s="900"/>
      <c r="F2256" s="900"/>
      <c r="G2256" s="900"/>
      <c r="H2256" s="900"/>
      <c r="I2256" s="900"/>
      <c r="J2256" s="900"/>
      <c r="K2256" s="900"/>
      <c r="L2256" s="900"/>
      <c r="M2256" s="900"/>
      <c r="N2256" s="900"/>
      <c r="O2256" s="900"/>
      <c r="P2256" s="900"/>
    </row>
    <row r="2257" spans="3:16" ht="14.25">
      <c r="C2257" s="900"/>
      <c r="D2257" s="900"/>
      <c r="E2257" s="900"/>
      <c r="F2257" s="900"/>
      <c r="G2257" s="900"/>
      <c r="H2257" s="900"/>
      <c r="I2257" s="900"/>
      <c r="J2257" s="900"/>
      <c r="K2257" s="900"/>
      <c r="L2257" s="900"/>
      <c r="M2257" s="900"/>
      <c r="N2257" s="900"/>
      <c r="O2257" s="900"/>
      <c r="P2257" s="900"/>
    </row>
    <row r="2258" spans="3:16" ht="14.25">
      <c r="C2258" s="900"/>
      <c r="D2258" s="900"/>
      <c r="E2258" s="900"/>
      <c r="F2258" s="900"/>
      <c r="G2258" s="900"/>
      <c r="H2258" s="900"/>
      <c r="I2258" s="900"/>
      <c r="J2258" s="900"/>
      <c r="K2258" s="900"/>
      <c r="L2258" s="900"/>
      <c r="M2258" s="900"/>
      <c r="N2258" s="900"/>
      <c r="O2258" s="900"/>
      <c r="P2258" s="900"/>
    </row>
    <row r="2259" spans="3:16" ht="14.25">
      <c r="C2259" s="900"/>
      <c r="D2259" s="900"/>
      <c r="E2259" s="900"/>
      <c r="F2259" s="900"/>
      <c r="G2259" s="900"/>
      <c r="H2259" s="900"/>
      <c r="I2259" s="900"/>
      <c r="J2259" s="900"/>
      <c r="K2259" s="900"/>
      <c r="L2259" s="900"/>
      <c r="M2259" s="900"/>
      <c r="N2259" s="900"/>
      <c r="O2259" s="900"/>
      <c r="P2259" s="900"/>
    </row>
    <row r="2260" spans="3:16" ht="14.25">
      <c r="C2260" s="900"/>
      <c r="D2260" s="900"/>
      <c r="E2260" s="900"/>
      <c r="F2260" s="900"/>
      <c r="G2260" s="900"/>
      <c r="H2260" s="900"/>
      <c r="I2260" s="900"/>
      <c r="J2260" s="900"/>
      <c r="K2260" s="900"/>
      <c r="L2260" s="900"/>
      <c r="M2260" s="900"/>
      <c r="N2260" s="900"/>
      <c r="O2260" s="900"/>
      <c r="P2260" s="900"/>
    </row>
    <row r="2261" spans="3:16" ht="14.25">
      <c r="C2261" s="900"/>
      <c r="D2261" s="900"/>
      <c r="E2261" s="900"/>
      <c r="F2261" s="900"/>
      <c r="G2261" s="900"/>
      <c r="H2261" s="900"/>
      <c r="I2261" s="900"/>
      <c r="J2261" s="900"/>
      <c r="K2261" s="900"/>
      <c r="L2261" s="900"/>
      <c r="M2261" s="900"/>
      <c r="N2261" s="900"/>
      <c r="O2261" s="900"/>
      <c r="P2261" s="900"/>
    </row>
  </sheetData>
  <sheetProtection/>
  <mergeCells count="3">
    <mergeCell ref="B1:C1"/>
    <mergeCell ref="B2:J2"/>
    <mergeCell ref="B3:J3"/>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J102"/>
  <sheetViews>
    <sheetView view="pageBreakPreview" zoomScaleSheetLayoutView="100" zoomScalePageLayoutView="0" workbookViewId="0" topLeftCell="A1">
      <selection activeCell="A3" sqref="A3:C3"/>
    </sheetView>
  </sheetViews>
  <sheetFormatPr defaultColWidth="10.25390625" defaultRowHeight="12.75"/>
  <cols>
    <col min="1" max="1" width="88.875" style="1113" customWidth="1"/>
    <col min="2" max="2" width="8.75390625" style="1113" customWidth="1"/>
    <col min="3" max="3" width="14.75390625" style="1112" customWidth="1"/>
    <col min="4" max="8" width="14.75390625" style="1112" hidden="1" customWidth="1"/>
    <col min="9" max="11" width="0" style="1113" hidden="1" customWidth="1"/>
    <col min="12" max="16384" width="10.25390625" style="1113" customWidth="1"/>
  </cols>
  <sheetData>
    <row r="1" spans="1:2" ht="15">
      <c r="A1" s="1111" t="s">
        <v>1651</v>
      </c>
      <c r="B1" s="1111"/>
    </row>
    <row r="2" spans="1:4" ht="19.5" customHeight="1">
      <c r="A2" s="1661" t="s">
        <v>915</v>
      </c>
      <c r="B2" s="1661"/>
      <c r="C2" s="1661"/>
      <c r="D2" s="1114"/>
    </row>
    <row r="3" spans="1:4" ht="19.5" customHeight="1">
      <c r="A3" s="1662" t="s">
        <v>916</v>
      </c>
      <c r="B3" s="1662"/>
      <c r="C3" s="1662"/>
      <c r="D3" s="1114"/>
    </row>
    <row r="4" spans="1:4" ht="19.5" customHeight="1">
      <c r="A4" s="1662" t="s">
        <v>1221</v>
      </c>
      <c r="B4" s="1662"/>
      <c r="C4" s="1662"/>
      <c r="D4" s="1114"/>
    </row>
    <row r="5" spans="1:4" ht="15">
      <c r="A5" s="1660" t="s">
        <v>917</v>
      </c>
      <c r="B5" s="1660"/>
      <c r="C5" s="1660"/>
      <c r="D5" s="1115"/>
    </row>
    <row r="6" spans="2:8" s="1116" customFormat="1" ht="15">
      <c r="B6" s="1117"/>
      <c r="C6" s="1118" t="s">
        <v>496</v>
      </c>
      <c r="D6" s="1119"/>
      <c r="E6" s="1120"/>
      <c r="F6" s="1119"/>
      <c r="G6" s="1121"/>
      <c r="H6" s="1121"/>
    </row>
    <row r="7" spans="1:8" s="1122" customFormat="1" ht="15.75" thickBot="1">
      <c r="A7" s="1122" t="s">
        <v>504</v>
      </c>
      <c r="B7" s="1123" t="s">
        <v>505</v>
      </c>
      <c r="C7" s="1124" t="s">
        <v>506</v>
      </c>
      <c r="D7" s="1125"/>
      <c r="E7" s="1126"/>
      <c r="F7" s="1125"/>
      <c r="G7" s="1126"/>
      <c r="H7" s="1126"/>
    </row>
    <row r="8" spans="1:8" ht="24.75" customHeight="1">
      <c r="A8" s="1663" t="s">
        <v>267</v>
      </c>
      <c r="B8" s="1665" t="s">
        <v>1047</v>
      </c>
      <c r="C8" s="1667" t="s">
        <v>1048</v>
      </c>
      <c r="D8" s="1127" t="s">
        <v>921</v>
      </c>
      <c r="E8" s="1127" t="s">
        <v>922</v>
      </c>
      <c r="F8" s="1127" t="s">
        <v>923</v>
      </c>
      <c r="G8" s="1127" t="s">
        <v>142</v>
      </c>
      <c r="H8" s="1127" t="s">
        <v>495</v>
      </c>
    </row>
    <row r="9" spans="1:3" ht="17.25" customHeight="1" thickBot="1">
      <c r="A9" s="1664"/>
      <c r="B9" s="1666"/>
      <c r="C9" s="1668"/>
    </row>
    <row r="10" spans="1:3" ht="15.75" customHeight="1">
      <c r="A10" s="1669" t="s">
        <v>1421</v>
      </c>
      <c r="B10" s="1670"/>
      <c r="C10" s="1671"/>
    </row>
    <row r="11" spans="1:3" ht="15.75" customHeight="1" thickBot="1">
      <c r="A11" s="1672" t="s">
        <v>1422</v>
      </c>
      <c r="B11" s="1673"/>
      <c r="C11" s="1674"/>
    </row>
    <row r="12" spans="1:8" ht="15.75" thickBot="1">
      <c r="A12" s="1128" t="s">
        <v>1049</v>
      </c>
      <c r="B12" s="1129">
        <v>1</v>
      </c>
      <c r="C12" s="1130">
        <f>C13+C14</f>
        <v>477387</v>
      </c>
      <c r="D12" s="1130">
        <f>D13+D14</f>
        <v>157989</v>
      </c>
      <c r="E12" s="1130">
        <f>E13+E14</f>
        <v>404514</v>
      </c>
      <c r="F12" s="1130">
        <f>F13+F14</f>
        <v>20639</v>
      </c>
      <c r="G12" s="1130">
        <f>G13+G14</f>
        <v>-1434</v>
      </c>
      <c r="H12" s="1130">
        <f>SUM(D12:G12)</f>
        <v>581708</v>
      </c>
    </row>
    <row r="13" spans="1:8" ht="15">
      <c r="A13" s="1131" t="s">
        <v>1050</v>
      </c>
      <c r="B13" s="1132">
        <v>2</v>
      </c>
      <c r="C13" s="1134">
        <v>477387</v>
      </c>
      <c r="D13" s="1112">
        <v>157989</v>
      </c>
      <c r="E13" s="1112">
        <v>404514</v>
      </c>
      <c r="F13" s="1112">
        <v>20639</v>
      </c>
      <c r="G13" s="1112">
        <v>-1434</v>
      </c>
      <c r="H13" s="1112">
        <f>SUM(D13:G13)</f>
        <v>581708</v>
      </c>
    </row>
    <row r="14" spans="1:8" ht="15.75" thickBot="1">
      <c r="A14" s="1135" t="s">
        <v>1051</v>
      </c>
      <c r="B14" s="1136">
        <v>3</v>
      </c>
      <c r="C14" s="1137"/>
      <c r="H14" s="1112">
        <f>SUM(D14:G14)</f>
        <v>0</v>
      </c>
    </row>
    <row r="15" spans="1:8" ht="15.75" thickBot="1">
      <c r="A15" s="1128" t="s">
        <v>1052</v>
      </c>
      <c r="B15" s="1129">
        <v>4</v>
      </c>
      <c r="C15" s="1130">
        <f>C16+C19+C22</f>
        <v>1519972</v>
      </c>
      <c r="D15" s="1130" t="e">
        <f>D16+D19+#REF!+D22</f>
        <v>#REF!</v>
      </c>
      <c r="E15" s="1130" t="e">
        <f>E16+E19+#REF!+E22</f>
        <v>#REF!</v>
      </c>
      <c r="F15" s="1130" t="e">
        <f>F16+F19+#REF!+F22</f>
        <v>#REF!</v>
      </c>
      <c r="G15" s="1130" t="e">
        <f>G16+G19+#REF!+G22</f>
        <v>#REF!</v>
      </c>
      <c r="H15" s="1130" t="e">
        <f>SUM(D15:G15)</f>
        <v>#REF!</v>
      </c>
    </row>
    <row r="16" spans="1:8" ht="15">
      <c r="A16" s="1138" t="s">
        <v>1053</v>
      </c>
      <c r="B16" s="1139">
        <v>5</v>
      </c>
      <c r="C16" s="1156">
        <f aca="true" t="shared" si="0" ref="C16:H16">+C17+C18</f>
        <v>10929</v>
      </c>
      <c r="D16" s="1112">
        <f t="shared" si="0"/>
        <v>5990</v>
      </c>
      <c r="E16" s="1112">
        <f t="shared" si="0"/>
        <v>0</v>
      </c>
      <c r="F16" s="1112">
        <f t="shared" si="0"/>
        <v>1039</v>
      </c>
      <c r="G16" s="1112">
        <f t="shared" si="0"/>
        <v>0</v>
      </c>
      <c r="H16" s="1112">
        <f t="shared" si="0"/>
        <v>7029</v>
      </c>
    </row>
    <row r="17" spans="1:8" ht="15">
      <c r="A17" s="1131" t="s">
        <v>1050</v>
      </c>
      <c r="B17" s="1132">
        <v>6</v>
      </c>
      <c r="C17" s="1134">
        <v>10929</v>
      </c>
      <c r="D17" s="1112">
        <v>5990</v>
      </c>
      <c r="F17" s="1112">
        <v>1039</v>
      </c>
      <c r="H17" s="1112">
        <f>SUM(D17:G17)</f>
        <v>7029</v>
      </c>
    </row>
    <row r="18" spans="1:8" ht="15">
      <c r="A18" s="1140" t="s">
        <v>1051</v>
      </c>
      <c r="B18" s="1141">
        <v>7</v>
      </c>
      <c r="C18" s="1142"/>
      <c r="H18" s="1112">
        <f>SUM(D18:G18)</f>
        <v>0</v>
      </c>
    </row>
    <row r="19" spans="1:8" ht="15">
      <c r="A19" s="1140" t="s">
        <v>1054</v>
      </c>
      <c r="B19" s="1141">
        <v>8</v>
      </c>
      <c r="C19" s="1142">
        <f aca="true" t="shared" si="1" ref="C19:H19">+C20+C21</f>
        <v>1509043</v>
      </c>
      <c r="D19" s="1112">
        <f t="shared" si="1"/>
        <v>348616</v>
      </c>
      <c r="E19" s="1112">
        <f t="shared" si="1"/>
        <v>19011</v>
      </c>
      <c r="F19" s="1112">
        <f t="shared" si="1"/>
        <v>486559</v>
      </c>
      <c r="G19" s="1112">
        <f t="shared" si="1"/>
        <v>134873</v>
      </c>
      <c r="H19" s="1112">
        <f t="shared" si="1"/>
        <v>989059</v>
      </c>
    </row>
    <row r="20" spans="1:8" ht="15">
      <c r="A20" s="1140" t="s">
        <v>1050</v>
      </c>
      <c r="B20" s="1141">
        <v>9</v>
      </c>
      <c r="C20" s="1142">
        <v>1509043</v>
      </c>
      <c r="D20" s="1112">
        <v>348616</v>
      </c>
      <c r="E20" s="1112">
        <v>19011</v>
      </c>
      <c r="F20" s="1112">
        <v>486559</v>
      </c>
      <c r="G20" s="1112">
        <v>134873</v>
      </c>
      <c r="H20" s="1112">
        <f>SUM(D20:G20)</f>
        <v>989059</v>
      </c>
    </row>
    <row r="21" spans="1:8" ht="15">
      <c r="A21" s="1140" t="s">
        <v>1051</v>
      </c>
      <c r="B21" s="1141">
        <v>10</v>
      </c>
      <c r="C21" s="1142"/>
      <c r="H21" s="1112">
        <f>SUM(D21:G21)</f>
        <v>0</v>
      </c>
    </row>
    <row r="22" spans="1:8" ht="15">
      <c r="A22" s="1140" t="s">
        <v>1055</v>
      </c>
      <c r="B22" s="1141">
        <v>11</v>
      </c>
      <c r="C22" s="1142">
        <f aca="true" t="shared" si="2" ref="C22:H22">+C23+C24</f>
        <v>0</v>
      </c>
      <c r="D22" s="1112">
        <f t="shared" si="2"/>
        <v>0</v>
      </c>
      <c r="E22" s="1112">
        <f t="shared" si="2"/>
        <v>0</v>
      </c>
      <c r="F22" s="1112">
        <f t="shared" si="2"/>
        <v>0</v>
      </c>
      <c r="G22" s="1112">
        <f t="shared" si="2"/>
        <v>0</v>
      </c>
      <c r="H22" s="1112">
        <f t="shared" si="2"/>
        <v>0</v>
      </c>
    </row>
    <row r="23" spans="1:8" ht="15">
      <c r="A23" s="1140" t="s">
        <v>1050</v>
      </c>
      <c r="B23" s="1141">
        <v>12</v>
      </c>
      <c r="C23" s="1142"/>
      <c r="H23" s="1112">
        <f aca="true" t="shared" si="3" ref="H23:H28">SUM(D23:G23)</f>
        <v>0</v>
      </c>
    </row>
    <row r="24" spans="1:8" ht="15.75" thickBot="1">
      <c r="A24" s="1135" t="s">
        <v>1051</v>
      </c>
      <c r="B24" s="1136">
        <v>13</v>
      </c>
      <c r="C24" s="1137"/>
      <c r="H24" s="1112">
        <f t="shared" si="3"/>
        <v>0</v>
      </c>
    </row>
    <row r="25" spans="1:8" ht="15.75" thickBot="1">
      <c r="A25" s="1143" t="s">
        <v>1056</v>
      </c>
      <c r="B25" s="1129">
        <v>14</v>
      </c>
      <c r="C25" s="1130">
        <f>C26+C27</f>
        <v>96703</v>
      </c>
      <c r="D25" s="1130">
        <f>D26+D27</f>
        <v>6602961</v>
      </c>
      <c r="E25" s="1130">
        <f>E26+E27</f>
        <v>23220</v>
      </c>
      <c r="F25" s="1130">
        <f>F26+F27</f>
        <v>8615</v>
      </c>
      <c r="G25" s="1130">
        <f>G26+G27</f>
        <v>0</v>
      </c>
      <c r="H25" s="1130">
        <f t="shared" si="3"/>
        <v>6634796</v>
      </c>
    </row>
    <row r="26" spans="1:8" ht="15">
      <c r="A26" s="1131" t="s">
        <v>1050</v>
      </c>
      <c r="B26" s="1132">
        <v>15</v>
      </c>
      <c r="C26" s="1134">
        <v>96703</v>
      </c>
      <c r="D26" s="1112">
        <v>6602961</v>
      </c>
      <c r="E26" s="1112">
        <v>23220</v>
      </c>
      <c r="F26" s="1112">
        <v>8615</v>
      </c>
      <c r="H26" s="1112">
        <f t="shared" si="3"/>
        <v>6634796</v>
      </c>
    </row>
    <row r="27" spans="1:8" ht="15.75" thickBot="1">
      <c r="A27" s="1144" t="s">
        <v>1051</v>
      </c>
      <c r="B27" s="1145">
        <v>16</v>
      </c>
      <c r="C27" s="1146"/>
      <c r="H27" s="1112">
        <f t="shared" si="3"/>
        <v>0</v>
      </c>
    </row>
    <row r="28" spans="1:8" ht="30" customHeight="1" thickBot="1">
      <c r="A28" s="1147" t="s">
        <v>1057</v>
      </c>
      <c r="B28" s="1148">
        <v>17</v>
      </c>
      <c r="C28" s="1149">
        <f>C12+C15+C25</f>
        <v>2094062</v>
      </c>
      <c r="D28" s="1149" t="e">
        <f>D12+D15+D25</f>
        <v>#REF!</v>
      </c>
      <c r="E28" s="1149" t="e">
        <f>E12+E15+E25</f>
        <v>#REF!</v>
      </c>
      <c r="F28" s="1149" t="e">
        <f>F12+F15+F25</f>
        <v>#REF!</v>
      </c>
      <c r="G28" s="1149" t="e">
        <f>G12+G15+G25</f>
        <v>#REF!</v>
      </c>
      <c r="H28" s="1149" t="e">
        <f t="shared" si="3"/>
        <v>#REF!</v>
      </c>
    </row>
    <row r="29" ht="15">
      <c r="B29" s="1150"/>
    </row>
    <row r="30" spans="2:8" s="1116" customFormat="1" ht="15">
      <c r="B30" s="1117"/>
      <c r="C30" s="1118" t="s">
        <v>496</v>
      </c>
      <c r="D30" s="1119"/>
      <c r="E30" s="1120"/>
      <c r="F30" s="1119"/>
      <c r="G30" s="1121"/>
      <c r="H30" s="1121"/>
    </row>
    <row r="31" spans="1:8" s="1122" customFormat="1" ht="15.75" thickBot="1">
      <c r="A31" s="1122" t="s">
        <v>504</v>
      </c>
      <c r="B31" s="1123" t="s">
        <v>505</v>
      </c>
      <c r="C31" s="1124" t="s">
        <v>506</v>
      </c>
      <c r="D31" s="1125"/>
      <c r="E31" s="1126"/>
      <c r="F31" s="1125"/>
      <c r="G31" s="1126"/>
      <c r="H31" s="1126"/>
    </row>
    <row r="32" spans="1:8" ht="24.75" customHeight="1">
      <c r="A32" s="1663" t="s">
        <v>267</v>
      </c>
      <c r="B32" s="1665" t="s">
        <v>1047</v>
      </c>
      <c r="C32" s="1675" t="s">
        <v>1423</v>
      </c>
      <c r="D32" s="1127" t="s">
        <v>921</v>
      </c>
      <c r="E32" s="1127" t="s">
        <v>922</v>
      </c>
      <c r="F32" s="1127" t="s">
        <v>923</v>
      </c>
      <c r="G32" s="1127" t="s">
        <v>142</v>
      </c>
      <c r="H32" s="1127" t="s">
        <v>495</v>
      </c>
    </row>
    <row r="33" spans="1:3" ht="17.25" customHeight="1" thickBot="1">
      <c r="A33" s="1664"/>
      <c r="B33" s="1666"/>
      <c r="C33" s="1676"/>
    </row>
    <row r="34" spans="1:3" ht="15.75" customHeight="1">
      <c r="A34" s="1669" t="s">
        <v>1421</v>
      </c>
      <c r="B34" s="1670"/>
      <c r="C34" s="1671"/>
    </row>
    <row r="35" spans="1:3" ht="15.75" customHeight="1" thickBot="1">
      <c r="A35" s="1672" t="s">
        <v>1424</v>
      </c>
      <c r="B35" s="1673"/>
      <c r="C35" s="1674"/>
    </row>
    <row r="36" spans="1:8" ht="15.75" thickBot="1">
      <c r="A36" s="1128" t="s">
        <v>1058</v>
      </c>
      <c r="B36" s="1129">
        <v>1</v>
      </c>
      <c r="C36" s="1130">
        <v>13911</v>
      </c>
      <c r="D36" s="1130" t="e">
        <f>#REF!+#REF!</f>
        <v>#REF!</v>
      </c>
      <c r="E36" s="1130" t="e">
        <f>#REF!+#REF!</f>
        <v>#REF!</v>
      </c>
      <c r="F36" s="1130" t="e">
        <f>#REF!+#REF!</f>
        <v>#REF!</v>
      </c>
      <c r="G36" s="1130" t="e">
        <f>#REF!+#REF!</f>
        <v>#REF!</v>
      </c>
      <c r="H36" s="1130" t="e">
        <f>SUM(D36:G36)</f>
        <v>#REF!</v>
      </c>
    </row>
    <row r="37" spans="1:8" ht="15.75" thickBot="1">
      <c r="A37" s="1128" t="s">
        <v>1059</v>
      </c>
      <c r="B37" s="1129">
        <v>2</v>
      </c>
      <c r="C37" s="1130">
        <f>SUM(C38:C40)</f>
        <v>267638</v>
      </c>
      <c r="D37" s="1130" t="e">
        <f>D38+D39+#REF!+D40</f>
        <v>#REF!</v>
      </c>
      <c r="E37" s="1130" t="e">
        <f>E38+E39+#REF!+E40</f>
        <v>#REF!</v>
      </c>
      <c r="F37" s="1130" t="e">
        <f>F38+F39+#REF!+F40</f>
        <v>#REF!</v>
      </c>
      <c r="G37" s="1130" t="e">
        <f>G38+G39+#REF!+G40</f>
        <v>#REF!</v>
      </c>
      <c r="H37" s="1130" t="e">
        <f>SUM(D37:G37)</f>
        <v>#REF!</v>
      </c>
    </row>
    <row r="38" spans="1:8" ht="15">
      <c r="A38" s="1138" t="s">
        <v>933</v>
      </c>
      <c r="B38" s="1139">
        <v>3</v>
      </c>
      <c r="C38" s="1156">
        <v>268</v>
      </c>
      <c r="D38" s="1112" t="e">
        <f>+#REF!+#REF!</f>
        <v>#REF!</v>
      </c>
      <c r="E38" s="1112" t="e">
        <f>+#REF!+#REF!</f>
        <v>#REF!</v>
      </c>
      <c r="F38" s="1112" t="e">
        <f>+#REF!+#REF!</f>
        <v>#REF!</v>
      </c>
      <c r="G38" s="1112" t="e">
        <f>+#REF!+#REF!</f>
        <v>#REF!</v>
      </c>
      <c r="H38" s="1112" t="e">
        <f>+#REF!+#REF!</f>
        <v>#REF!</v>
      </c>
    </row>
    <row r="39" spans="1:8" ht="15">
      <c r="A39" s="1140" t="s">
        <v>1060</v>
      </c>
      <c r="B39" s="1141">
        <v>4</v>
      </c>
      <c r="C39" s="1142">
        <v>267370</v>
      </c>
      <c r="D39" s="1112" t="e">
        <f>+#REF!+#REF!</f>
        <v>#REF!</v>
      </c>
      <c r="E39" s="1112" t="e">
        <f>+#REF!+#REF!</f>
        <v>#REF!</v>
      </c>
      <c r="F39" s="1112" t="e">
        <f>+#REF!+#REF!</f>
        <v>#REF!</v>
      </c>
      <c r="G39" s="1112" t="e">
        <f>+#REF!+#REF!</f>
        <v>#REF!</v>
      </c>
      <c r="H39" s="1112" t="e">
        <f>+#REF!+#REF!</f>
        <v>#REF!</v>
      </c>
    </row>
    <row r="40" spans="1:8" ht="15.75" thickBot="1">
      <c r="A40" s="1140" t="s">
        <v>1061</v>
      </c>
      <c r="B40" s="1141">
        <v>5</v>
      </c>
      <c r="C40" s="1142"/>
      <c r="D40" s="1112" t="e">
        <f>+#REF!+#REF!</f>
        <v>#REF!</v>
      </c>
      <c r="E40" s="1112" t="e">
        <f>+#REF!+#REF!</f>
        <v>#REF!</v>
      </c>
      <c r="F40" s="1112" t="e">
        <f>+#REF!+#REF!</f>
        <v>#REF!</v>
      </c>
      <c r="G40" s="1112" t="e">
        <f>+#REF!+#REF!</f>
        <v>#REF!</v>
      </c>
      <c r="H40" s="1112" t="e">
        <f>+#REF!+#REF!</f>
        <v>#REF!</v>
      </c>
    </row>
    <row r="41" spans="1:8" ht="15.75" thickBot="1">
      <c r="A41" s="1143" t="s">
        <v>1062</v>
      </c>
      <c r="B41" s="1129">
        <v>6</v>
      </c>
      <c r="C41" s="1130">
        <f>SUM(C42:C46)</f>
        <v>87612</v>
      </c>
      <c r="D41" s="1130">
        <f>D42+D46</f>
        <v>6602961</v>
      </c>
      <c r="E41" s="1130">
        <f>E42+E46</f>
        <v>23220</v>
      </c>
      <c r="F41" s="1130">
        <f>F42+F46</f>
        <v>8615</v>
      </c>
      <c r="G41" s="1130">
        <f>G42+G46</f>
        <v>0</v>
      </c>
      <c r="H41" s="1130">
        <f aca="true" t="shared" si="4" ref="H41:H47">SUM(D41:G41)</f>
        <v>6634796</v>
      </c>
    </row>
    <row r="42" spans="1:8" ht="15">
      <c r="A42" s="1138" t="s">
        <v>1063</v>
      </c>
      <c r="B42" s="1139">
        <v>7</v>
      </c>
      <c r="C42" s="1151">
        <v>46091</v>
      </c>
      <c r="D42" s="1112">
        <v>6602961</v>
      </c>
      <c r="E42" s="1112">
        <v>23220</v>
      </c>
      <c r="F42" s="1112">
        <v>8615</v>
      </c>
      <c r="H42" s="1112">
        <f t="shared" si="4"/>
        <v>6634796</v>
      </c>
    </row>
    <row r="43" spans="1:3" ht="15">
      <c r="A43" s="1140" t="s">
        <v>1064</v>
      </c>
      <c r="B43" s="1141">
        <v>8</v>
      </c>
      <c r="C43" s="1142"/>
    </row>
    <row r="44" spans="1:3" ht="15">
      <c r="A44" s="1140" t="s">
        <v>1065</v>
      </c>
      <c r="B44" s="1141">
        <v>9</v>
      </c>
      <c r="C44" s="1142"/>
    </row>
    <row r="45" spans="1:3" ht="15">
      <c r="A45" s="1140" t="s">
        <v>1066</v>
      </c>
      <c r="B45" s="1141">
        <v>10</v>
      </c>
      <c r="C45" s="1152">
        <v>41521</v>
      </c>
    </row>
    <row r="46" spans="1:8" ht="15.75" thickBot="1">
      <c r="A46" s="1144" t="s">
        <v>1067</v>
      </c>
      <c r="B46" s="1145">
        <v>11</v>
      </c>
      <c r="C46" s="1146"/>
      <c r="H46" s="1112">
        <f t="shared" si="4"/>
        <v>0</v>
      </c>
    </row>
    <row r="47" spans="1:8" s="1155" customFormat="1" ht="30" customHeight="1" thickBot="1">
      <c r="A47" s="1147" t="s">
        <v>1068</v>
      </c>
      <c r="B47" s="1148">
        <v>12</v>
      </c>
      <c r="C47" s="1154">
        <f>SUM(C36:C37,C41)</f>
        <v>369161</v>
      </c>
      <c r="D47" s="1154" t="e">
        <f>D36+D37+D41</f>
        <v>#REF!</v>
      </c>
      <c r="E47" s="1154" t="e">
        <f>E36+E37+E41</f>
        <v>#REF!</v>
      </c>
      <c r="F47" s="1154" t="e">
        <f>F36+F37+F41</f>
        <v>#REF!</v>
      </c>
      <c r="G47" s="1154" t="e">
        <f>G36+G37+G41</f>
        <v>#REF!</v>
      </c>
      <c r="H47" s="1154" t="e">
        <f t="shared" si="4"/>
        <v>#REF!</v>
      </c>
    </row>
    <row r="48" ht="15">
      <c r="B48" s="1150"/>
    </row>
    <row r="49" ht="15">
      <c r="B49" s="1150"/>
    </row>
    <row r="50" spans="2:8" s="1116" customFormat="1" ht="15">
      <c r="B50" s="1117"/>
      <c r="C50" s="1118" t="s">
        <v>496</v>
      </c>
      <c r="D50" s="1119"/>
      <c r="E50" s="1120"/>
      <c r="F50" s="1119"/>
      <c r="G50" s="1121"/>
      <c r="H50" s="1121"/>
    </row>
    <row r="51" spans="1:8" s="1122" customFormat="1" ht="15.75" thickBot="1">
      <c r="A51" s="1122" t="s">
        <v>504</v>
      </c>
      <c r="B51" s="1123" t="s">
        <v>505</v>
      </c>
      <c r="C51" s="1124" t="s">
        <v>506</v>
      </c>
      <c r="D51" s="1125"/>
      <c r="E51" s="1126"/>
      <c r="F51" s="1125"/>
      <c r="G51" s="1126"/>
      <c r="H51" s="1126"/>
    </row>
    <row r="52" spans="1:8" ht="24.75" customHeight="1">
      <c r="A52" s="1663" t="s">
        <v>267</v>
      </c>
      <c r="B52" s="1665" t="s">
        <v>1047</v>
      </c>
      <c r="C52" s="1675" t="s">
        <v>1423</v>
      </c>
      <c r="D52" s="1127" t="s">
        <v>921</v>
      </c>
      <c r="E52" s="1127" t="s">
        <v>922</v>
      </c>
      <c r="F52" s="1127" t="s">
        <v>923</v>
      </c>
      <c r="G52" s="1127" t="s">
        <v>142</v>
      </c>
      <c r="H52" s="1127" t="s">
        <v>495</v>
      </c>
    </row>
    <row r="53" spans="1:3" ht="17.25" customHeight="1" thickBot="1">
      <c r="A53" s="1664"/>
      <c r="B53" s="1666"/>
      <c r="C53" s="1676"/>
    </row>
    <row r="54" spans="1:3" ht="15.75" customHeight="1">
      <c r="A54" s="1669" t="s">
        <v>1425</v>
      </c>
      <c r="B54" s="1670"/>
      <c r="C54" s="1671"/>
    </row>
    <row r="55" spans="1:3" ht="15.75" customHeight="1" thickBot="1">
      <c r="A55" s="1672" t="s">
        <v>1426</v>
      </c>
      <c r="B55" s="1673"/>
      <c r="C55" s="1674"/>
    </row>
    <row r="56" spans="1:8" ht="15.75" thickBot="1">
      <c r="A56" s="1128" t="s">
        <v>1069</v>
      </c>
      <c r="B56" s="1129">
        <v>1</v>
      </c>
      <c r="C56" s="1130">
        <f>SUM(C57:C60)</f>
        <v>510711</v>
      </c>
      <c r="D56" s="1130" t="e">
        <f>D57+#REF!+#REF!+#REF!</f>
        <v>#REF!</v>
      </c>
      <c r="E56" s="1130" t="e">
        <f>E57+#REF!+#REF!+#REF!</f>
        <v>#REF!</v>
      </c>
      <c r="F56" s="1130" t="e">
        <f>F57+#REF!+#REF!+#REF!</f>
        <v>#REF!</v>
      </c>
      <c r="G56" s="1130" t="e">
        <f>G57+#REF!+#REF!+#REF!</f>
        <v>#REF!</v>
      </c>
      <c r="H56" s="1130" t="e">
        <f>SUM(D56:G56)</f>
        <v>#REF!</v>
      </c>
    </row>
    <row r="57" spans="1:8" ht="15">
      <c r="A57" s="1138" t="s">
        <v>1070</v>
      </c>
      <c r="B57" s="1139">
        <v>2</v>
      </c>
      <c r="C57" s="1156">
        <v>510711</v>
      </c>
      <c r="D57" s="1112" t="e">
        <f>+#REF!+#REF!</f>
        <v>#REF!</v>
      </c>
      <c r="E57" s="1112" t="e">
        <f>+#REF!+#REF!</f>
        <v>#REF!</v>
      </c>
      <c r="F57" s="1112" t="e">
        <f>+#REF!+#REF!</f>
        <v>#REF!</v>
      </c>
      <c r="G57" s="1112" t="e">
        <f>+#REF!+#REF!</f>
        <v>#REF!</v>
      </c>
      <c r="H57" s="1112" t="e">
        <f>+#REF!+#REF!</f>
        <v>#REF!</v>
      </c>
    </row>
    <row r="58" spans="1:3" ht="15">
      <c r="A58" s="1131" t="s">
        <v>1071</v>
      </c>
      <c r="B58" s="1132">
        <v>3</v>
      </c>
      <c r="C58" s="1134"/>
    </row>
    <row r="59" spans="1:3" ht="15">
      <c r="A59" s="1131" t="s">
        <v>1072</v>
      </c>
      <c r="B59" s="1132">
        <v>4</v>
      </c>
      <c r="C59" s="1134"/>
    </row>
    <row r="60" spans="1:3" ht="15.75" thickBot="1">
      <c r="A60" s="1131" t="s">
        <v>1073</v>
      </c>
      <c r="B60" s="1132">
        <v>5</v>
      </c>
      <c r="C60" s="1134"/>
    </row>
    <row r="61" spans="1:8" ht="15.75" thickBot="1">
      <c r="A61" s="1143" t="s">
        <v>1074</v>
      </c>
      <c r="B61" s="1129">
        <v>6</v>
      </c>
      <c r="C61" s="1130">
        <f>SUM(C62:C64)</f>
        <v>0</v>
      </c>
      <c r="D61" s="1130" t="e">
        <f>D62+#REF!</f>
        <v>#REF!</v>
      </c>
      <c r="E61" s="1130" t="e">
        <f>E62+#REF!</f>
        <v>#REF!</v>
      </c>
      <c r="F61" s="1130" t="e">
        <f>F62+#REF!</f>
        <v>#REF!</v>
      </c>
      <c r="G61" s="1130" t="e">
        <f>G62+#REF!</f>
        <v>#REF!</v>
      </c>
      <c r="H61" s="1130" t="e">
        <f>SUM(D61:G61)</f>
        <v>#REF!</v>
      </c>
    </row>
    <row r="62" spans="1:8" ht="15">
      <c r="A62" s="1138" t="s">
        <v>1075</v>
      </c>
      <c r="B62" s="1139">
        <v>7</v>
      </c>
      <c r="C62" s="1156"/>
      <c r="D62" s="1112">
        <v>6602961</v>
      </c>
      <c r="E62" s="1112">
        <v>23220</v>
      </c>
      <c r="F62" s="1112">
        <v>8615</v>
      </c>
      <c r="H62" s="1112">
        <f>SUM(D62:G62)</f>
        <v>6634796</v>
      </c>
    </row>
    <row r="63" spans="1:3" ht="15">
      <c r="A63" s="1140" t="s">
        <v>1076</v>
      </c>
      <c r="B63" s="1141">
        <v>8</v>
      </c>
      <c r="C63" s="1142"/>
    </row>
    <row r="64" spans="1:3" ht="15.75" thickBot="1">
      <c r="A64" s="1140" t="s">
        <v>1077</v>
      </c>
      <c r="B64" s="1141">
        <v>9</v>
      </c>
      <c r="C64" s="1142"/>
    </row>
    <row r="65" spans="1:8" s="1155" customFormat="1" ht="30" customHeight="1" thickBot="1">
      <c r="A65" s="1147" t="s">
        <v>1078</v>
      </c>
      <c r="B65" s="1148">
        <v>10</v>
      </c>
      <c r="C65" s="1154">
        <f>SUM(C56:C56,C61)</f>
        <v>510711</v>
      </c>
      <c r="D65" s="1154" t="e">
        <f>#REF!+D56+D61</f>
        <v>#REF!</v>
      </c>
      <c r="E65" s="1154" t="e">
        <f>#REF!+E56+E61</f>
        <v>#REF!</v>
      </c>
      <c r="F65" s="1154" t="e">
        <f>#REF!+F56+F61</f>
        <v>#REF!</v>
      </c>
      <c r="G65" s="1154" t="e">
        <f>#REF!+G56+G61</f>
        <v>#REF!</v>
      </c>
      <c r="H65" s="1154" t="e">
        <f>SUM(D65:G65)</f>
        <v>#REF!</v>
      </c>
    </row>
    <row r="66" ht="30" customHeight="1">
      <c r="B66" s="1150"/>
    </row>
    <row r="67" ht="30" customHeight="1">
      <c r="B67" s="1150"/>
    </row>
    <row r="68" spans="1:3" ht="15">
      <c r="A68" s="1116"/>
      <c r="B68" s="1117"/>
      <c r="C68" s="1118" t="s">
        <v>496</v>
      </c>
    </row>
    <row r="69" spans="1:3" ht="15.75" thickBot="1">
      <c r="A69" s="1122" t="s">
        <v>504</v>
      </c>
      <c r="B69" s="1123" t="s">
        <v>505</v>
      </c>
      <c r="C69" s="1124" t="s">
        <v>506</v>
      </c>
    </row>
    <row r="70" spans="1:3" ht="24.75" customHeight="1">
      <c r="A70" s="1680" t="s">
        <v>497</v>
      </c>
      <c r="B70" s="1665" t="s">
        <v>1047</v>
      </c>
      <c r="C70" s="1675" t="s">
        <v>1423</v>
      </c>
    </row>
    <row r="71" spans="1:3" ht="17.25" customHeight="1" thickBot="1">
      <c r="A71" s="1666" t="s">
        <v>1079</v>
      </c>
      <c r="B71" s="1666"/>
      <c r="C71" s="1676"/>
    </row>
    <row r="72" spans="1:3" ht="15" customHeight="1">
      <c r="A72" s="1669" t="s">
        <v>1425</v>
      </c>
      <c r="B72" s="1670"/>
      <c r="C72" s="1671"/>
    </row>
    <row r="73" spans="1:3" ht="15" customHeight="1" thickBot="1">
      <c r="A73" s="1672" t="s">
        <v>1427</v>
      </c>
      <c r="B73" s="1673"/>
      <c r="C73" s="1674"/>
    </row>
    <row r="74" spans="1:3" ht="15">
      <c r="A74" s="1157" t="s">
        <v>1080</v>
      </c>
      <c r="B74" s="1158">
        <v>1</v>
      </c>
      <c r="C74" s="1159">
        <v>83423</v>
      </c>
    </row>
    <row r="75" spans="1:3" ht="15">
      <c r="A75" s="1160" t="s">
        <v>1081</v>
      </c>
      <c r="B75" s="1161">
        <v>2</v>
      </c>
      <c r="C75" s="1152"/>
    </row>
    <row r="76" spans="1:3" ht="15">
      <c r="A76" s="1162" t="s">
        <v>1082</v>
      </c>
      <c r="B76" s="1161">
        <v>3</v>
      </c>
      <c r="C76" s="1152"/>
    </row>
    <row r="77" spans="1:3" ht="15">
      <c r="A77" s="1160" t="s">
        <v>1083</v>
      </c>
      <c r="B77" s="1161">
        <v>4</v>
      </c>
      <c r="C77" s="1152">
        <v>300</v>
      </c>
    </row>
    <row r="78" spans="1:3" ht="15.75" thickBot="1">
      <c r="A78" s="1160" t="s">
        <v>1084</v>
      </c>
      <c r="B78" s="1161">
        <v>5</v>
      </c>
      <c r="C78" s="1152"/>
    </row>
    <row r="79" spans="1:9" ht="31.5" customHeight="1" thickBot="1">
      <c r="A79" s="1147" t="s">
        <v>1085</v>
      </c>
      <c r="B79" s="1148">
        <v>6</v>
      </c>
      <c r="C79" s="1149">
        <f aca="true" t="shared" si="5" ref="C79:I79">SUM(C74:C77)</f>
        <v>83723</v>
      </c>
      <c r="D79" s="1149">
        <f t="shared" si="5"/>
        <v>0</v>
      </c>
      <c r="E79" s="1149">
        <f t="shared" si="5"/>
        <v>0</v>
      </c>
      <c r="F79" s="1149">
        <f t="shared" si="5"/>
        <v>0</v>
      </c>
      <c r="G79" s="1149">
        <f t="shared" si="5"/>
        <v>0</v>
      </c>
      <c r="H79" s="1149">
        <f t="shared" si="5"/>
        <v>0</v>
      </c>
      <c r="I79" s="1149">
        <f t="shared" si="5"/>
        <v>0</v>
      </c>
    </row>
    <row r="80" spans="4:8" s="1163" customFormat="1" ht="15">
      <c r="D80" s="1164"/>
      <c r="E80" s="1164"/>
      <c r="F80" s="1164"/>
      <c r="G80" s="1164"/>
      <c r="H80" s="1164"/>
    </row>
    <row r="81" spans="4:8" s="1163" customFormat="1" ht="15">
      <c r="D81" s="1164"/>
      <c r="E81" s="1164"/>
      <c r="F81" s="1164"/>
      <c r="G81" s="1164"/>
      <c r="H81" s="1164"/>
    </row>
    <row r="82" spans="4:8" s="1163" customFormat="1" ht="15">
      <c r="D82" s="1164"/>
      <c r="E82" s="1164"/>
      <c r="F82" s="1164"/>
      <c r="G82" s="1164"/>
      <c r="H82" s="1164"/>
    </row>
    <row r="83" spans="1:3" ht="15">
      <c r="A83" s="1116"/>
      <c r="B83" s="1117"/>
      <c r="C83" s="1118" t="s">
        <v>496</v>
      </c>
    </row>
    <row r="84" spans="1:3" ht="15.75" thickBot="1">
      <c r="A84" s="1122" t="s">
        <v>504</v>
      </c>
      <c r="B84" s="1123" t="s">
        <v>505</v>
      </c>
      <c r="C84" s="1124" t="s">
        <v>506</v>
      </c>
    </row>
    <row r="85" spans="1:3" ht="30" customHeight="1">
      <c r="A85" s="1680" t="s">
        <v>497</v>
      </c>
      <c r="B85" s="1665" t="s">
        <v>1047</v>
      </c>
      <c r="C85" s="1675" t="s">
        <v>1423</v>
      </c>
    </row>
    <row r="86" spans="1:3" ht="17.25" customHeight="1" thickBot="1">
      <c r="A86" s="1666" t="s">
        <v>1079</v>
      </c>
      <c r="B86" s="1666"/>
      <c r="C86" s="1676"/>
    </row>
    <row r="87" spans="1:3" ht="15.75" customHeight="1" thickBot="1">
      <c r="A87" s="1677" t="s">
        <v>1421</v>
      </c>
      <c r="B87" s="1678"/>
      <c r="C87" s="1679"/>
    </row>
    <row r="88" spans="1:3" ht="15.75" customHeight="1" thickBot="1">
      <c r="A88" s="1677" t="s">
        <v>1428</v>
      </c>
      <c r="B88" s="1678"/>
      <c r="C88" s="1679"/>
    </row>
    <row r="89" spans="1:8" s="1155" customFormat="1" ht="15.75" thickBot="1">
      <c r="A89" s="1128" t="s">
        <v>1086</v>
      </c>
      <c r="B89" s="1165">
        <v>1</v>
      </c>
      <c r="C89" s="1166">
        <f>SUM(C90:C91)</f>
        <v>818</v>
      </c>
      <c r="D89" s="1167"/>
      <c r="E89" s="1167" t="s">
        <v>1087</v>
      </c>
      <c r="F89" s="1167"/>
      <c r="G89" s="1167"/>
      <c r="H89" s="1167"/>
    </row>
    <row r="90" spans="1:3" ht="15">
      <c r="A90" s="1131" t="s">
        <v>1088</v>
      </c>
      <c r="B90" s="1168">
        <v>2</v>
      </c>
      <c r="C90" s="1133">
        <v>818</v>
      </c>
    </row>
    <row r="91" spans="1:3" ht="15.75" thickBot="1">
      <c r="A91" s="1169" t="s">
        <v>1089</v>
      </c>
      <c r="B91" s="1170">
        <v>3</v>
      </c>
      <c r="C91" s="1171"/>
    </row>
    <row r="92" spans="1:8" s="1155" customFormat="1" ht="15.75" thickBot="1">
      <c r="A92" s="1172" t="s">
        <v>1090</v>
      </c>
      <c r="B92" s="1173">
        <v>4</v>
      </c>
      <c r="C92" s="1174"/>
      <c r="D92" s="1167"/>
      <c r="E92" s="1167"/>
      <c r="F92" s="1167"/>
      <c r="G92" s="1167"/>
      <c r="H92" s="1167"/>
    </row>
    <row r="93" spans="1:8" s="1176" customFormat="1" ht="15.75" thickBot="1">
      <c r="A93" s="1128" t="s">
        <v>1091</v>
      </c>
      <c r="B93" s="1165">
        <v>5</v>
      </c>
      <c r="C93" s="1166">
        <f>SUM(C94:C98)</f>
        <v>5000</v>
      </c>
      <c r="D93" s="1175"/>
      <c r="E93" s="1175"/>
      <c r="F93" s="1175"/>
      <c r="G93" s="1175"/>
      <c r="H93" s="1175"/>
    </row>
    <row r="94" spans="1:3" ht="15">
      <c r="A94" s="1131" t="s">
        <v>1092</v>
      </c>
      <c r="B94" s="1168">
        <v>6</v>
      </c>
      <c r="C94" s="1133">
        <v>5000</v>
      </c>
    </row>
    <row r="95" spans="1:3" ht="15">
      <c r="A95" s="1131" t="s">
        <v>1093</v>
      </c>
      <c r="B95" s="1168">
        <v>7</v>
      </c>
      <c r="C95" s="1133"/>
    </row>
    <row r="96" spans="1:3" ht="15">
      <c r="A96" s="1131" t="s">
        <v>1094</v>
      </c>
      <c r="B96" s="1168">
        <v>8</v>
      </c>
      <c r="C96" s="1133"/>
    </row>
    <row r="97" spans="1:3" ht="15">
      <c r="A97" s="1131" t="s">
        <v>1095</v>
      </c>
      <c r="B97" s="1168">
        <v>9</v>
      </c>
      <c r="C97" s="1133"/>
    </row>
    <row r="98" spans="1:3" ht="15.75" thickBot="1">
      <c r="A98" s="1131" t="s">
        <v>1096</v>
      </c>
      <c r="B98" s="1168">
        <v>10</v>
      </c>
      <c r="C98" s="1133"/>
    </row>
    <row r="99" spans="1:10" s="1155" customFormat="1" ht="31.5" customHeight="1" thickBot="1">
      <c r="A99" s="1177" t="s">
        <v>1097</v>
      </c>
      <c r="B99" s="1148">
        <v>11</v>
      </c>
      <c r="C99" s="1153">
        <f>SUM(C89,C92:C93)</f>
        <v>5818</v>
      </c>
      <c r="D99" s="1154">
        <f aca="true" t="shared" si="6" ref="D99:J99">SUM(D89:D98)</f>
        <v>0</v>
      </c>
      <c r="E99" s="1154">
        <f t="shared" si="6"/>
        <v>0</v>
      </c>
      <c r="F99" s="1154">
        <f t="shared" si="6"/>
        <v>0</v>
      </c>
      <c r="G99" s="1154">
        <f t="shared" si="6"/>
        <v>0</v>
      </c>
      <c r="H99" s="1154">
        <f t="shared" si="6"/>
        <v>0</v>
      </c>
      <c r="I99" s="1154">
        <f t="shared" si="6"/>
        <v>0</v>
      </c>
      <c r="J99" s="1154">
        <f t="shared" si="6"/>
        <v>0</v>
      </c>
    </row>
    <row r="101" ht="15">
      <c r="A101" s="1178"/>
    </row>
    <row r="102" ht="15">
      <c r="A102" s="1113" t="s">
        <v>1087</v>
      </c>
    </row>
  </sheetData>
  <sheetProtection/>
  <mergeCells count="29">
    <mergeCell ref="A87:C87"/>
    <mergeCell ref="A88:C88"/>
    <mergeCell ref="A70:A71"/>
    <mergeCell ref="B70:B71"/>
    <mergeCell ref="C70:C71"/>
    <mergeCell ref="A72:C72"/>
    <mergeCell ref="A73:C73"/>
    <mergeCell ref="A85:A86"/>
    <mergeCell ref="B85:B86"/>
    <mergeCell ref="C85:C86"/>
    <mergeCell ref="A35:C35"/>
    <mergeCell ref="A52:A53"/>
    <mergeCell ref="B52:B53"/>
    <mergeCell ref="C52:C53"/>
    <mergeCell ref="A54:C54"/>
    <mergeCell ref="A55:C55"/>
    <mergeCell ref="A10:C10"/>
    <mergeCell ref="A11:C11"/>
    <mergeCell ref="A32:A33"/>
    <mergeCell ref="B32:B33"/>
    <mergeCell ref="C32:C33"/>
    <mergeCell ref="A34:C34"/>
    <mergeCell ref="A2:C2"/>
    <mergeCell ref="A3:C3"/>
    <mergeCell ref="A4:C4"/>
    <mergeCell ref="A5:C5"/>
    <mergeCell ref="A8:A9"/>
    <mergeCell ref="B8:B9"/>
    <mergeCell ref="C8:C9"/>
  </mergeCells>
  <printOptions horizontalCentered="1"/>
  <pageMargins left="0.3937007874015748" right="0.3937007874015748" top="0.5905511811023623" bottom="0.5905511811023623" header="0.5118110236220472" footer="0.5118110236220472"/>
  <pageSetup horizontalDpi="600" verticalDpi="600" orientation="portrait" paperSize="9" scale="70"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I74"/>
  <sheetViews>
    <sheetView view="pageBreakPreview" zoomScale="80" zoomScaleSheetLayoutView="80" zoomScalePageLayoutView="0" workbookViewId="0" topLeftCell="A1">
      <selection activeCell="B1" sqref="B1:F1"/>
    </sheetView>
  </sheetViews>
  <sheetFormatPr defaultColWidth="9.00390625" defaultRowHeight="12.75"/>
  <cols>
    <col min="1" max="1" width="3.75390625" style="613" customWidth="1"/>
    <col min="2" max="2" width="5.75390625" style="669" customWidth="1"/>
    <col min="3" max="5" width="5.75390625" style="243" customWidth="1"/>
    <col min="6" max="6" width="55.75390625" style="247" customWidth="1"/>
    <col min="7" max="9" width="15.75390625" style="247" customWidth="1"/>
    <col min="10" max="16384" width="9.125" style="247" customWidth="1"/>
  </cols>
  <sheetData>
    <row r="1" spans="2:9" ht="16.5">
      <c r="B1" s="1467" t="s">
        <v>1634</v>
      </c>
      <c r="C1" s="1467"/>
      <c r="D1" s="1467"/>
      <c r="E1" s="1467"/>
      <c r="F1" s="1467"/>
      <c r="G1" s="244"/>
      <c r="H1" s="244"/>
      <c r="I1" s="244"/>
    </row>
    <row r="2" spans="1:9" s="248" customFormat="1" ht="24.75" customHeight="1">
      <c r="A2" s="617"/>
      <c r="B2" s="1468" t="s">
        <v>663</v>
      </c>
      <c r="C2" s="1468"/>
      <c r="D2" s="1468"/>
      <c r="E2" s="1468"/>
      <c r="F2" s="1468"/>
      <c r="G2" s="1468"/>
      <c r="H2" s="1468"/>
      <c r="I2" s="1468"/>
    </row>
    <row r="3" spans="1:9" s="248" customFormat="1" ht="24.75" customHeight="1">
      <c r="A3" s="617"/>
      <c r="B3" s="1468" t="s">
        <v>1194</v>
      </c>
      <c r="C3" s="1468"/>
      <c r="D3" s="1468"/>
      <c r="E3" s="1468"/>
      <c r="F3" s="1468"/>
      <c r="G3" s="1468"/>
      <c r="H3" s="1468"/>
      <c r="I3" s="1468"/>
    </row>
    <row r="4" spans="1:9" s="622" customFormat="1" ht="14.25">
      <c r="A4" s="613"/>
      <c r="B4" s="618"/>
      <c r="C4" s="619"/>
      <c r="D4" s="249"/>
      <c r="E4" s="619"/>
      <c r="F4" s="620"/>
      <c r="G4" s="621"/>
      <c r="H4" s="621"/>
      <c r="I4" s="621" t="s">
        <v>496</v>
      </c>
    </row>
    <row r="5" spans="2:9" s="613" customFormat="1" ht="14.25" thickBot="1">
      <c r="B5" s="623" t="s">
        <v>504</v>
      </c>
      <c r="C5" s="613" t="s">
        <v>505</v>
      </c>
      <c r="D5" s="613" t="s">
        <v>506</v>
      </c>
      <c r="E5" s="613" t="s">
        <v>507</v>
      </c>
      <c r="F5" s="613" t="s">
        <v>508</v>
      </c>
      <c r="G5" s="624" t="s">
        <v>509</v>
      </c>
      <c r="H5" s="624" t="s">
        <v>510</v>
      </c>
      <c r="I5" s="624" t="s">
        <v>394</v>
      </c>
    </row>
    <row r="6" spans="1:9" s="253" customFormat="1" ht="57.75" thickBot="1">
      <c r="A6" s="617"/>
      <c r="B6" s="625" t="s">
        <v>499</v>
      </c>
      <c r="C6" s="626" t="s">
        <v>638</v>
      </c>
      <c r="D6" s="627" t="s">
        <v>413</v>
      </c>
      <c r="E6" s="627" t="s">
        <v>414</v>
      </c>
      <c r="F6" s="628" t="s">
        <v>497</v>
      </c>
      <c r="G6" s="614" t="s">
        <v>577</v>
      </c>
      <c r="H6" s="614" t="s">
        <v>578</v>
      </c>
      <c r="I6" s="615" t="s">
        <v>579</v>
      </c>
    </row>
    <row r="7" spans="1:9" s="306" customFormat="1" ht="30" customHeight="1">
      <c r="A7" s="613">
        <v>1</v>
      </c>
      <c r="B7" s="629" t="s">
        <v>666</v>
      </c>
      <c r="C7" s="630"/>
      <c r="D7" s="631"/>
      <c r="E7" s="630"/>
      <c r="F7" s="632" t="s">
        <v>712</v>
      </c>
      <c r="G7" s="633">
        <f>SUM(G8,G10,G11)</f>
        <v>6418114</v>
      </c>
      <c r="H7" s="633">
        <f>SUM(H8,H10,H11)</f>
        <v>7195990</v>
      </c>
      <c r="I7" s="634">
        <f>SUM(I8,I10,I11)</f>
        <v>6597582</v>
      </c>
    </row>
    <row r="8" spans="1:9" ht="25.5" customHeight="1">
      <c r="A8" s="613">
        <v>2</v>
      </c>
      <c r="B8" s="635"/>
      <c r="C8" s="252"/>
      <c r="D8" s="252">
        <v>1</v>
      </c>
      <c r="E8" s="252"/>
      <c r="F8" s="305" t="s">
        <v>373</v>
      </c>
      <c r="G8" s="305">
        <v>6347833</v>
      </c>
      <c r="H8" s="305">
        <v>6886708</v>
      </c>
      <c r="I8" s="636">
        <v>6335335</v>
      </c>
    </row>
    <row r="9" spans="1:9" ht="16.5">
      <c r="A9" s="613">
        <v>3</v>
      </c>
      <c r="B9" s="635"/>
      <c r="C9" s="252"/>
      <c r="D9" s="252">
        <v>2</v>
      </c>
      <c r="E9" s="252"/>
      <c r="F9" s="305" t="s">
        <v>374</v>
      </c>
      <c r="G9" s="305">
        <v>70281</v>
      </c>
      <c r="H9" s="305">
        <v>309282</v>
      </c>
      <c r="I9" s="636">
        <v>262247</v>
      </c>
    </row>
    <row r="10" spans="1:9" ht="16.5">
      <c r="A10" s="613">
        <v>4</v>
      </c>
      <c r="B10" s="635"/>
      <c r="C10" s="252"/>
      <c r="D10" s="252"/>
      <c r="E10" s="252">
        <v>1</v>
      </c>
      <c r="F10" s="305" t="s">
        <v>565</v>
      </c>
      <c r="G10" s="305">
        <v>64149</v>
      </c>
      <c r="H10" s="305">
        <v>250988</v>
      </c>
      <c r="I10" s="636">
        <v>205508</v>
      </c>
    </row>
    <row r="11" spans="1:9" ht="16.5">
      <c r="A11" s="613">
        <v>5</v>
      </c>
      <c r="B11" s="635"/>
      <c r="C11" s="252"/>
      <c r="D11" s="252"/>
      <c r="E11" s="252">
        <v>2</v>
      </c>
      <c r="F11" s="305" t="s">
        <v>559</v>
      </c>
      <c r="G11" s="305">
        <v>6132</v>
      </c>
      <c r="H11" s="305">
        <v>58294</v>
      </c>
      <c r="I11" s="636">
        <v>56739</v>
      </c>
    </row>
    <row r="12" spans="1:9" s="306" customFormat="1" ht="30" customHeight="1">
      <c r="A12" s="613">
        <v>6</v>
      </c>
      <c r="B12" s="635" t="s">
        <v>667</v>
      </c>
      <c r="C12" s="637"/>
      <c r="D12" s="252"/>
      <c r="E12" s="252"/>
      <c r="F12" s="350" t="s">
        <v>396</v>
      </c>
      <c r="G12" s="350">
        <f>SUM(G13:G14,G23,G24)</f>
        <v>7478930</v>
      </c>
      <c r="H12" s="350">
        <f>SUM(H13:H14,H23,H24)</f>
        <v>10597448</v>
      </c>
      <c r="I12" s="638">
        <f>SUM(I13:I14,I23,I24)</f>
        <v>9199091</v>
      </c>
    </row>
    <row r="13" spans="1:9" s="306" customFormat="1" ht="17.25">
      <c r="A13" s="613">
        <v>7</v>
      </c>
      <c r="B13" s="635"/>
      <c r="C13" s="637"/>
      <c r="D13" s="637">
        <v>1</v>
      </c>
      <c r="E13" s="637"/>
      <c r="F13" s="350" t="s">
        <v>373</v>
      </c>
      <c r="G13" s="350">
        <v>4180802</v>
      </c>
      <c r="H13" s="350">
        <v>4936709</v>
      </c>
      <c r="I13" s="638">
        <f>4415679</f>
        <v>4415679</v>
      </c>
    </row>
    <row r="14" spans="1:9" ht="18" customHeight="1">
      <c r="A14" s="613">
        <v>8</v>
      </c>
      <c r="B14" s="635"/>
      <c r="C14" s="637"/>
      <c r="D14" s="637"/>
      <c r="E14" s="637"/>
      <c r="F14" s="350" t="s">
        <v>380</v>
      </c>
      <c r="G14" s="350">
        <f>SUM(G15,G19)</f>
        <v>156619</v>
      </c>
      <c r="H14" s="350">
        <f>SUM(H15,H19)</f>
        <v>166457</v>
      </c>
      <c r="I14" s="638">
        <f>SUM(I15,I19)</f>
        <v>0</v>
      </c>
    </row>
    <row r="15" spans="1:9" s="612" customFormat="1" ht="17.25">
      <c r="A15" s="613">
        <v>9</v>
      </c>
      <c r="B15" s="639"/>
      <c r="C15" s="640"/>
      <c r="D15" s="640"/>
      <c r="E15" s="640"/>
      <c r="F15" s="641" t="s">
        <v>381</v>
      </c>
      <c r="G15" s="642">
        <f>SUM(G16:G18)</f>
        <v>156619</v>
      </c>
      <c r="H15" s="642">
        <v>6560</v>
      </c>
      <c r="I15" s="643">
        <f>SUM(I16:I18)</f>
        <v>0</v>
      </c>
    </row>
    <row r="16" spans="1:9" ht="16.5">
      <c r="A16" s="613">
        <v>10</v>
      </c>
      <c r="B16" s="635"/>
      <c r="C16" s="252"/>
      <c r="D16" s="252"/>
      <c r="E16" s="252"/>
      <c r="F16" s="644" t="s">
        <v>476</v>
      </c>
      <c r="G16" s="305">
        <v>57784</v>
      </c>
      <c r="H16" s="305">
        <v>0</v>
      </c>
      <c r="I16" s="636"/>
    </row>
    <row r="17" spans="1:9" ht="16.5">
      <c r="A17" s="613">
        <v>11</v>
      </c>
      <c r="B17" s="635"/>
      <c r="C17" s="252"/>
      <c r="D17" s="252"/>
      <c r="E17" s="252"/>
      <c r="F17" s="644" t="s">
        <v>566</v>
      </c>
      <c r="G17" s="305">
        <v>74835</v>
      </c>
      <c r="H17" s="305">
        <v>0</v>
      </c>
      <c r="I17" s="636"/>
    </row>
    <row r="18" spans="1:9" ht="16.5">
      <c r="A18" s="613">
        <v>12</v>
      </c>
      <c r="B18" s="635"/>
      <c r="C18" s="252"/>
      <c r="D18" s="252"/>
      <c r="E18" s="252"/>
      <c r="F18" s="644" t="s">
        <v>567</v>
      </c>
      <c r="G18" s="305">
        <v>24000</v>
      </c>
      <c r="H18" s="305">
        <v>6560</v>
      </c>
      <c r="I18" s="636"/>
    </row>
    <row r="19" spans="1:9" s="612" customFormat="1" ht="25.5" customHeight="1">
      <c r="A19" s="613">
        <v>13</v>
      </c>
      <c r="B19" s="639"/>
      <c r="C19" s="640"/>
      <c r="D19" s="640"/>
      <c r="E19" s="640"/>
      <c r="F19" s="641" t="s">
        <v>382</v>
      </c>
      <c r="G19" s="642">
        <f>SUM(G20:G22)</f>
        <v>0</v>
      </c>
      <c r="H19" s="642">
        <v>159897</v>
      </c>
      <c r="I19" s="643">
        <f>SUM(I20:I22)</f>
        <v>0</v>
      </c>
    </row>
    <row r="20" spans="1:9" ht="16.5">
      <c r="A20" s="613">
        <v>14</v>
      </c>
      <c r="B20" s="635"/>
      <c r="C20" s="252"/>
      <c r="D20" s="252"/>
      <c r="E20" s="252"/>
      <c r="F20" s="644" t="s">
        <v>568</v>
      </c>
      <c r="G20" s="305"/>
      <c r="H20" s="305">
        <v>159897</v>
      </c>
      <c r="I20" s="636"/>
    </row>
    <row r="21" spans="1:9" ht="16.5">
      <c r="A21" s="613">
        <v>15</v>
      </c>
      <c r="B21" s="635"/>
      <c r="C21" s="252"/>
      <c r="D21" s="252"/>
      <c r="E21" s="252"/>
      <c r="F21" s="644" t="s">
        <v>570</v>
      </c>
      <c r="G21" s="305"/>
      <c r="H21" s="305"/>
      <c r="I21" s="636"/>
    </row>
    <row r="22" spans="1:9" ht="16.5">
      <c r="A22" s="613">
        <v>16</v>
      </c>
      <c r="B22" s="635"/>
      <c r="C22" s="252"/>
      <c r="D22" s="252"/>
      <c r="E22" s="252"/>
      <c r="F22" s="644" t="s">
        <v>569</v>
      </c>
      <c r="G22" s="305"/>
      <c r="H22" s="305"/>
      <c r="I22" s="636"/>
    </row>
    <row r="23" spans="1:9" s="248" customFormat="1" ht="30" customHeight="1">
      <c r="A23" s="617">
        <v>17</v>
      </c>
      <c r="B23" s="645"/>
      <c r="C23" s="646"/>
      <c r="D23" s="646"/>
      <c r="E23" s="646"/>
      <c r="F23" s="647" t="s">
        <v>500</v>
      </c>
      <c r="G23" s="647">
        <v>100000</v>
      </c>
      <c r="H23" s="647">
        <v>0</v>
      </c>
      <c r="I23" s="648"/>
    </row>
    <row r="24" spans="1:9" s="306" customFormat="1" ht="25.5" customHeight="1">
      <c r="A24" s="613">
        <v>18</v>
      </c>
      <c r="B24" s="635"/>
      <c r="C24" s="637"/>
      <c r="D24" s="637">
        <v>2</v>
      </c>
      <c r="E24" s="637"/>
      <c r="F24" s="350" t="s">
        <v>374</v>
      </c>
      <c r="G24" s="350">
        <f>SUM(G25:G27)</f>
        <v>3041509</v>
      </c>
      <c r="H24" s="350">
        <f>SUM(H25:H27)</f>
        <v>5494282</v>
      </c>
      <c r="I24" s="638">
        <f>SUM(I25:I27)</f>
        <v>4783412</v>
      </c>
    </row>
    <row r="25" spans="1:9" ht="17.25">
      <c r="A25" s="613">
        <v>19</v>
      </c>
      <c r="B25" s="635"/>
      <c r="C25" s="637"/>
      <c r="D25" s="252"/>
      <c r="E25" s="252">
        <v>1</v>
      </c>
      <c r="F25" s="305" t="s">
        <v>565</v>
      </c>
      <c r="G25" s="305">
        <v>1712579</v>
      </c>
      <c r="H25" s="305">
        <v>4820219</v>
      </c>
      <c r="I25" s="636">
        <v>4305427</v>
      </c>
    </row>
    <row r="26" spans="1:9" ht="17.25">
      <c r="A26" s="613">
        <v>20</v>
      </c>
      <c r="B26" s="635"/>
      <c r="C26" s="637"/>
      <c r="D26" s="252"/>
      <c r="E26" s="252">
        <v>2</v>
      </c>
      <c r="F26" s="305" t="s">
        <v>559</v>
      </c>
      <c r="G26" s="305">
        <v>580300</v>
      </c>
      <c r="H26" s="305">
        <v>607315</v>
      </c>
      <c r="I26" s="636">
        <v>442985</v>
      </c>
    </row>
    <row r="27" spans="1:9" ht="17.25">
      <c r="A27" s="613">
        <v>21</v>
      </c>
      <c r="B27" s="635"/>
      <c r="C27" s="637"/>
      <c r="D27" s="252"/>
      <c r="E27" s="252">
        <v>3</v>
      </c>
      <c r="F27" s="305" t="s">
        <v>786</v>
      </c>
      <c r="G27" s="305">
        <v>748630</v>
      </c>
      <c r="H27" s="305">
        <v>66748</v>
      </c>
      <c r="I27" s="636">
        <v>35000</v>
      </c>
    </row>
    <row r="28" spans="1:9" s="306" customFormat="1" ht="30" customHeight="1">
      <c r="A28" s="613">
        <v>22</v>
      </c>
      <c r="B28" s="635" t="s">
        <v>667</v>
      </c>
      <c r="C28" s="637"/>
      <c r="D28" s="252"/>
      <c r="E28" s="637"/>
      <c r="F28" s="350" t="s">
        <v>501</v>
      </c>
      <c r="G28" s="350"/>
      <c r="H28" s="350"/>
      <c r="I28" s="638">
        <v>42</v>
      </c>
    </row>
    <row r="29" spans="1:9" ht="16.5">
      <c r="A29" s="613">
        <v>23</v>
      </c>
      <c r="B29" s="635"/>
      <c r="C29" s="252"/>
      <c r="D29" s="252">
        <v>1</v>
      </c>
      <c r="E29" s="252"/>
      <c r="F29" s="649" t="s">
        <v>373</v>
      </c>
      <c r="G29" s="305"/>
      <c r="H29" s="305"/>
      <c r="I29" s="636">
        <v>42</v>
      </c>
    </row>
    <row r="30" spans="1:9" s="349" customFormat="1" ht="24" customHeight="1" thickBot="1">
      <c r="A30" s="613">
        <v>24</v>
      </c>
      <c r="B30" s="650"/>
      <c r="C30" s="651"/>
      <c r="D30" s="651">
        <v>2</v>
      </c>
      <c r="E30" s="651"/>
      <c r="F30" s="652" t="s">
        <v>374</v>
      </c>
      <c r="G30" s="653"/>
      <c r="H30" s="653"/>
      <c r="I30" s="654"/>
    </row>
    <row r="31" spans="1:9" s="647" customFormat="1" ht="39.75" customHeight="1" thickBot="1">
      <c r="A31" s="617">
        <v>25</v>
      </c>
      <c r="B31" s="655"/>
      <c r="C31" s="656"/>
      <c r="D31" s="657"/>
      <c r="E31" s="656"/>
      <c r="F31" s="658" t="s">
        <v>651</v>
      </c>
      <c r="G31" s="658">
        <f>SUM(G7,G12,G28)</f>
        <v>13897044</v>
      </c>
      <c r="H31" s="658">
        <f>SUM(H7,H12,H28)</f>
        <v>17793438</v>
      </c>
      <c r="I31" s="659">
        <f>SUM(I7,I12,I28)</f>
        <v>15796715</v>
      </c>
    </row>
    <row r="32" spans="1:9" s="245" customFormat="1" ht="30" customHeight="1">
      <c r="A32" s="613">
        <v>26</v>
      </c>
      <c r="B32" s="660" t="s">
        <v>667</v>
      </c>
      <c r="C32" s="637"/>
      <c r="D32" s="637"/>
      <c r="E32" s="637"/>
      <c r="F32" s="661" t="s">
        <v>560</v>
      </c>
      <c r="G32" s="661">
        <f>SUM(G36:G37,G33)+G34</f>
        <v>51734</v>
      </c>
      <c r="H32" s="661">
        <f>SUM(H36:H37,H33)+H34</f>
        <v>217960</v>
      </c>
      <c r="I32" s="662">
        <f>SUM(I36:I37,I33)+I34</f>
        <v>127700</v>
      </c>
    </row>
    <row r="33" spans="1:9" s="244" customFormat="1" ht="16.5">
      <c r="A33" s="613">
        <v>27</v>
      </c>
      <c r="B33" s="635"/>
      <c r="C33" s="252"/>
      <c r="D33" s="252">
        <v>1</v>
      </c>
      <c r="E33" s="252"/>
      <c r="F33" s="663" t="s">
        <v>787</v>
      </c>
      <c r="G33" s="663"/>
      <c r="H33" s="663"/>
      <c r="I33" s="664"/>
    </row>
    <row r="34" spans="1:9" s="244" customFormat="1" ht="16.5">
      <c r="A34" s="613">
        <v>28</v>
      </c>
      <c r="B34" s="635"/>
      <c r="C34" s="252"/>
      <c r="D34" s="252"/>
      <c r="E34" s="252"/>
      <c r="F34" s="663" t="s">
        <v>3</v>
      </c>
      <c r="G34" s="663"/>
      <c r="H34" s="663">
        <v>186226</v>
      </c>
      <c r="I34" s="664">
        <v>100917</v>
      </c>
    </row>
    <row r="35" spans="1:9" ht="16.5">
      <c r="A35" s="613">
        <v>29</v>
      </c>
      <c r="B35" s="635"/>
      <c r="C35" s="252"/>
      <c r="D35" s="252">
        <v>2</v>
      </c>
      <c r="E35" s="252"/>
      <c r="F35" s="663" t="s">
        <v>788</v>
      </c>
      <c r="G35" s="305"/>
      <c r="H35" s="305"/>
      <c r="I35" s="636"/>
    </row>
    <row r="36" spans="1:9" ht="16.5">
      <c r="A36" s="613">
        <v>30</v>
      </c>
      <c r="B36" s="635"/>
      <c r="C36" s="252"/>
      <c r="D36" s="252"/>
      <c r="E36" s="252"/>
      <c r="F36" s="665" t="s">
        <v>502</v>
      </c>
      <c r="G36" s="305">
        <v>51734</v>
      </c>
      <c r="H36" s="305">
        <v>31734</v>
      </c>
      <c r="I36" s="636">
        <v>26783</v>
      </c>
    </row>
    <row r="37" spans="1:9" s="349" customFormat="1" ht="18" customHeight="1" thickBot="1">
      <c r="A37" s="613">
        <v>31</v>
      </c>
      <c r="B37" s="650"/>
      <c r="C37" s="651"/>
      <c r="D37" s="651"/>
      <c r="E37" s="651"/>
      <c r="F37" s="666" t="s">
        <v>503</v>
      </c>
      <c r="G37" s="653"/>
      <c r="H37" s="653"/>
      <c r="I37" s="654"/>
    </row>
    <row r="38" spans="1:9" s="647" customFormat="1" ht="39.75" customHeight="1" thickBot="1">
      <c r="A38" s="617">
        <v>32</v>
      </c>
      <c r="B38" s="655"/>
      <c r="C38" s="656"/>
      <c r="D38" s="657"/>
      <c r="E38" s="656"/>
      <c r="F38" s="658" t="s">
        <v>561</v>
      </c>
      <c r="G38" s="658">
        <f>SUM(G31,G32)</f>
        <v>13948778</v>
      </c>
      <c r="H38" s="658">
        <f>SUM(H31,H32)</f>
        <v>18011398</v>
      </c>
      <c r="I38" s="659">
        <f>SUM(I31,I32)</f>
        <v>15924415</v>
      </c>
    </row>
    <row r="39" spans="2:9" ht="16.5">
      <c r="B39" s="667"/>
      <c r="C39" s="252"/>
      <c r="D39" s="252"/>
      <c r="E39" s="252"/>
      <c r="F39" s="305"/>
      <c r="G39" s="305"/>
      <c r="H39" s="305"/>
      <c r="I39" s="305"/>
    </row>
    <row r="40" spans="2:6" ht="16.5">
      <c r="B40" s="667"/>
      <c r="C40" s="252"/>
      <c r="D40" s="252"/>
      <c r="E40" s="252"/>
      <c r="F40" s="305"/>
    </row>
    <row r="41" spans="2:6" ht="16.5">
      <c r="B41" s="667"/>
      <c r="C41" s="252"/>
      <c r="D41" s="252"/>
      <c r="E41" s="252"/>
      <c r="F41" s="305"/>
    </row>
    <row r="42" spans="2:6" ht="16.5">
      <c r="B42" s="667"/>
      <c r="C42" s="252"/>
      <c r="D42" s="252"/>
      <c r="E42" s="252"/>
      <c r="F42" s="305"/>
    </row>
    <row r="43" spans="2:6" ht="17.25">
      <c r="B43" s="667"/>
      <c r="C43" s="637"/>
      <c r="D43" s="252"/>
      <c r="E43" s="637"/>
      <c r="F43" s="350"/>
    </row>
    <row r="44" spans="2:6" ht="16.5">
      <c r="B44" s="667"/>
      <c r="C44" s="252"/>
      <c r="D44" s="252"/>
      <c r="E44" s="252"/>
      <c r="F44" s="305"/>
    </row>
    <row r="45" spans="2:6" ht="16.5">
      <c r="B45" s="667"/>
      <c r="C45" s="252"/>
      <c r="D45" s="252"/>
      <c r="E45" s="252"/>
      <c r="F45" s="305"/>
    </row>
    <row r="54" spans="1:5" s="306" customFormat="1" ht="17.25">
      <c r="A54" s="668"/>
      <c r="B54" s="669"/>
      <c r="C54" s="601"/>
      <c r="D54" s="243"/>
      <c r="E54" s="601"/>
    </row>
    <row r="59" spans="1:5" s="306" customFormat="1" ht="17.25">
      <c r="A59" s="668"/>
      <c r="B59" s="669"/>
      <c r="C59" s="601"/>
      <c r="D59" s="243"/>
      <c r="E59" s="601"/>
    </row>
    <row r="61" spans="1:5" s="306" customFormat="1" ht="17.25">
      <c r="A61" s="668"/>
      <c r="B61" s="669"/>
      <c r="C61" s="601"/>
      <c r="D61" s="243"/>
      <c r="E61" s="601"/>
    </row>
    <row r="68" ht="16.5">
      <c r="F68" s="305"/>
    </row>
    <row r="69" ht="16.5">
      <c r="F69" s="305"/>
    </row>
    <row r="70" ht="16.5">
      <c r="F70" s="305"/>
    </row>
    <row r="71" ht="16.5">
      <c r="F71" s="305"/>
    </row>
    <row r="72" ht="16.5">
      <c r="F72" s="305"/>
    </row>
    <row r="73" ht="16.5">
      <c r="F73" s="305"/>
    </row>
    <row r="74" ht="16.5">
      <c r="F74" s="305"/>
    </row>
  </sheetData>
  <sheetProtection/>
  <mergeCells count="3">
    <mergeCell ref="B1:F1"/>
    <mergeCell ref="B2:I2"/>
    <mergeCell ref="B3:I3"/>
  </mergeCells>
  <printOptions horizontalCentered="1"/>
  <pageMargins left="0.1968503937007874" right="0.1968503937007874" top="1.1811023622047245" bottom="0.5905511811023623"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Q181"/>
  <sheetViews>
    <sheetView view="pageBreakPreview" zoomScale="85" zoomScaleSheetLayoutView="85" zoomScalePageLayoutView="0" workbookViewId="0" topLeftCell="A1">
      <selection activeCell="B1" sqref="B1:D1"/>
    </sheetView>
  </sheetViews>
  <sheetFormatPr defaultColWidth="9.00390625" defaultRowHeight="12.75"/>
  <cols>
    <col min="1" max="1" width="3.125" style="61" bestFit="1" customWidth="1"/>
    <col min="2" max="2" width="4.125" style="66" customWidth="1"/>
    <col min="3" max="3" width="5.875" style="61" bestFit="1" customWidth="1"/>
    <col min="4" max="4" width="50.75390625" style="61" customWidth="1"/>
    <col min="5" max="5" width="9.375" style="61" bestFit="1" customWidth="1"/>
    <col min="6" max="6" width="14.00390625" style="61" bestFit="1" customWidth="1"/>
    <col min="7" max="7" width="11.00390625" style="61" bestFit="1" customWidth="1"/>
    <col min="8" max="8" width="12.375" style="61" bestFit="1" customWidth="1"/>
    <col min="9" max="11" width="12.75390625" style="61" customWidth="1"/>
    <col min="12" max="12" width="9.875" style="61" bestFit="1" customWidth="1"/>
    <col min="13" max="13" width="12.75390625" style="70" customWidth="1"/>
    <col min="14" max="14" width="12.75390625" style="61" customWidth="1"/>
    <col min="15" max="16384" width="9.125" style="61" customWidth="1"/>
  </cols>
  <sheetData>
    <row r="1" spans="1:4" ht="15">
      <c r="A1" s="117"/>
      <c r="B1" s="1469" t="s">
        <v>1635</v>
      </c>
      <c r="C1" s="1469"/>
      <c r="D1" s="1469"/>
    </row>
    <row r="2" spans="1:14" ht="15">
      <c r="A2" s="117"/>
      <c r="B2" s="1470" t="s">
        <v>637</v>
      </c>
      <c r="C2" s="1470"/>
      <c r="D2" s="1470"/>
      <c r="E2" s="1470"/>
      <c r="F2" s="1470"/>
      <c r="G2" s="1470"/>
      <c r="H2" s="1470"/>
      <c r="I2" s="1470"/>
      <c r="J2" s="1470"/>
      <c r="K2" s="1470"/>
      <c r="L2" s="1470"/>
      <c r="M2" s="1470"/>
      <c r="N2" s="1470"/>
    </row>
    <row r="3" spans="1:14" ht="15">
      <c r="A3" s="117"/>
      <c r="B3" s="1470" t="s">
        <v>1193</v>
      </c>
      <c r="C3" s="1470"/>
      <c r="D3" s="1470"/>
      <c r="E3" s="1470"/>
      <c r="F3" s="1470"/>
      <c r="G3" s="1470"/>
      <c r="H3" s="1470"/>
      <c r="I3" s="1470"/>
      <c r="J3" s="1470"/>
      <c r="K3" s="1470"/>
      <c r="L3" s="1470"/>
      <c r="M3" s="1470"/>
      <c r="N3" s="1470"/>
    </row>
    <row r="4" spans="1:14" ht="15">
      <c r="A4" s="117"/>
      <c r="D4" s="1207"/>
      <c r="E4" s="52"/>
      <c r="F4" s="52"/>
      <c r="G4" s="52"/>
      <c r="H4" s="52"/>
      <c r="I4" s="52"/>
      <c r="J4" s="52"/>
      <c r="M4" s="1471" t="s">
        <v>496</v>
      </c>
      <c r="N4" s="1471"/>
    </row>
    <row r="5" spans="1:14" s="66" customFormat="1" ht="15.75" thickBot="1">
      <c r="A5" s="121"/>
      <c r="B5" s="95" t="s">
        <v>504</v>
      </c>
      <c r="C5" s="95" t="s">
        <v>505</v>
      </c>
      <c r="D5" s="95" t="s">
        <v>1222</v>
      </c>
      <c r="E5" s="122" t="s">
        <v>507</v>
      </c>
      <c r="F5" s="122" t="s">
        <v>508</v>
      </c>
      <c r="G5" s="122" t="s">
        <v>509</v>
      </c>
      <c r="H5" s="122" t="s">
        <v>510</v>
      </c>
      <c r="I5" s="122" t="s">
        <v>394</v>
      </c>
      <c r="J5" s="122" t="s">
        <v>395</v>
      </c>
      <c r="K5" s="95" t="s">
        <v>814</v>
      </c>
      <c r="L5" s="95" t="s">
        <v>815</v>
      </c>
      <c r="M5" s="123" t="s">
        <v>816</v>
      </c>
      <c r="N5" s="95" t="s">
        <v>817</v>
      </c>
    </row>
    <row r="6" spans="1:14" s="66" customFormat="1" ht="15">
      <c r="A6" s="117"/>
      <c r="B6" s="1472" t="s">
        <v>770</v>
      </c>
      <c r="C6" s="1474" t="s">
        <v>638</v>
      </c>
      <c r="D6" s="1476" t="s">
        <v>497</v>
      </c>
      <c r="E6" s="1478" t="s">
        <v>378</v>
      </c>
      <c r="F6" s="1478"/>
      <c r="G6" s="1478"/>
      <c r="H6" s="1479" t="s">
        <v>379</v>
      </c>
      <c r="I6" s="1479"/>
      <c r="J6" s="1479"/>
      <c r="K6" s="1479" t="s">
        <v>1147</v>
      </c>
      <c r="L6" s="1479" t="s">
        <v>819</v>
      </c>
      <c r="M6" s="1479"/>
      <c r="N6" s="1480" t="s">
        <v>768</v>
      </c>
    </row>
    <row r="7" spans="1:14" ht="75.75" thickBot="1">
      <c r="A7" s="117"/>
      <c r="B7" s="1473"/>
      <c r="C7" s="1475"/>
      <c r="D7" s="1477"/>
      <c r="E7" s="42" t="s">
        <v>535</v>
      </c>
      <c r="F7" s="42" t="s">
        <v>377</v>
      </c>
      <c r="G7" s="42" t="s">
        <v>428</v>
      </c>
      <c r="H7" s="42" t="s">
        <v>820</v>
      </c>
      <c r="I7" s="42" t="s">
        <v>821</v>
      </c>
      <c r="J7" s="42" t="s">
        <v>832</v>
      </c>
      <c r="K7" s="1484"/>
      <c r="L7" s="42" t="s">
        <v>495</v>
      </c>
      <c r="M7" s="43" t="s">
        <v>484</v>
      </c>
      <c r="N7" s="1481"/>
    </row>
    <row r="8" spans="1:14" s="73" customFormat="1" ht="21.75" customHeight="1">
      <c r="A8" s="117">
        <v>1</v>
      </c>
      <c r="B8" s="74">
        <v>1</v>
      </c>
      <c r="C8" s="75"/>
      <c r="D8" s="1482" t="s">
        <v>1229</v>
      </c>
      <c r="E8" s="1482"/>
      <c r="F8" s="1482"/>
      <c r="G8" s="1482"/>
      <c r="H8" s="76"/>
      <c r="I8" s="76"/>
      <c r="J8" s="76"/>
      <c r="K8" s="76"/>
      <c r="L8" s="76"/>
      <c r="M8" s="77"/>
      <c r="N8" s="65"/>
    </row>
    <row r="9" spans="1:14" ht="15">
      <c r="A9" s="117">
        <v>2</v>
      </c>
      <c r="B9" s="124"/>
      <c r="C9" s="125"/>
      <c r="D9" s="670" t="s">
        <v>580</v>
      </c>
      <c r="E9" s="126">
        <v>13613</v>
      </c>
      <c r="F9" s="126"/>
      <c r="G9" s="126"/>
      <c r="H9" s="126"/>
      <c r="I9" s="126"/>
      <c r="J9" s="126"/>
      <c r="K9" s="126"/>
      <c r="L9" s="126">
        <v>157566</v>
      </c>
      <c r="M9" s="127">
        <v>130387</v>
      </c>
      <c r="N9" s="128">
        <f>SUM(E9:L9)</f>
        <v>171179</v>
      </c>
    </row>
    <row r="10" spans="1:14" s="71" customFormat="1" ht="15">
      <c r="A10" s="117">
        <v>3</v>
      </c>
      <c r="B10" s="54"/>
      <c r="C10" s="59"/>
      <c r="D10" s="671" t="s">
        <v>581</v>
      </c>
      <c r="E10" s="76">
        <v>13113</v>
      </c>
      <c r="F10" s="76"/>
      <c r="G10" s="76"/>
      <c r="H10" s="76"/>
      <c r="I10" s="76"/>
      <c r="J10" s="76"/>
      <c r="K10" s="76">
        <v>6709</v>
      </c>
      <c r="L10" s="76">
        <v>168996</v>
      </c>
      <c r="M10" s="77">
        <v>130387</v>
      </c>
      <c r="N10" s="129">
        <f>SUM(E10:L10)</f>
        <v>188818</v>
      </c>
    </row>
    <row r="11" spans="1:14" s="71" customFormat="1" ht="15">
      <c r="A11" s="117">
        <v>4</v>
      </c>
      <c r="B11" s="131"/>
      <c r="C11" s="55"/>
      <c r="D11" s="672" t="s">
        <v>579</v>
      </c>
      <c r="E11" s="57">
        <v>12915</v>
      </c>
      <c r="F11" s="57"/>
      <c r="G11" s="57"/>
      <c r="H11" s="57"/>
      <c r="I11" s="57"/>
      <c r="J11" s="57"/>
      <c r="K11" s="57">
        <v>6709</v>
      </c>
      <c r="L11" s="57">
        <v>168996</v>
      </c>
      <c r="M11" s="57"/>
      <c r="N11" s="65">
        <f>SUM(E11:L11)</f>
        <v>188620</v>
      </c>
    </row>
    <row r="12" spans="1:14" s="73" customFormat="1" ht="15">
      <c r="A12" s="117">
        <v>5</v>
      </c>
      <c r="B12" s="74"/>
      <c r="C12" s="75">
        <v>1</v>
      </c>
      <c r="D12" s="673" t="s">
        <v>813</v>
      </c>
      <c r="E12" s="76"/>
      <c r="F12" s="76"/>
      <c r="G12" s="76"/>
      <c r="H12" s="76"/>
      <c r="I12" s="76"/>
      <c r="J12" s="76"/>
      <c r="K12" s="76"/>
      <c r="L12" s="76"/>
      <c r="M12" s="77"/>
      <c r="N12" s="65"/>
    </row>
    <row r="13" spans="1:14" ht="15">
      <c r="A13" s="117">
        <v>6</v>
      </c>
      <c r="B13" s="124"/>
      <c r="C13" s="125"/>
      <c r="D13" s="670" t="s">
        <v>580</v>
      </c>
      <c r="E13" s="126"/>
      <c r="F13" s="126"/>
      <c r="G13" s="126"/>
      <c r="H13" s="126"/>
      <c r="I13" s="126"/>
      <c r="J13" s="126"/>
      <c r="K13" s="126"/>
      <c r="L13" s="126"/>
      <c r="M13" s="127"/>
      <c r="N13" s="128">
        <f>SUM(E13:L13)</f>
        <v>0</v>
      </c>
    </row>
    <row r="14" spans="1:14" s="71" customFormat="1" ht="15">
      <c r="A14" s="117">
        <v>7</v>
      </c>
      <c r="B14" s="54"/>
      <c r="C14" s="59"/>
      <c r="D14" s="671" t="s">
        <v>581</v>
      </c>
      <c r="E14" s="76"/>
      <c r="F14" s="76"/>
      <c r="G14" s="76"/>
      <c r="H14" s="76"/>
      <c r="I14" s="76"/>
      <c r="J14" s="76"/>
      <c r="K14" s="76"/>
      <c r="L14" s="76"/>
      <c r="M14" s="77"/>
      <c r="N14" s="129">
        <f>SUM(E14:L14)</f>
        <v>0</v>
      </c>
    </row>
    <row r="15" spans="1:14" ht="15">
      <c r="A15" s="117">
        <v>8</v>
      </c>
      <c r="B15" s="131"/>
      <c r="C15" s="55"/>
      <c r="D15" s="672" t="s">
        <v>579</v>
      </c>
      <c r="E15" s="57"/>
      <c r="F15" s="57"/>
      <c r="G15" s="57"/>
      <c r="H15" s="57"/>
      <c r="I15" s="57"/>
      <c r="J15" s="57"/>
      <c r="K15" s="57"/>
      <c r="L15" s="57"/>
      <c r="M15" s="57"/>
      <c r="N15" s="65">
        <f aca="true" t="shared" si="0" ref="N15:N58">SUM(E15:L15)</f>
        <v>0</v>
      </c>
    </row>
    <row r="16" spans="1:14" s="71" customFormat="1" ht="21.75" customHeight="1">
      <c r="A16" s="117">
        <v>9</v>
      </c>
      <c r="B16" s="74">
        <v>2</v>
      </c>
      <c r="C16" s="75"/>
      <c r="D16" s="1483" t="s">
        <v>1230</v>
      </c>
      <c r="E16" s="1483"/>
      <c r="F16" s="1483"/>
      <c r="G16" s="1483"/>
      <c r="H16" s="76"/>
      <c r="I16" s="76"/>
      <c r="J16" s="76"/>
      <c r="K16" s="76"/>
      <c r="L16" s="76"/>
      <c r="M16" s="77"/>
      <c r="N16" s="65"/>
    </row>
    <row r="17" spans="1:14" s="73" customFormat="1" ht="15">
      <c r="A17" s="117">
        <v>10</v>
      </c>
      <c r="B17" s="124"/>
      <c r="C17" s="125"/>
      <c r="D17" s="670" t="s">
        <v>580</v>
      </c>
      <c r="E17" s="126">
        <v>27687</v>
      </c>
      <c r="F17" s="126"/>
      <c r="G17" s="126"/>
      <c r="H17" s="126"/>
      <c r="I17" s="126"/>
      <c r="J17" s="126"/>
      <c r="K17" s="126"/>
      <c r="L17" s="126">
        <v>263281</v>
      </c>
      <c r="M17" s="127">
        <v>233963</v>
      </c>
      <c r="N17" s="128">
        <f t="shared" si="0"/>
        <v>290968</v>
      </c>
    </row>
    <row r="18" spans="1:14" ht="15">
      <c r="A18" s="117">
        <v>11</v>
      </c>
      <c r="B18" s="54"/>
      <c r="C18" s="59"/>
      <c r="D18" s="671" t="s">
        <v>581</v>
      </c>
      <c r="E18" s="76">
        <v>24687</v>
      </c>
      <c r="F18" s="76"/>
      <c r="G18" s="76"/>
      <c r="H18" s="76"/>
      <c r="I18" s="76"/>
      <c r="J18" s="76"/>
      <c r="K18" s="76">
        <v>5070</v>
      </c>
      <c r="L18" s="76">
        <v>283880</v>
      </c>
      <c r="M18" s="77">
        <v>233963</v>
      </c>
      <c r="N18" s="129">
        <f t="shared" si="0"/>
        <v>313637</v>
      </c>
    </row>
    <row r="19" spans="1:15" s="70" customFormat="1" ht="15">
      <c r="A19" s="117">
        <v>12</v>
      </c>
      <c r="B19" s="131"/>
      <c r="C19" s="55"/>
      <c r="D19" s="672" t="s">
        <v>579</v>
      </c>
      <c r="E19" s="57">
        <v>24349</v>
      </c>
      <c r="F19" s="57"/>
      <c r="G19" s="57"/>
      <c r="H19" s="57"/>
      <c r="I19" s="57"/>
      <c r="J19" s="57"/>
      <c r="K19" s="57">
        <v>5070</v>
      </c>
      <c r="L19" s="57">
        <v>283880</v>
      </c>
      <c r="M19" s="57"/>
      <c r="N19" s="65">
        <f t="shared" si="0"/>
        <v>313299</v>
      </c>
      <c r="O19" s="61"/>
    </row>
    <row r="20" spans="1:15" s="8" customFormat="1" ht="15">
      <c r="A20" s="117">
        <v>13</v>
      </c>
      <c r="B20" s="74"/>
      <c r="C20" s="75">
        <v>1</v>
      </c>
      <c r="D20" s="673" t="s">
        <v>813</v>
      </c>
      <c r="E20" s="76"/>
      <c r="F20" s="76"/>
      <c r="G20" s="76"/>
      <c r="H20" s="76"/>
      <c r="I20" s="76"/>
      <c r="J20" s="76"/>
      <c r="K20" s="76"/>
      <c r="L20" s="76"/>
      <c r="M20" s="77"/>
      <c r="N20" s="65"/>
      <c r="O20" s="61"/>
    </row>
    <row r="21" spans="1:14" s="73" customFormat="1" ht="15">
      <c r="A21" s="117">
        <v>14</v>
      </c>
      <c r="B21" s="124"/>
      <c r="C21" s="125"/>
      <c r="D21" s="670" t="s">
        <v>580</v>
      </c>
      <c r="E21" s="126"/>
      <c r="F21" s="126">
        <v>268</v>
      </c>
      <c r="G21" s="126"/>
      <c r="H21" s="126"/>
      <c r="I21" s="126"/>
      <c r="J21" s="126"/>
      <c r="K21" s="126"/>
      <c r="L21" s="126"/>
      <c r="M21" s="127"/>
      <c r="N21" s="128">
        <f t="shared" si="0"/>
        <v>268</v>
      </c>
    </row>
    <row r="22" spans="1:14" ht="15">
      <c r="A22" s="117">
        <v>15</v>
      </c>
      <c r="B22" s="54"/>
      <c r="C22" s="59"/>
      <c r="D22" s="671" t="s">
        <v>581</v>
      </c>
      <c r="E22" s="76"/>
      <c r="F22" s="76">
        <v>783</v>
      </c>
      <c r="G22" s="76"/>
      <c r="H22" s="76"/>
      <c r="I22" s="76"/>
      <c r="J22" s="76"/>
      <c r="K22" s="76"/>
      <c r="L22" s="76"/>
      <c r="M22" s="77"/>
      <c r="N22" s="129">
        <f t="shared" si="0"/>
        <v>783</v>
      </c>
    </row>
    <row r="23" spans="1:15" s="70" customFormat="1" ht="15">
      <c r="A23" s="117">
        <v>16</v>
      </c>
      <c r="B23" s="131"/>
      <c r="C23" s="55"/>
      <c r="D23" s="672" t="s">
        <v>579</v>
      </c>
      <c r="E23" s="57"/>
      <c r="F23" s="57">
        <v>693</v>
      </c>
      <c r="G23" s="57"/>
      <c r="H23" s="57"/>
      <c r="I23" s="57"/>
      <c r="J23" s="57"/>
      <c r="K23" s="57"/>
      <c r="L23" s="57"/>
      <c r="M23" s="57"/>
      <c r="N23" s="65">
        <f t="shared" si="0"/>
        <v>693</v>
      </c>
      <c r="O23" s="61"/>
    </row>
    <row r="24" spans="1:14" s="73" customFormat="1" ht="21.75" customHeight="1">
      <c r="A24" s="117">
        <v>17</v>
      </c>
      <c r="B24" s="74">
        <v>3</v>
      </c>
      <c r="C24" s="75"/>
      <c r="D24" s="1483" t="s">
        <v>1231</v>
      </c>
      <c r="E24" s="1483"/>
      <c r="F24" s="1483"/>
      <c r="G24" s="1483"/>
      <c r="H24" s="76"/>
      <c r="I24" s="76"/>
      <c r="J24" s="76"/>
      <c r="K24" s="76"/>
      <c r="L24" s="76"/>
      <c r="M24" s="77"/>
      <c r="N24" s="65"/>
    </row>
    <row r="25" spans="1:14" ht="15">
      <c r="A25" s="117">
        <v>18</v>
      </c>
      <c r="B25" s="124"/>
      <c r="C25" s="125"/>
      <c r="D25" s="670" t="s">
        <v>580</v>
      </c>
      <c r="E25" s="126">
        <v>31163</v>
      </c>
      <c r="F25" s="126"/>
      <c r="G25" s="126"/>
      <c r="H25" s="126">
        <v>2289</v>
      </c>
      <c r="I25" s="126"/>
      <c r="J25" s="126"/>
      <c r="K25" s="126"/>
      <c r="L25" s="126">
        <v>311450</v>
      </c>
      <c r="M25" s="127">
        <v>260900</v>
      </c>
      <c r="N25" s="128">
        <f t="shared" si="0"/>
        <v>344902</v>
      </c>
    </row>
    <row r="26" spans="1:14" s="73" customFormat="1" ht="15">
      <c r="A26" s="117">
        <v>19</v>
      </c>
      <c r="B26" s="54"/>
      <c r="C26" s="59"/>
      <c r="D26" s="671" t="s">
        <v>581</v>
      </c>
      <c r="E26" s="76">
        <v>26463</v>
      </c>
      <c r="F26" s="76"/>
      <c r="G26" s="76"/>
      <c r="H26" s="76">
        <v>2289</v>
      </c>
      <c r="I26" s="76"/>
      <c r="J26" s="76"/>
      <c r="K26" s="76">
        <v>8257</v>
      </c>
      <c r="L26" s="76">
        <v>325227</v>
      </c>
      <c r="M26" s="77">
        <v>260900</v>
      </c>
      <c r="N26" s="129">
        <f t="shared" si="0"/>
        <v>362236</v>
      </c>
    </row>
    <row r="27" spans="1:14" s="73" customFormat="1" ht="15">
      <c r="A27" s="117">
        <v>20</v>
      </c>
      <c r="B27" s="131"/>
      <c r="C27" s="55"/>
      <c r="D27" s="672" t="s">
        <v>579</v>
      </c>
      <c r="E27" s="57">
        <v>26180</v>
      </c>
      <c r="F27" s="57"/>
      <c r="G27" s="57"/>
      <c r="H27" s="57">
        <v>2289</v>
      </c>
      <c r="I27" s="57"/>
      <c r="J27" s="57"/>
      <c r="K27" s="57">
        <v>8257</v>
      </c>
      <c r="L27" s="57">
        <v>325227</v>
      </c>
      <c r="M27" s="57"/>
      <c r="N27" s="65">
        <f t="shared" si="0"/>
        <v>361953</v>
      </c>
    </row>
    <row r="28" spans="1:14" ht="15">
      <c r="A28" s="117">
        <v>21</v>
      </c>
      <c r="B28" s="74"/>
      <c r="C28" s="75">
        <v>1</v>
      </c>
      <c r="D28" s="673" t="s">
        <v>813</v>
      </c>
      <c r="E28" s="76"/>
      <c r="F28" s="76"/>
      <c r="G28" s="76"/>
      <c r="H28" s="76"/>
      <c r="I28" s="76"/>
      <c r="J28" s="76"/>
      <c r="K28" s="76"/>
      <c r="L28" s="76"/>
      <c r="M28" s="77"/>
      <c r="N28" s="65"/>
    </row>
    <row r="29" spans="1:14" s="71" customFormat="1" ht="15">
      <c r="A29" s="117">
        <v>22</v>
      </c>
      <c r="B29" s="124"/>
      <c r="C29" s="125"/>
      <c r="D29" s="670" t="s">
        <v>580</v>
      </c>
      <c r="E29" s="126"/>
      <c r="F29" s="126"/>
      <c r="G29" s="126"/>
      <c r="H29" s="126"/>
      <c r="I29" s="126"/>
      <c r="J29" s="126"/>
      <c r="K29" s="126"/>
      <c r="L29" s="126"/>
      <c r="M29" s="127"/>
      <c r="N29" s="128">
        <f t="shared" si="0"/>
        <v>0</v>
      </c>
    </row>
    <row r="30" spans="1:14" ht="15">
      <c r="A30" s="117">
        <v>23</v>
      </c>
      <c r="B30" s="54"/>
      <c r="C30" s="59"/>
      <c r="D30" s="671" t="s">
        <v>581</v>
      </c>
      <c r="E30" s="76"/>
      <c r="F30" s="76"/>
      <c r="G30" s="76"/>
      <c r="H30" s="76"/>
      <c r="I30" s="76"/>
      <c r="J30" s="76"/>
      <c r="K30" s="76"/>
      <c r="L30" s="76"/>
      <c r="M30" s="77"/>
      <c r="N30" s="129">
        <f t="shared" si="0"/>
        <v>0</v>
      </c>
    </row>
    <row r="31" spans="1:14" s="73" customFormat="1" ht="15">
      <c r="A31" s="117">
        <v>24</v>
      </c>
      <c r="B31" s="131"/>
      <c r="C31" s="55"/>
      <c r="D31" s="672" t="s">
        <v>579</v>
      </c>
      <c r="E31" s="57"/>
      <c r="F31" s="57"/>
      <c r="G31" s="57"/>
      <c r="H31" s="57"/>
      <c r="I31" s="57"/>
      <c r="J31" s="57"/>
      <c r="K31" s="57"/>
      <c r="L31" s="57"/>
      <c r="M31" s="57"/>
      <c r="N31" s="65">
        <f t="shared" si="0"/>
        <v>0</v>
      </c>
    </row>
    <row r="32" spans="1:14" s="73" customFormat="1" ht="21.75" customHeight="1">
      <c r="A32" s="117">
        <v>25</v>
      </c>
      <c r="B32" s="74">
        <v>4</v>
      </c>
      <c r="C32" s="75"/>
      <c r="D32" s="1483" t="s">
        <v>1232</v>
      </c>
      <c r="E32" s="1483"/>
      <c r="F32" s="1483"/>
      <c r="G32" s="1483"/>
      <c r="H32" s="76"/>
      <c r="I32" s="76"/>
      <c r="J32" s="76"/>
      <c r="K32" s="76"/>
      <c r="L32" s="76"/>
      <c r="M32" s="77"/>
      <c r="N32" s="65"/>
    </row>
    <row r="33" spans="1:15" s="70" customFormat="1" ht="15">
      <c r="A33" s="117">
        <v>26</v>
      </c>
      <c r="B33" s="124"/>
      <c r="C33" s="125"/>
      <c r="D33" s="670" t="s">
        <v>580</v>
      </c>
      <c r="E33" s="126">
        <v>25207</v>
      </c>
      <c r="F33" s="126"/>
      <c r="G33" s="126"/>
      <c r="H33" s="126"/>
      <c r="I33" s="126"/>
      <c r="J33" s="126"/>
      <c r="K33" s="126"/>
      <c r="L33" s="126">
        <v>230442</v>
      </c>
      <c r="M33" s="127">
        <v>216422</v>
      </c>
      <c r="N33" s="128">
        <f t="shared" si="0"/>
        <v>255649</v>
      </c>
      <c r="O33" s="61"/>
    </row>
    <row r="34" spans="1:14" s="8" customFormat="1" ht="15">
      <c r="A34" s="117">
        <v>27</v>
      </c>
      <c r="B34" s="54"/>
      <c r="C34" s="59"/>
      <c r="D34" s="671" t="s">
        <v>581</v>
      </c>
      <c r="E34" s="76">
        <v>21507</v>
      </c>
      <c r="F34" s="76">
        <v>150</v>
      </c>
      <c r="G34" s="76">
        <v>150</v>
      </c>
      <c r="H34" s="76"/>
      <c r="I34" s="76"/>
      <c r="J34" s="76"/>
      <c r="K34" s="76">
        <v>12515</v>
      </c>
      <c r="L34" s="76">
        <v>241068</v>
      </c>
      <c r="M34" s="77">
        <v>216422</v>
      </c>
      <c r="N34" s="129">
        <f t="shared" si="0"/>
        <v>275390</v>
      </c>
    </row>
    <row r="35" spans="1:14" s="71" customFormat="1" ht="15">
      <c r="A35" s="117">
        <v>28</v>
      </c>
      <c r="B35" s="131"/>
      <c r="C35" s="55"/>
      <c r="D35" s="672" t="s">
        <v>579</v>
      </c>
      <c r="E35" s="57">
        <v>21341</v>
      </c>
      <c r="F35" s="57">
        <v>150</v>
      </c>
      <c r="G35" s="57">
        <v>150</v>
      </c>
      <c r="H35" s="57"/>
      <c r="I35" s="57"/>
      <c r="J35" s="57"/>
      <c r="K35" s="57">
        <v>12515</v>
      </c>
      <c r="L35" s="57">
        <v>241068</v>
      </c>
      <c r="M35" s="57"/>
      <c r="N35" s="65">
        <f t="shared" si="0"/>
        <v>275224</v>
      </c>
    </row>
    <row r="36" spans="1:15" s="70" customFormat="1" ht="15">
      <c r="A36" s="117">
        <v>29</v>
      </c>
      <c r="B36" s="74"/>
      <c r="C36" s="75">
        <v>1</v>
      </c>
      <c r="D36" s="673" t="s">
        <v>813</v>
      </c>
      <c r="E36" s="76"/>
      <c r="F36" s="76"/>
      <c r="G36" s="76"/>
      <c r="H36" s="76"/>
      <c r="I36" s="76"/>
      <c r="J36" s="76"/>
      <c r="K36" s="76"/>
      <c r="L36" s="76"/>
      <c r="M36" s="77"/>
      <c r="N36" s="65"/>
      <c r="O36" s="61"/>
    </row>
    <row r="37" spans="1:14" ht="15">
      <c r="A37" s="117">
        <v>30</v>
      </c>
      <c r="B37" s="124"/>
      <c r="C37" s="125"/>
      <c r="D37" s="670" t="s">
        <v>580</v>
      </c>
      <c r="E37" s="126"/>
      <c r="F37" s="126"/>
      <c r="G37" s="126"/>
      <c r="H37" s="126"/>
      <c r="I37" s="126"/>
      <c r="J37" s="126"/>
      <c r="K37" s="126"/>
      <c r="L37" s="126"/>
      <c r="M37" s="127"/>
      <c r="N37" s="128">
        <f t="shared" si="0"/>
        <v>0</v>
      </c>
    </row>
    <row r="38" spans="1:17" ht="15">
      <c r="A38" s="117">
        <v>31</v>
      </c>
      <c r="B38" s="54"/>
      <c r="C38" s="59"/>
      <c r="D38" s="671" t="s">
        <v>581</v>
      </c>
      <c r="E38" s="76"/>
      <c r="F38" s="76"/>
      <c r="G38" s="76"/>
      <c r="H38" s="76"/>
      <c r="I38" s="76"/>
      <c r="J38" s="76"/>
      <c r="K38" s="76"/>
      <c r="L38" s="76"/>
      <c r="M38" s="77"/>
      <c r="N38" s="129">
        <f t="shared" si="0"/>
        <v>0</v>
      </c>
      <c r="P38" s="52"/>
      <c r="Q38" s="52"/>
    </row>
    <row r="39" spans="1:17" ht="15">
      <c r="A39" s="117">
        <v>32</v>
      </c>
      <c r="B39" s="131"/>
      <c r="C39" s="55"/>
      <c r="D39" s="672" t="s">
        <v>579</v>
      </c>
      <c r="E39" s="57"/>
      <c r="F39" s="57"/>
      <c r="G39" s="57"/>
      <c r="H39" s="57"/>
      <c r="I39" s="57"/>
      <c r="J39" s="57"/>
      <c r="K39" s="57"/>
      <c r="L39" s="57"/>
      <c r="M39" s="57"/>
      <c r="N39" s="65">
        <f t="shared" si="0"/>
        <v>0</v>
      </c>
      <c r="P39" s="52"/>
      <c r="Q39" s="52"/>
    </row>
    <row r="40" spans="1:14" s="73" customFormat="1" ht="24.75" customHeight="1">
      <c r="A40" s="117">
        <v>33</v>
      </c>
      <c r="B40" s="74">
        <v>5</v>
      </c>
      <c r="C40" s="75"/>
      <c r="D40" s="1483" t="s">
        <v>1233</v>
      </c>
      <c r="E40" s="1483"/>
      <c r="F40" s="1483"/>
      <c r="G40" s="1483"/>
      <c r="H40" s="76"/>
      <c r="I40" s="76"/>
      <c r="J40" s="76"/>
      <c r="K40" s="76"/>
      <c r="L40" s="76"/>
      <c r="M40" s="77"/>
      <c r="N40" s="65"/>
    </row>
    <row r="41" spans="1:17" ht="15">
      <c r="A41" s="117">
        <v>34</v>
      </c>
      <c r="B41" s="124"/>
      <c r="C41" s="125"/>
      <c r="D41" s="670" t="s">
        <v>580</v>
      </c>
      <c r="E41" s="126">
        <v>26960</v>
      </c>
      <c r="F41" s="126"/>
      <c r="G41" s="126"/>
      <c r="H41" s="126"/>
      <c r="I41" s="126"/>
      <c r="J41" s="126"/>
      <c r="K41" s="126"/>
      <c r="L41" s="126">
        <v>245429</v>
      </c>
      <c r="M41" s="127">
        <v>204347</v>
      </c>
      <c r="N41" s="128">
        <f t="shared" si="0"/>
        <v>272389</v>
      </c>
      <c r="P41" s="52"/>
      <c r="Q41" s="52"/>
    </row>
    <row r="42" spans="1:17" s="70" customFormat="1" ht="15">
      <c r="A42" s="117">
        <v>35</v>
      </c>
      <c r="B42" s="54"/>
      <c r="C42" s="59"/>
      <c r="D42" s="671" t="s">
        <v>581</v>
      </c>
      <c r="E42" s="76">
        <v>25960</v>
      </c>
      <c r="F42" s="76"/>
      <c r="G42" s="76"/>
      <c r="H42" s="76"/>
      <c r="I42" s="76"/>
      <c r="J42" s="76"/>
      <c r="K42" s="76">
        <v>27772</v>
      </c>
      <c r="L42" s="76">
        <v>262021</v>
      </c>
      <c r="M42" s="77">
        <v>204347</v>
      </c>
      <c r="N42" s="129">
        <f t="shared" si="0"/>
        <v>315753</v>
      </c>
      <c r="O42" s="61"/>
      <c r="P42" s="53"/>
      <c r="Q42" s="53"/>
    </row>
    <row r="43" spans="1:17" ht="15">
      <c r="A43" s="117">
        <v>36</v>
      </c>
      <c r="B43" s="131"/>
      <c r="C43" s="55"/>
      <c r="D43" s="672" t="s">
        <v>579</v>
      </c>
      <c r="E43" s="57">
        <v>25924</v>
      </c>
      <c r="F43" s="57"/>
      <c r="G43" s="57"/>
      <c r="H43" s="57"/>
      <c r="I43" s="57"/>
      <c r="J43" s="57"/>
      <c r="K43" s="57">
        <v>27772</v>
      </c>
      <c r="L43" s="57">
        <v>262021</v>
      </c>
      <c r="M43" s="57"/>
      <c r="N43" s="65">
        <f t="shared" si="0"/>
        <v>315717</v>
      </c>
      <c r="P43" s="52"/>
      <c r="Q43" s="52"/>
    </row>
    <row r="44" spans="1:17" ht="15">
      <c r="A44" s="117">
        <v>37</v>
      </c>
      <c r="B44" s="74"/>
      <c r="C44" s="75">
        <v>1</v>
      </c>
      <c r="D44" s="673" t="s">
        <v>813</v>
      </c>
      <c r="E44" s="76"/>
      <c r="F44" s="76"/>
      <c r="G44" s="76"/>
      <c r="H44" s="76"/>
      <c r="I44" s="76"/>
      <c r="J44" s="76"/>
      <c r="K44" s="76"/>
      <c r="L44" s="76"/>
      <c r="M44" s="77"/>
      <c r="N44" s="65"/>
      <c r="P44" s="52"/>
      <c r="Q44" s="52"/>
    </row>
    <row r="45" spans="1:17" s="70" customFormat="1" ht="15">
      <c r="A45" s="117">
        <v>38</v>
      </c>
      <c r="B45" s="124"/>
      <c r="C45" s="125"/>
      <c r="D45" s="670" t="s">
        <v>580</v>
      </c>
      <c r="E45" s="126"/>
      <c r="F45" s="126"/>
      <c r="G45" s="126"/>
      <c r="H45" s="126"/>
      <c r="I45" s="126"/>
      <c r="J45" s="126"/>
      <c r="K45" s="126"/>
      <c r="L45" s="126"/>
      <c r="M45" s="127"/>
      <c r="N45" s="128">
        <f t="shared" si="0"/>
        <v>0</v>
      </c>
      <c r="O45" s="61"/>
      <c r="P45" s="53"/>
      <c r="Q45" s="53"/>
    </row>
    <row r="46" spans="1:17" ht="15">
      <c r="A46" s="117">
        <v>39</v>
      </c>
      <c r="B46" s="54"/>
      <c r="C46" s="59"/>
      <c r="D46" s="671" t="s">
        <v>581</v>
      </c>
      <c r="E46" s="76"/>
      <c r="F46" s="76"/>
      <c r="G46" s="76"/>
      <c r="H46" s="76"/>
      <c r="I46" s="76"/>
      <c r="J46" s="76"/>
      <c r="K46" s="76"/>
      <c r="L46" s="76"/>
      <c r="M46" s="77"/>
      <c r="N46" s="129">
        <f t="shared" si="0"/>
        <v>0</v>
      </c>
      <c r="P46" s="52"/>
      <c r="Q46" s="52"/>
    </row>
    <row r="47" spans="1:17" ht="15">
      <c r="A47" s="117">
        <v>40</v>
      </c>
      <c r="B47" s="131"/>
      <c r="C47" s="55"/>
      <c r="D47" s="672" t="s">
        <v>579</v>
      </c>
      <c r="E47" s="57"/>
      <c r="F47" s="57"/>
      <c r="G47" s="57"/>
      <c r="H47" s="57"/>
      <c r="I47" s="57"/>
      <c r="J47" s="57"/>
      <c r="K47" s="57"/>
      <c r="L47" s="57"/>
      <c r="M47" s="78"/>
      <c r="N47" s="65">
        <f t="shared" si="0"/>
        <v>0</v>
      </c>
      <c r="P47" s="52"/>
      <c r="Q47" s="52"/>
    </row>
    <row r="48" spans="1:14" s="73" customFormat="1" ht="24.75" customHeight="1">
      <c r="A48" s="117">
        <v>41</v>
      </c>
      <c r="B48" s="74">
        <v>6</v>
      </c>
      <c r="C48" s="75"/>
      <c r="D48" s="1483" t="s">
        <v>1234</v>
      </c>
      <c r="E48" s="1483"/>
      <c r="F48" s="1483"/>
      <c r="G48" s="1483"/>
      <c r="H48" s="76"/>
      <c r="I48" s="76"/>
      <c r="J48" s="76"/>
      <c r="K48" s="76"/>
      <c r="L48" s="76"/>
      <c r="M48" s="77"/>
      <c r="N48" s="65"/>
    </row>
    <row r="49" spans="1:17" ht="15">
      <c r="A49" s="117">
        <v>42</v>
      </c>
      <c r="B49" s="124"/>
      <c r="C49" s="125"/>
      <c r="D49" s="670" t="s">
        <v>580</v>
      </c>
      <c r="E49" s="126">
        <v>14268</v>
      </c>
      <c r="F49" s="126"/>
      <c r="G49" s="126"/>
      <c r="H49" s="126"/>
      <c r="I49" s="126"/>
      <c r="J49" s="126"/>
      <c r="K49" s="126"/>
      <c r="L49" s="126">
        <v>122146</v>
      </c>
      <c r="M49" s="127">
        <v>100440</v>
      </c>
      <c r="N49" s="128">
        <f t="shared" si="0"/>
        <v>136414</v>
      </c>
      <c r="P49" s="52"/>
      <c r="Q49" s="52"/>
    </row>
    <row r="50" spans="1:17" ht="15">
      <c r="A50" s="117">
        <v>43</v>
      </c>
      <c r="B50" s="54"/>
      <c r="C50" s="59"/>
      <c r="D50" s="671" t="s">
        <v>581</v>
      </c>
      <c r="E50" s="76">
        <v>11241</v>
      </c>
      <c r="F50" s="76"/>
      <c r="G50" s="76"/>
      <c r="H50" s="76"/>
      <c r="I50" s="76"/>
      <c r="J50" s="76"/>
      <c r="K50" s="76">
        <v>3820</v>
      </c>
      <c r="L50" s="76">
        <v>128059</v>
      </c>
      <c r="M50" s="77">
        <v>100440</v>
      </c>
      <c r="N50" s="129">
        <f t="shared" si="0"/>
        <v>143120</v>
      </c>
      <c r="P50" s="52"/>
      <c r="Q50" s="52"/>
    </row>
    <row r="51" spans="1:17" ht="15">
      <c r="A51" s="117">
        <v>44</v>
      </c>
      <c r="B51" s="131"/>
      <c r="C51" s="55"/>
      <c r="D51" s="672" t="s">
        <v>579</v>
      </c>
      <c r="E51" s="57">
        <v>10588</v>
      </c>
      <c r="F51" s="57"/>
      <c r="G51" s="57"/>
      <c r="H51" s="57"/>
      <c r="I51" s="57"/>
      <c r="J51" s="57"/>
      <c r="K51" s="57">
        <v>3820</v>
      </c>
      <c r="L51" s="57">
        <v>128059</v>
      </c>
      <c r="M51" s="57"/>
      <c r="N51" s="65">
        <f t="shared" si="0"/>
        <v>142467</v>
      </c>
      <c r="P51" s="52"/>
      <c r="Q51" s="52"/>
    </row>
    <row r="52" spans="1:17" ht="15">
      <c r="A52" s="117">
        <v>45</v>
      </c>
      <c r="B52" s="74"/>
      <c r="C52" s="75">
        <v>1</v>
      </c>
      <c r="D52" s="673" t="s">
        <v>813</v>
      </c>
      <c r="E52" s="76"/>
      <c r="F52" s="76"/>
      <c r="G52" s="76"/>
      <c r="H52" s="76"/>
      <c r="I52" s="76"/>
      <c r="J52" s="76"/>
      <c r="K52" s="76"/>
      <c r="L52" s="76"/>
      <c r="M52" s="77"/>
      <c r="N52" s="65"/>
      <c r="P52" s="52"/>
      <c r="Q52" s="52"/>
    </row>
    <row r="53" spans="1:17" ht="15">
      <c r="A53" s="117">
        <v>46</v>
      </c>
      <c r="B53" s="124"/>
      <c r="C53" s="125"/>
      <c r="D53" s="670" t="s">
        <v>580</v>
      </c>
      <c r="E53" s="126"/>
      <c r="F53" s="126">
        <v>2236</v>
      </c>
      <c r="G53" s="126"/>
      <c r="H53" s="126"/>
      <c r="I53" s="126"/>
      <c r="J53" s="126"/>
      <c r="K53" s="126"/>
      <c r="L53" s="126"/>
      <c r="M53" s="127"/>
      <c r="N53" s="128">
        <f t="shared" si="0"/>
        <v>2236</v>
      </c>
      <c r="P53" s="52"/>
      <c r="Q53" s="52"/>
    </row>
    <row r="54" spans="1:17" ht="15">
      <c r="A54" s="117">
        <v>47</v>
      </c>
      <c r="B54" s="54"/>
      <c r="C54" s="59"/>
      <c r="D54" s="671" t="s">
        <v>581</v>
      </c>
      <c r="E54" s="76"/>
      <c r="F54" s="76">
        <v>2236</v>
      </c>
      <c r="G54" s="76"/>
      <c r="H54" s="76"/>
      <c r="I54" s="76"/>
      <c r="J54" s="76"/>
      <c r="K54" s="76"/>
      <c r="L54" s="76"/>
      <c r="M54" s="77"/>
      <c r="N54" s="129">
        <f t="shared" si="0"/>
        <v>2236</v>
      </c>
      <c r="P54" s="52"/>
      <c r="Q54" s="52"/>
    </row>
    <row r="55" spans="1:17" ht="24.75" customHeight="1">
      <c r="A55" s="111">
        <v>48</v>
      </c>
      <c r="B55" s="132"/>
      <c r="C55" s="133"/>
      <c r="D55" s="674" t="s">
        <v>579</v>
      </c>
      <c r="E55" s="134"/>
      <c r="F55" s="134">
        <v>1881</v>
      </c>
      <c r="G55" s="134"/>
      <c r="H55" s="134"/>
      <c r="I55" s="134"/>
      <c r="J55" s="134"/>
      <c r="K55" s="134"/>
      <c r="L55" s="134"/>
      <c r="M55" s="134"/>
      <c r="N55" s="65">
        <f t="shared" si="0"/>
        <v>1881</v>
      </c>
      <c r="P55" s="52"/>
      <c r="Q55" s="52"/>
    </row>
    <row r="56" spans="1:17" ht="19.5" customHeight="1">
      <c r="A56" s="387">
        <v>49</v>
      </c>
      <c r="B56" s="72"/>
      <c r="C56" s="135"/>
      <c r="D56" s="135" t="s">
        <v>796</v>
      </c>
      <c r="E56" s="135"/>
      <c r="F56" s="135"/>
      <c r="G56" s="135"/>
      <c r="H56" s="135"/>
      <c r="I56" s="135"/>
      <c r="J56" s="135"/>
      <c r="K56" s="135"/>
      <c r="L56" s="135"/>
      <c r="M56" s="135"/>
      <c r="N56" s="136">
        <f t="shared" si="0"/>
        <v>0</v>
      </c>
      <c r="P56" s="52"/>
      <c r="Q56" s="52"/>
    </row>
    <row r="57" spans="1:14" ht="19.5" customHeight="1">
      <c r="A57" s="387">
        <v>50</v>
      </c>
      <c r="B57" s="137"/>
      <c r="C57" s="138"/>
      <c r="D57" s="670" t="s">
        <v>580</v>
      </c>
      <c r="E57" s="139">
        <f aca="true" t="shared" si="1" ref="E57:M58">SUM(E53,E49,E45,E41,E37,E33,E29,E25,E21,E17,E13,E9)</f>
        <v>138898</v>
      </c>
      <c r="F57" s="139">
        <f t="shared" si="1"/>
        <v>2504</v>
      </c>
      <c r="G57" s="139">
        <f t="shared" si="1"/>
        <v>0</v>
      </c>
      <c r="H57" s="139">
        <f t="shared" si="1"/>
        <v>2289</v>
      </c>
      <c r="I57" s="139">
        <f t="shared" si="1"/>
        <v>0</v>
      </c>
      <c r="J57" s="139">
        <f t="shared" si="1"/>
        <v>0</v>
      </c>
      <c r="K57" s="139">
        <f t="shared" si="1"/>
        <v>0</v>
      </c>
      <c r="L57" s="139">
        <f t="shared" si="1"/>
        <v>1330314</v>
      </c>
      <c r="M57" s="138">
        <f t="shared" si="1"/>
        <v>1146459</v>
      </c>
      <c r="N57" s="140">
        <f t="shared" si="0"/>
        <v>1474005</v>
      </c>
    </row>
    <row r="58" spans="1:14" ht="19.5" customHeight="1">
      <c r="A58" s="387">
        <v>51</v>
      </c>
      <c r="B58" s="72"/>
      <c r="C58" s="53"/>
      <c r="D58" s="671" t="s">
        <v>581</v>
      </c>
      <c r="E58" s="52">
        <f t="shared" si="1"/>
        <v>122971</v>
      </c>
      <c r="F58" s="52">
        <f t="shared" si="1"/>
        <v>3169</v>
      </c>
      <c r="G58" s="52">
        <f t="shared" si="1"/>
        <v>150</v>
      </c>
      <c r="H58" s="52">
        <f t="shared" si="1"/>
        <v>2289</v>
      </c>
      <c r="I58" s="52">
        <f t="shared" si="1"/>
        <v>0</v>
      </c>
      <c r="J58" s="52">
        <f t="shared" si="1"/>
        <v>0</v>
      </c>
      <c r="K58" s="52">
        <f t="shared" si="1"/>
        <v>64143</v>
      </c>
      <c r="L58" s="52">
        <f t="shared" si="1"/>
        <v>1409251</v>
      </c>
      <c r="M58" s="53">
        <f t="shared" si="1"/>
        <v>1146459</v>
      </c>
      <c r="N58" s="60">
        <f t="shared" si="0"/>
        <v>1601973</v>
      </c>
    </row>
    <row r="59" spans="1:14" ht="19.5" customHeight="1">
      <c r="A59" s="387">
        <v>52</v>
      </c>
      <c r="B59" s="72"/>
      <c r="C59" s="141"/>
      <c r="D59" s="675" t="s">
        <v>579</v>
      </c>
      <c r="E59" s="142">
        <f>E55+E51+E47+E43+E39+E35+E31+E27+E23+E19+E15+E11</f>
        <v>121297</v>
      </c>
      <c r="F59" s="142">
        <f aca="true" t="shared" si="2" ref="F59:L59">F55+F51+F47+F43+F39+F35+F31+F27+F23+F19+F15+F11</f>
        <v>2724</v>
      </c>
      <c r="G59" s="142">
        <f t="shared" si="2"/>
        <v>150</v>
      </c>
      <c r="H59" s="142">
        <f t="shared" si="2"/>
        <v>2289</v>
      </c>
      <c r="I59" s="142">
        <f t="shared" si="2"/>
        <v>0</v>
      </c>
      <c r="J59" s="142">
        <f t="shared" si="2"/>
        <v>0</v>
      </c>
      <c r="K59" s="142">
        <f t="shared" si="2"/>
        <v>64143</v>
      </c>
      <c r="L59" s="142">
        <f t="shared" si="2"/>
        <v>1409251</v>
      </c>
      <c r="M59" s="143"/>
      <c r="N59" s="145">
        <f>SUM(E59:L59)</f>
        <v>1599854</v>
      </c>
    </row>
    <row r="60" spans="1:14" s="73" customFormat="1" ht="24.75" customHeight="1">
      <c r="A60" s="117">
        <v>53</v>
      </c>
      <c r="B60" s="74">
        <v>7</v>
      </c>
      <c r="C60" s="75"/>
      <c r="D60" s="676" t="s">
        <v>803</v>
      </c>
      <c r="E60" s="676"/>
      <c r="F60" s="676"/>
      <c r="G60" s="676"/>
      <c r="H60" s="76"/>
      <c r="I60" s="76"/>
      <c r="J60" s="76"/>
      <c r="K60" s="76"/>
      <c r="L60" s="76"/>
      <c r="M60" s="77"/>
      <c r="N60" s="65"/>
    </row>
    <row r="61" spans="1:14" ht="15">
      <c r="A61" s="117">
        <v>54</v>
      </c>
      <c r="B61" s="124"/>
      <c r="C61" s="125"/>
      <c r="D61" s="670" t="s">
        <v>580</v>
      </c>
      <c r="E61" s="126">
        <v>2015</v>
      </c>
      <c r="F61" s="126"/>
      <c r="G61" s="126"/>
      <c r="H61" s="126"/>
      <c r="I61" s="126"/>
      <c r="J61" s="126"/>
      <c r="K61" s="126"/>
      <c r="L61" s="126">
        <v>158122</v>
      </c>
      <c r="M61" s="127"/>
      <c r="N61" s="128">
        <f>SUM(E61:L61)</f>
        <v>160137</v>
      </c>
    </row>
    <row r="62" spans="1:14" ht="15">
      <c r="A62" s="117">
        <v>55</v>
      </c>
      <c r="B62" s="54"/>
      <c r="C62" s="59"/>
      <c r="D62" s="671" t="s">
        <v>581</v>
      </c>
      <c r="E62" s="76">
        <v>2686</v>
      </c>
      <c r="F62" s="76">
        <v>600</v>
      </c>
      <c r="G62" s="76"/>
      <c r="H62" s="76"/>
      <c r="I62" s="76"/>
      <c r="J62" s="76"/>
      <c r="K62" s="76">
        <v>22348</v>
      </c>
      <c r="L62" s="76">
        <v>166632</v>
      </c>
      <c r="M62" s="77"/>
      <c r="N62" s="129">
        <f>SUM(E62:L62)</f>
        <v>192266</v>
      </c>
    </row>
    <row r="63" spans="1:14" ht="15">
      <c r="A63" s="117">
        <v>56</v>
      </c>
      <c r="B63" s="131"/>
      <c r="C63" s="55"/>
      <c r="D63" s="672" t="s">
        <v>579</v>
      </c>
      <c r="E63" s="57">
        <v>2985</v>
      </c>
      <c r="F63" s="57">
        <v>302</v>
      </c>
      <c r="G63" s="57"/>
      <c r="H63" s="57"/>
      <c r="I63" s="57"/>
      <c r="J63" s="57"/>
      <c r="K63" s="57">
        <v>22348</v>
      </c>
      <c r="L63" s="57">
        <v>166632</v>
      </c>
      <c r="M63" s="78"/>
      <c r="N63" s="65">
        <f>SUM(E63:L63)</f>
        <v>192267</v>
      </c>
    </row>
    <row r="64" spans="1:14" s="73" customFormat="1" ht="24.75" customHeight="1">
      <c r="A64" s="117">
        <v>57</v>
      </c>
      <c r="B64" s="74">
        <v>8</v>
      </c>
      <c r="C64" s="75"/>
      <c r="D64" s="677" t="s">
        <v>804</v>
      </c>
      <c r="E64" s="677"/>
      <c r="F64" s="677"/>
      <c r="G64" s="677"/>
      <c r="H64" s="76"/>
      <c r="I64" s="76"/>
      <c r="J64" s="76"/>
      <c r="K64" s="76"/>
      <c r="L64" s="76"/>
      <c r="M64" s="77"/>
      <c r="N64" s="65"/>
    </row>
    <row r="65" spans="1:14" ht="15">
      <c r="A65" s="117">
        <v>58</v>
      </c>
      <c r="B65" s="124"/>
      <c r="C65" s="125"/>
      <c r="D65" s="670" t="s">
        <v>580</v>
      </c>
      <c r="E65" s="126">
        <v>60727</v>
      </c>
      <c r="F65" s="126"/>
      <c r="G65" s="126"/>
      <c r="H65" s="126"/>
      <c r="I65" s="126"/>
      <c r="J65" s="126"/>
      <c r="K65" s="126"/>
      <c r="L65" s="126">
        <v>362696</v>
      </c>
      <c r="M65" s="127">
        <v>241557</v>
      </c>
      <c r="N65" s="128">
        <f>SUM(E65:L65)</f>
        <v>423423</v>
      </c>
    </row>
    <row r="66" spans="1:14" ht="15">
      <c r="A66" s="117">
        <v>59</v>
      </c>
      <c r="B66" s="54"/>
      <c r="C66" s="59"/>
      <c r="D66" s="671" t="s">
        <v>581</v>
      </c>
      <c r="E66" s="76">
        <v>59727</v>
      </c>
      <c r="F66" s="76">
        <v>23049</v>
      </c>
      <c r="G66" s="76"/>
      <c r="H66" s="76"/>
      <c r="I66" s="76"/>
      <c r="J66" s="76"/>
      <c r="K66" s="76">
        <v>15103</v>
      </c>
      <c r="L66" s="76">
        <v>420903</v>
      </c>
      <c r="M66" s="77">
        <v>241557</v>
      </c>
      <c r="N66" s="129">
        <f>SUM(E66:L66)</f>
        <v>518782</v>
      </c>
    </row>
    <row r="67" spans="1:14" ht="15">
      <c r="A67" s="117">
        <v>60</v>
      </c>
      <c r="B67" s="131"/>
      <c r="C67" s="55"/>
      <c r="D67" s="672" t="s">
        <v>579</v>
      </c>
      <c r="E67" s="57">
        <v>59670</v>
      </c>
      <c r="F67" s="57">
        <v>23050</v>
      </c>
      <c r="G67" s="57"/>
      <c r="H67" s="57"/>
      <c r="I67" s="57"/>
      <c r="J67" s="57"/>
      <c r="K67" s="57">
        <v>15103</v>
      </c>
      <c r="L67" s="57">
        <v>420903</v>
      </c>
      <c r="M67" s="57"/>
      <c r="N67" s="65">
        <f>SUM(E67:L67)</f>
        <v>518726</v>
      </c>
    </row>
    <row r="68" spans="1:14" ht="15">
      <c r="A68" s="117">
        <v>61</v>
      </c>
      <c r="B68" s="74"/>
      <c r="C68" s="75">
        <v>1</v>
      </c>
      <c r="D68" s="673" t="s">
        <v>813</v>
      </c>
      <c r="E68" s="76"/>
      <c r="F68" s="76"/>
      <c r="G68" s="76"/>
      <c r="H68" s="76"/>
      <c r="I68" s="76"/>
      <c r="J68" s="76"/>
      <c r="K68" s="76"/>
      <c r="L68" s="76"/>
      <c r="M68" s="77"/>
      <c r="N68" s="65"/>
    </row>
    <row r="69" spans="1:14" ht="15">
      <c r="A69" s="117">
        <v>62</v>
      </c>
      <c r="B69" s="124"/>
      <c r="C69" s="125"/>
      <c r="D69" s="670" t="s">
        <v>580</v>
      </c>
      <c r="E69" s="126"/>
      <c r="F69" s="126"/>
      <c r="G69" s="126"/>
      <c r="H69" s="126"/>
      <c r="I69" s="126"/>
      <c r="J69" s="126"/>
      <c r="K69" s="126"/>
      <c r="L69" s="126"/>
      <c r="M69" s="127"/>
      <c r="N69" s="128">
        <f aca="true" t="shared" si="3" ref="N69:N138">SUM(E69:L69)</f>
        <v>0</v>
      </c>
    </row>
    <row r="70" spans="1:14" ht="15">
      <c r="A70" s="117">
        <v>63</v>
      </c>
      <c r="B70" s="54"/>
      <c r="C70" s="59"/>
      <c r="D70" s="671" t="s">
        <v>581</v>
      </c>
      <c r="E70" s="76"/>
      <c r="F70" s="76">
        <v>783</v>
      </c>
      <c r="G70" s="76"/>
      <c r="H70" s="76"/>
      <c r="I70" s="76"/>
      <c r="J70" s="76"/>
      <c r="K70" s="76"/>
      <c r="L70" s="76"/>
      <c r="M70" s="77"/>
      <c r="N70" s="129">
        <f t="shared" si="3"/>
        <v>783</v>
      </c>
    </row>
    <row r="71" spans="1:14" ht="15">
      <c r="A71" s="117">
        <v>64</v>
      </c>
      <c r="B71" s="131"/>
      <c r="C71" s="55"/>
      <c r="D71" s="672" t="s">
        <v>579</v>
      </c>
      <c r="E71" s="57"/>
      <c r="F71" s="57">
        <v>783</v>
      </c>
      <c r="G71" s="57"/>
      <c r="H71" s="57"/>
      <c r="I71" s="57"/>
      <c r="J71" s="57"/>
      <c r="K71" s="57"/>
      <c r="L71" s="57"/>
      <c r="M71" s="78"/>
      <c r="N71" s="65">
        <f t="shared" si="3"/>
        <v>783</v>
      </c>
    </row>
    <row r="72" spans="1:14" s="73" customFormat="1" ht="25.5" customHeight="1">
      <c r="A72" s="117">
        <v>65</v>
      </c>
      <c r="B72" s="74">
        <v>9</v>
      </c>
      <c r="C72" s="75"/>
      <c r="D72" s="677" t="s">
        <v>811</v>
      </c>
      <c r="E72" s="677"/>
      <c r="F72" s="677"/>
      <c r="G72" s="677"/>
      <c r="H72" s="76"/>
      <c r="I72" s="76"/>
      <c r="J72" s="76"/>
      <c r="K72" s="76"/>
      <c r="L72" s="76"/>
      <c r="M72" s="77"/>
      <c r="N72" s="65"/>
    </row>
    <row r="73" spans="1:14" ht="15">
      <c r="A73" s="117">
        <v>66</v>
      </c>
      <c r="B73" s="124"/>
      <c r="C73" s="125"/>
      <c r="D73" s="670" t="s">
        <v>580</v>
      </c>
      <c r="E73" s="126">
        <v>10260</v>
      </c>
      <c r="F73" s="126"/>
      <c r="G73" s="126"/>
      <c r="H73" s="126"/>
      <c r="I73" s="126"/>
      <c r="J73" s="126"/>
      <c r="K73" s="126"/>
      <c r="L73" s="126">
        <v>43070</v>
      </c>
      <c r="M73" s="127">
        <v>20600</v>
      </c>
      <c r="N73" s="128">
        <f t="shared" si="3"/>
        <v>53330</v>
      </c>
    </row>
    <row r="74" spans="1:14" ht="15">
      <c r="A74" s="117">
        <v>67</v>
      </c>
      <c r="B74" s="54"/>
      <c r="C74" s="59"/>
      <c r="D74" s="671" t="s">
        <v>581</v>
      </c>
      <c r="E74" s="76">
        <v>11470</v>
      </c>
      <c r="F74" s="76"/>
      <c r="G74" s="76"/>
      <c r="H74" s="76">
        <v>700</v>
      </c>
      <c r="I74" s="76"/>
      <c r="J74" s="76"/>
      <c r="K74" s="76">
        <v>12784</v>
      </c>
      <c r="L74" s="76">
        <v>55436</v>
      </c>
      <c r="M74" s="77">
        <v>20600</v>
      </c>
      <c r="N74" s="129">
        <f t="shared" si="3"/>
        <v>80390</v>
      </c>
    </row>
    <row r="75" spans="1:14" ht="15">
      <c r="A75" s="117">
        <v>68</v>
      </c>
      <c r="B75" s="132"/>
      <c r="C75" s="133"/>
      <c r="D75" s="674" t="s">
        <v>579</v>
      </c>
      <c r="E75" s="134">
        <v>11470</v>
      </c>
      <c r="F75" s="134"/>
      <c r="G75" s="134"/>
      <c r="H75" s="134">
        <v>700</v>
      </c>
      <c r="I75" s="134"/>
      <c r="J75" s="134"/>
      <c r="K75" s="134">
        <v>12784</v>
      </c>
      <c r="L75" s="134">
        <v>55436</v>
      </c>
      <c r="M75" s="134"/>
      <c r="N75" s="65">
        <f t="shared" si="3"/>
        <v>80390</v>
      </c>
    </row>
    <row r="76" spans="1:14" ht="15">
      <c r="A76" s="117">
        <v>69</v>
      </c>
      <c r="B76" s="132"/>
      <c r="C76" s="6">
        <v>1</v>
      </c>
      <c r="D76" s="673" t="s">
        <v>813</v>
      </c>
      <c r="E76" s="134"/>
      <c r="F76" s="134"/>
      <c r="G76" s="134"/>
      <c r="H76" s="134"/>
      <c r="I76" s="134"/>
      <c r="J76" s="134"/>
      <c r="K76" s="134"/>
      <c r="L76" s="134"/>
      <c r="M76" s="134"/>
      <c r="N76" s="64"/>
    </row>
    <row r="77" spans="1:14" ht="15">
      <c r="A77" s="117">
        <v>70</v>
      </c>
      <c r="B77" s="124"/>
      <c r="C77" s="125"/>
      <c r="D77" s="670" t="s">
        <v>580</v>
      </c>
      <c r="E77" s="126"/>
      <c r="F77" s="126">
        <v>268</v>
      </c>
      <c r="G77" s="126"/>
      <c r="H77" s="126"/>
      <c r="I77" s="126"/>
      <c r="J77" s="126"/>
      <c r="K77" s="126"/>
      <c r="L77" s="126"/>
      <c r="M77" s="127"/>
      <c r="N77" s="128">
        <f>SUM(E77:M77)</f>
        <v>268</v>
      </c>
    </row>
    <row r="78" spans="1:14" ht="15">
      <c r="A78" s="117">
        <v>71</v>
      </c>
      <c r="B78" s="54"/>
      <c r="C78" s="59"/>
      <c r="D78" s="671" t="s">
        <v>581</v>
      </c>
      <c r="E78" s="76"/>
      <c r="F78" s="76">
        <v>1110</v>
      </c>
      <c r="G78" s="76"/>
      <c r="H78" s="76"/>
      <c r="I78" s="76"/>
      <c r="J78" s="76"/>
      <c r="K78" s="76"/>
      <c r="L78" s="76"/>
      <c r="M78" s="77"/>
      <c r="N78" s="129">
        <f>SUM(E78:M78)</f>
        <v>1110</v>
      </c>
    </row>
    <row r="79" spans="1:14" ht="25.5" customHeight="1">
      <c r="A79" s="111">
        <v>72</v>
      </c>
      <c r="B79" s="132"/>
      <c r="C79" s="133"/>
      <c r="D79" s="674" t="s">
        <v>579</v>
      </c>
      <c r="E79" s="134"/>
      <c r="F79" s="134">
        <v>1110</v>
      </c>
      <c r="G79" s="134"/>
      <c r="H79" s="134"/>
      <c r="I79" s="134"/>
      <c r="J79" s="134"/>
      <c r="K79" s="134"/>
      <c r="L79" s="134"/>
      <c r="M79" s="134"/>
      <c r="N79" s="64">
        <f>SUM(E79:M79)</f>
        <v>1110</v>
      </c>
    </row>
    <row r="80" spans="1:14" ht="21.75" customHeight="1">
      <c r="A80" s="387">
        <v>73</v>
      </c>
      <c r="B80" s="72"/>
      <c r="C80" s="135"/>
      <c r="D80" s="135" t="s">
        <v>805</v>
      </c>
      <c r="E80" s="135"/>
      <c r="F80" s="135"/>
      <c r="G80" s="135"/>
      <c r="H80" s="135"/>
      <c r="I80" s="135"/>
      <c r="J80" s="135"/>
      <c r="K80" s="135"/>
      <c r="L80" s="135"/>
      <c r="M80" s="135"/>
      <c r="N80" s="144"/>
    </row>
    <row r="81" spans="1:14" ht="21.75" customHeight="1">
      <c r="A81" s="387">
        <v>74</v>
      </c>
      <c r="B81" s="137"/>
      <c r="C81" s="138"/>
      <c r="D81" s="670" t="s">
        <v>580</v>
      </c>
      <c r="E81" s="139">
        <f>SUM(E73,E69,E65,E61)+E77</f>
        <v>73002</v>
      </c>
      <c r="F81" s="139">
        <f>SUM(F73,F69,F65,F61)+F77</f>
        <v>268</v>
      </c>
      <c r="G81" s="139">
        <f aca="true" t="shared" si="4" ref="G81:M81">SUM(G73,G69,G65,G61)+G77</f>
        <v>0</v>
      </c>
      <c r="H81" s="139">
        <f t="shared" si="4"/>
        <v>0</v>
      </c>
      <c r="I81" s="139">
        <f t="shared" si="4"/>
        <v>0</v>
      </c>
      <c r="J81" s="139">
        <f t="shared" si="4"/>
        <v>0</v>
      </c>
      <c r="K81" s="139">
        <f t="shared" si="4"/>
        <v>0</v>
      </c>
      <c r="L81" s="139">
        <f t="shared" si="4"/>
        <v>563888</v>
      </c>
      <c r="M81" s="138">
        <f t="shared" si="4"/>
        <v>262157</v>
      </c>
      <c r="N81" s="140">
        <f t="shared" si="3"/>
        <v>637158</v>
      </c>
    </row>
    <row r="82" spans="1:14" ht="21.75" customHeight="1">
      <c r="A82" s="387">
        <v>75</v>
      </c>
      <c r="B82" s="72"/>
      <c r="C82" s="53"/>
      <c r="D82" s="671" t="s">
        <v>581</v>
      </c>
      <c r="E82" s="52">
        <f>SUM(E74,E70,E66,E62)+E78</f>
        <v>73883</v>
      </c>
      <c r="F82" s="52">
        <f aca="true" t="shared" si="5" ref="F82:M82">SUM(F74,F70,F66,F62)+F78</f>
        <v>25542</v>
      </c>
      <c r="G82" s="52">
        <f t="shared" si="5"/>
        <v>0</v>
      </c>
      <c r="H82" s="52">
        <f t="shared" si="5"/>
        <v>700</v>
      </c>
      <c r="I82" s="52">
        <f t="shared" si="5"/>
        <v>0</v>
      </c>
      <c r="J82" s="52">
        <f t="shared" si="5"/>
        <v>0</v>
      </c>
      <c r="K82" s="52">
        <f t="shared" si="5"/>
        <v>50235</v>
      </c>
      <c r="L82" s="52">
        <f t="shared" si="5"/>
        <v>642971</v>
      </c>
      <c r="M82" s="53">
        <f t="shared" si="5"/>
        <v>262157</v>
      </c>
      <c r="N82" s="60">
        <f t="shared" si="3"/>
        <v>793331</v>
      </c>
    </row>
    <row r="83" spans="1:14" ht="21.75" customHeight="1">
      <c r="A83" s="387">
        <v>76</v>
      </c>
      <c r="B83" s="72"/>
      <c r="C83" s="141"/>
      <c r="D83" s="675" t="s">
        <v>579</v>
      </c>
      <c r="E83" s="142">
        <f>E79+E75+E71+E67+E63</f>
        <v>74125</v>
      </c>
      <c r="F83" s="142">
        <f aca="true" t="shared" si="6" ref="F83:L83">F79+F75+F71+F67+F63</f>
        <v>25245</v>
      </c>
      <c r="G83" s="142">
        <f t="shared" si="6"/>
        <v>0</v>
      </c>
      <c r="H83" s="142">
        <f t="shared" si="6"/>
        <v>700</v>
      </c>
      <c r="I83" s="142">
        <f t="shared" si="6"/>
        <v>0</v>
      </c>
      <c r="J83" s="142">
        <f t="shared" si="6"/>
        <v>0</v>
      </c>
      <c r="K83" s="142">
        <f t="shared" si="6"/>
        <v>50235</v>
      </c>
      <c r="L83" s="142">
        <f t="shared" si="6"/>
        <v>642971</v>
      </c>
      <c r="M83" s="143"/>
      <c r="N83" s="145">
        <f t="shared" si="3"/>
        <v>793276</v>
      </c>
    </row>
    <row r="84" spans="1:14" ht="27.75" customHeight="1">
      <c r="A84" s="117">
        <v>77</v>
      </c>
      <c r="B84" s="74">
        <v>10</v>
      </c>
      <c r="C84" s="75"/>
      <c r="D84" s="678" t="s">
        <v>726</v>
      </c>
      <c r="E84" s="76"/>
      <c r="F84" s="76"/>
      <c r="G84" s="76"/>
      <c r="H84" s="76"/>
      <c r="I84" s="76"/>
      <c r="J84" s="76"/>
      <c r="K84" s="76"/>
      <c r="L84" s="76"/>
      <c r="M84" s="77"/>
      <c r="N84" s="58"/>
    </row>
    <row r="85" spans="1:14" ht="15">
      <c r="A85" s="117">
        <v>78</v>
      </c>
      <c r="B85" s="124"/>
      <c r="C85" s="125"/>
      <c r="D85" s="670" t="s">
        <v>580</v>
      </c>
      <c r="E85" s="126">
        <v>24000</v>
      </c>
      <c r="F85" s="126"/>
      <c r="G85" s="126"/>
      <c r="H85" s="126"/>
      <c r="I85" s="126"/>
      <c r="J85" s="126"/>
      <c r="K85" s="126"/>
      <c r="L85" s="126">
        <v>138042</v>
      </c>
      <c r="M85" s="127"/>
      <c r="N85" s="128">
        <f t="shared" si="3"/>
        <v>162042</v>
      </c>
    </row>
    <row r="86" spans="1:14" ht="15">
      <c r="A86" s="117">
        <v>79</v>
      </c>
      <c r="B86" s="54"/>
      <c r="C86" s="59"/>
      <c r="D86" s="671" t="s">
        <v>581</v>
      </c>
      <c r="E86" s="76">
        <v>23930</v>
      </c>
      <c r="F86" s="76"/>
      <c r="G86" s="76">
        <v>70</v>
      </c>
      <c r="H86" s="76"/>
      <c r="I86" s="76"/>
      <c r="J86" s="76"/>
      <c r="K86" s="76">
        <v>35840</v>
      </c>
      <c r="L86" s="76">
        <v>188748</v>
      </c>
      <c r="M86" s="77"/>
      <c r="N86" s="129">
        <f t="shared" si="3"/>
        <v>248588</v>
      </c>
    </row>
    <row r="87" spans="1:14" ht="15">
      <c r="A87" s="117">
        <v>80</v>
      </c>
      <c r="B87" s="131"/>
      <c r="C87" s="55"/>
      <c r="D87" s="672" t="s">
        <v>579</v>
      </c>
      <c r="E87" s="57">
        <v>15503</v>
      </c>
      <c r="F87" s="57"/>
      <c r="G87" s="57">
        <v>70</v>
      </c>
      <c r="H87" s="57"/>
      <c r="I87" s="57"/>
      <c r="J87" s="57"/>
      <c r="K87" s="57">
        <v>35840</v>
      </c>
      <c r="L87" s="57">
        <v>188748</v>
      </c>
      <c r="M87" s="78"/>
      <c r="N87" s="65">
        <f t="shared" si="3"/>
        <v>240161</v>
      </c>
    </row>
    <row r="88" spans="1:14" ht="18" customHeight="1">
      <c r="A88" s="117">
        <v>81</v>
      </c>
      <c r="B88" s="74"/>
      <c r="C88" s="75">
        <v>1</v>
      </c>
      <c r="D88" s="1485" t="s">
        <v>767</v>
      </c>
      <c r="E88" s="1485"/>
      <c r="F88" s="1485"/>
      <c r="G88" s="1485"/>
      <c r="H88" s="1485"/>
      <c r="I88" s="76"/>
      <c r="J88" s="76"/>
      <c r="K88" s="76"/>
      <c r="L88" s="76"/>
      <c r="M88" s="77"/>
      <c r="N88" s="65"/>
    </row>
    <row r="89" spans="1:14" ht="15">
      <c r="A89" s="117">
        <v>82</v>
      </c>
      <c r="B89" s="124"/>
      <c r="C89" s="125"/>
      <c r="D89" s="670" t="s">
        <v>580</v>
      </c>
      <c r="E89" s="126"/>
      <c r="F89" s="126">
        <v>13236</v>
      </c>
      <c r="G89" s="126"/>
      <c r="H89" s="126"/>
      <c r="I89" s="126"/>
      <c r="J89" s="126"/>
      <c r="K89" s="126"/>
      <c r="L89" s="126"/>
      <c r="M89" s="127"/>
      <c r="N89" s="128">
        <f t="shared" si="3"/>
        <v>13236</v>
      </c>
    </row>
    <row r="90" spans="1:14" ht="15">
      <c r="A90" s="117">
        <v>83</v>
      </c>
      <c r="B90" s="54"/>
      <c r="C90" s="59"/>
      <c r="D90" s="671" t="s">
        <v>581</v>
      </c>
      <c r="E90" s="76"/>
      <c r="F90" s="76">
        <v>28686</v>
      </c>
      <c r="G90" s="76"/>
      <c r="H90" s="76"/>
      <c r="I90" s="76"/>
      <c r="J90" s="76"/>
      <c r="K90" s="76">
        <v>4880</v>
      </c>
      <c r="L90" s="76"/>
      <c r="M90" s="77"/>
      <c r="N90" s="129">
        <f t="shared" si="3"/>
        <v>33566</v>
      </c>
    </row>
    <row r="91" spans="1:14" ht="15">
      <c r="A91" s="117">
        <v>84</v>
      </c>
      <c r="B91" s="131"/>
      <c r="C91" s="55"/>
      <c r="D91" s="672" t="s">
        <v>579</v>
      </c>
      <c r="E91" s="57"/>
      <c r="F91" s="57">
        <v>28686</v>
      </c>
      <c r="G91" s="57"/>
      <c r="H91" s="57"/>
      <c r="I91" s="57"/>
      <c r="J91" s="57"/>
      <c r="K91" s="57">
        <v>4880</v>
      </c>
      <c r="L91" s="57"/>
      <c r="M91" s="78"/>
      <c r="N91" s="65">
        <f t="shared" si="3"/>
        <v>33566</v>
      </c>
    </row>
    <row r="92" spans="1:14" ht="18" customHeight="1">
      <c r="A92" s="117">
        <v>85</v>
      </c>
      <c r="B92" s="74"/>
      <c r="C92" s="75">
        <v>2</v>
      </c>
      <c r="D92" s="1485" t="s">
        <v>4</v>
      </c>
      <c r="E92" s="1485"/>
      <c r="F92" s="1485"/>
      <c r="G92" s="1485"/>
      <c r="H92" s="1485"/>
      <c r="I92" s="76"/>
      <c r="J92" s="76"/>
      <c r="K92" s="76"/>
      <c r="L92" s="76"/>
      <c r="M92" s="77"/>
      <c r="N92" s="65"/>
    </row>
    <row r="93" spans="1:14" ht="15">
      <c r="A93" s="117">
        <v>86</v>
      </c>
      <c r="B93" s="124"/>
      <c r="C93" s="125"/>
      <c r="D93" s="670" t="s">
        <v>580</v>
      </c>
      <c r="E93" s="126"/>
      <c r="F93" s="126"/>
      <c r="G93" s="126"/>
      <c r="H93" s="126"/>
      <c r="I93" s="126"/>
      <c r="J93" s="126"/>
      <c r="K93" s="126"/>
      <c r="L93" s="126"/>
      <c r="M93" s="127"/>
      <c r="N93" s="128">
        <f>SUM(E93:L93)</f>
        <v>0</v>
      </c>
    </row>
    <row r="94" spans="1:14" ht="15">
      <c r="A94" s="117">
        <v>87</v>
      </c>
      <c r="B94" s="54"/>
      <c r="C94" s="59"/>
      <c r="D94" s="671" t="s">
        <v>581</v>
      </c>
      <c r="E94" s="76"/>
      <c r="F94" s="76">
        <v>3382</v>
      </c>
      <c r="G94" s="76"/>
      <c r="H94" s="76"/>
      <c r="I94" s="76"/>
      <c r="J94" s="76"/>
      <c r="K94" s="76">
        <v>1128</v>
      </c>
      <c r="L94" s="76"/>
      <c r="M94" s="77"/>
      <c r="N94" s="129">
        <f>SUM(E94:L94)</f>
        <v>4510</v>
      </c>
    </row>
    <row r="95" spans="1:14" ht="15">
      <c r="A95" s="117">
        <v>88</v>
      </c>
      <c r="B95" s="131"/>
      <c r="C95" s="55"/>
      <c r="D95" s="672" t="s">
        <v>579</v>
      </c>
      <c r="E95" s="57"/>
      <c r="F95" s="57">
        <v>2966</v>
      </c>
      <c r="G95" s="57"/>
      <c r="H95" s="57"/>
      <c r="I95" s="57"/>
      <c r="J95" s="57"/>
      <c r="K95" s="57">
        <v>1128</v>
      </c>
      <c r="L95" s="57"/>
      <c r="M95" s="78"/>
      <c r="N95" s="65">
        <f>SUM(E95:L95)</f>
        <v>4094</v>
      </c>
    </row>
    <row r="96" spans="1:14" ht="27.75" customHeight="1">
      <c r="A96" s="117">
        <v>89</v>
      </c>
      <c r="B96" s="74">
        <v>11</v>
      </c>
      <c r="C96" s="75"/>
      <c r="D96" s="678" t="s">
        <v>541</v>
      </c>
      <c r="E96" s="76"/>
      <c r="F96" s="76"/>
      <c r="G96" s="76"/>
      <c r="H96" s="76"/>
      <c r="I96" s="76"/>
      <c r="J96" s="76"/>
      <c r="K96" s="76"/>
      <c r="L96" s="76"/>
      <c r="M96" s="77"/>
      <c r="N96" s="58"/>
    </row>
    <row r="97" spans="1:14" ht="15">
      <c r="A97" s="117">
        <v>90</v>
      </c>
      <c r="B97" s="124"/>
      <c r="C97" s="125"/>
      <c r="D97" s="670" t="s">
        <v>580</v>
      </c>
      <c r="E97" s="126">
        <v>7160</v>
      </c>
      <c r="F97" s="126">
        <v>4000</v>
      </c>
      <c r="G97" s="126"/>
      <c r="H97" s="126"/>
      <c r="I97" s="126"/>
      <c r="J97" s="126"/>
      <c r="K97" s="126"/>
      <c r="L97" s="126">
        <v>71807</v>
      </c>
      <c r="M97" s="127"/>
      <c r="N97" s="128">
        <f t="shared" si="3"/>
        <v>82967</v>
      </c>
    </row>
    <row r="98" spans="1:14" ht="15">
      <c r="A98" s="117">
        <v>91</v>
      </c>
      <c r="B98" s="54"/>
      <c r="C98" s="59"/>
      <c r="D98" s="671" t="s">
        <v>581</v>
      </c>
      <c r="E98" s="76">
        <v>14326</v>
      </c>
      <c r="F98" s="76">
        <v>11862</v>
      </c>
      <c r="G98" s="76">
        <v>63</v>
      </c>
      <c r="H98" s="76"/>
      <c r="I98" s="76"/>
      <c r="J98" s="76"/>
      <c r="K98" s="76">
        <v>3689</v>
      </c>
      <c r="L98" s="76">
        <v>84611</v>
      </c>
      <c r="M98" s="77"/>
      <c r="N98" s="129">
        <f t="shared" si="3"/>
        <v>114551</v>
      </c>
    </row>
    <row r="99" spans="1:14" ht="15">
      <c r="A99" s="117">
        <v>92</v>
      </c>
      <c r="B99" s="131"/>
      <c r="C99" s="55"/>
      <c r="D99" s="672" t="s">
        <v>579</v>
      </c>
      <c r="E99" s="57">
        <v>14316</v>
      </c>
      <c r="F99" s="57">
        <v>11862</v>
      </c>
      <c r="G99" s="57">
        <v>60</v>
      </c>
      <c r="H99" s="57"/>
      <c r="I99" s="57"/>
      <c r="J99" s="57"/>
      <c r="K99" s="57">
        <v>3689</v>
      </c>
      <c r="L99" s="57">
        <v>84611</v>
      </c>
      <c r="M99" s="57"/>
      <c r="N99" s="65">
        <f t="shared" si="3"/>
        <v>114538</v>
      </c>
    </row>
    <row r="100" spans="1:14" ht="18" customHeight="1">
      <c r="A100" s="117">
        <v>93</v>
      </c>
      <c r="B100" s="74"/>
      <c r="C100" s="75">
        <v>1</v>
      </c>
      <c r="D100" s="1485" t="s">
        <v>767</v>
      </c>
      <c r="E100" s="1485"/>
      <c r="F100" s="1485"/>
      <c r="G100" s="1485"/>
      <c r="H100" s="1485"/>
      <c r="I100" s="76"/>
      <c r="J100" s="76"/>
      <c r="K100" s="76"/>
      <c r="L100" s="76"/>
      <c r="M100" s="77"/>
      <c r="N100" s="65"/>
    </row>
    <row r="101" spans="1:14" ht="15">
      <c r="A101" s="117">
        <v>94</v>
      </c>
      <c r="B101" s="124"/>
      <c r="C101" s="125"/>
      <c r="D101" s="670" t="s">
        <v>580</v>
      </c>
      <c r="E101" s="126"/>
      <c r="F101" s="126">
        <v>8200</v>
      </c>
      <c r="G101" s="126"/>
      <c r="H101" s="126"/>
      <c r="I101" s="126"/>
      <c r="J101" s="126"/>
      <c r="K101" s="126"/>
      <c r="L101" s="126"/>
      <c r="M101" s="127"/>
      <c r="N101" s="128">
        <f t="shared" si="3"/>
        <v>8200</v>
      </c>
    </row>
    <row r="102" spans="1:14" ht="15">
      <c r="A102" s="117">
        <v>95</v>
      </c>
      <c r="B102" s="54"/>
      <c r="C102" s="59"/>
      <c r="D102" s="671" t="s">
        <v>581</v>
      </c>
      <c r="E102" s="76"/>
      <c r="F102" s="76">
        <v>11225</v>
      </c>
      <c r="G102" s="76"/>
      <c r="H102" s="76"/>
      <c r="I102" s="76"/>
      <c r="J102" s="76"/>
      <c r="K102" s="76">
        <v>75</v>
      </c>
      <c r="L102" s="76"/>
      <c r="M102" s="77"/>
      <c r="N102" s="129">
        <f t="shared" si="3"/>
        <v>11300</v>
      </c>
    </row>
    <row r="103" spans="1:14" ht="15">
      <c r="A103" s="117">
        <v>96</v>
      </c>
      <c r="B103" s="131"/>
      <c r="C103" s="55"/>
      <c r="D103" s="672" t="s">
        <v>579</v>
      </c>
      <c r="E103" s="57"/>
      <c r="F103" s="57">
        <v>11225</v>
      </c>
      <c r="G103" s="57"/>
      <c r="H103" s="57"/>
      <c r="I103" s="57"/>
      <c r="J103" s="57"/>
      <c r="K103" s="57">
        <v>75</v>
      </c>
      <c r="L103" s="57"/>
      <c r="M103" s="78"/>
      <c r="N103" s="65">
        <f t="shared" si="3"/>
        <v>11300</v>
      </c>
    </row>
    <row r="104" spans="1:14" ht="18" customHeight="1">
      <c r="A104" s="117">
        <v>97</v>
      </c>
      <c r="B104" s="74"/>
      <c r="C104" s="75">
        <v>2</v>
      </c>
      <c r="D104" s="1485" t="s">
        <v>5</v>
      </c>
      <c r="E104" s="1485"/>
      <c r="F104" s="1485"/>
      <c r="G104" s="1485"/>
      <c r="H104" s="1485"/>
      <c r="I104" s="76"/>
      <c r="J104" s="76"/>
      <c r="K104" s="76"/>
      <c r="L104" s="76"/>
      <c r="M104" s="77"/>
      <c r="N104" s="65"/>
    </row>
    <row r="105" spans="1:14" ht="15">
      <c r="A105" s="117">
        <v>98</v>
      </c>
      <c r="B105" s="124"/>
      <c r="C105" s="125"/>
      <c r="D105" s="670" t="s">
        <v>580</v>
      </c>
      <c r="E105" s="126"/>
      <c r="F105" s="126"/>
      <c r="G105" s="126"/>
      <c r="H105" s="126"/>
      <c r="I105" s="126"/>
      <c r="J105" s="126"/>
      <c r="K105" s="126"/>
      <c r="L105" s="126"/>
      <c r="M105" s="127"/>
      <c r="N105" s="128">
        <f>SUM(E105:L105)</f>
        <v>0</v>
      </c>
    </row>
    <row r="106" spans="1:14" ht="15">
      <c r="A106" s="117">
        <v>99</v>
      </c>
      <c r="B106" s="54"/>
      <c r="C106" s="59"/>
      <c r="D106" s="671" t="s">
        <v>581</v>
      </c>
      <c r="E106" s="76"/>
      <c r="F106" s="76"/>
      <c r="G106" s="76"/>
      <c r="H106" s="76"/>
      <c r="I106" s="76"/>
      <c r="J106" s="76"/>
      <c r="K106" s="76">
        <v>996</v>
      </c>
      <c r="L106" s="76"/>
      <c r="M106" s="77"/>
      <c r="N106" s="129">
        <f>SUM(E106:L106)</f>
        <v>996</v>
      </c>
    </row>
    <row r="107" spans="1:14" ht="15">
      <c r="A107" s="117">
        <v>100</v>
      </c>
      <c r="B107" s="131"/>
      <c r="C107" s="55"/>
      <c r="D107" s="672" t="s">
        <v>579</v>
      </c>
      <c r="E107" s="57"/>
      <c r="F107" s="57"/>
      <c r="G107" s="57"/>
      <c r="H107" s="57"/>
      <c r="I107" s="57"/>
      <c r="J107" s="57"/>
      <c r="K107" s="57">
        <v>996</v>
      </c>
      <c r="L107" s="57"/>
      <c r="M107" s="78"/>
      <c r="N107" s="65">
        <f>SUM(E107:L107)</f>
        <v>996</v>
      </c>
    </row>
    <row r="108" spans="1:14" ht="27.75" customHeight="1">
      <c r="A108" s="117">
        <v>101</v>
      </c>
      <c r="B108" s="74">
        <v>12</v>
      </c>
      <c r="C108" s="75"/>
      <c r="D108" s="678" t="s">
        <v>809</v>
      </c>
      <c r="E108" s="76"/>
      <c r="F108" s="76"/>
      <c r="G108" s="76"/>
      <c r="H108" s="76"/>
      <c r="I108" s="76"/>
      <c r="J108" s="76"/>
      <c r="K108" s="76"/>
      <c r="L108" s="76"/>
      <c r="M108" s="77"/>
      <c r="N108" s="58"/>
    </row>
    <row r="109" spans="1:14" ht="15">
      <c r="A109" s="117">
        <v>102</v>
      </c>
      <c r="B109" s="124"/>
      <c r="C109" s="125"/>
      <c r="D109" s="670" t="s">
        <v>580</v>
      </c>
      <c r="E109" s="126">
        <v>20200</v>
      </c>
      <c r="F109" s="126"/>
      <c r="G109" s="126"/>
      <c r="H109" s="126"/>
      <c r="I109" s="126"/>
      <c r="J109" s="126"/>
      <c r="K109" s="126"/>
      <c r="L109" s="126">
        <v>344347</v>
      </c>
      <c r="M109" s="127">
        <v>277028</v>
      </c>
      <c r="N109" s="128">
        <f t="shared" si="3"/>
        <v>364547</v>
      </c>
    </row>
    <row r="110" spans="1:14" ht="15">
      <c r="A110" s="117">
        <v>103</v>
      </c>
      <c r="B110" s="54"/>
      <c r="C110" s="59"/>
      <c r="D110" s="671" t="s">
        <v>581</v>
      </c>
      <c r="E110" s="76">
        <v>41515</v>
      </c>
      <c r="F110" s="76">
        <v>3285</v>
      </c>
      <c r="G110" s="76">
        <v>5578</v>
      </c>
      <c r="H110" s="76"/>
      <c r="I110" s="76"/>
      <c r="J110" s="76">
        <v>635</v>
      </c>
      <c r="K110" s="76">
        <v>7426</v>
      </c>
      <c r="L110" s="76">
        <v>355548</v>
      </c>
      <c r="M110" s="77">
        <v>277028</v>
      </c>
      <c r="N110" s="129">
        <f t="shared" si="3"/>
        <v>413987</v>
      </c>
    </row>
    <row r="111" spans="1:14" ht="15">
      <c r="A111" s="117">
        <v>104</v>
      </c>
      <c r="B111" s="131"/>
      <c r="C111" s="55"/>
      <c r="D111" s="672" t="s">
        <v>579</v>
      </c>
      <c r="E111" s="57">
        <v>41514</v>
      </c>
      <c r="F111" s="57">
        <v>3283</v>
      </c>
      <c r="G111" s="57">
        <v>5548</v>
      </c>
      <c r="H111" s="57"/>
      <c r="I111" s="57"/>
      <c r="J111" s="57">
        <v>635</v>
      </c>
      <c r="K111" s="57">
        <v>7426</v>
      </c>
      <c r="L111" s="57">
        <v>355548</v>
      </c>
      <c r="M111" s="57"/>
      <c r="N111" s="65">
        <f t="shared" si="3"/>
        <v>413954</v>
      </c>
    </row>
    <row r="112" spans="1:14" ht="19.5" customHeight="1">
      <c r="A112" s="117">
        <v>105</v>
      </c>
      <c r="B112" s="74"/>
      <c r="C112" s="75">
        <v>1</v>
      </c>
      <c r="D112" s="1485" t="s">
        <v>516</v>
      </c>
      <c r="E112" s="1485"/>
      <c r="F112" s="1485"/>
      <c r="G112" s="1485"/>
      <c r="H112" s="1485"/>
      <c r="I112" s="76"/>
      <c r="J112" s="76"/>
      <c r="K112" s="76"/>
      <c r="L112" s="76"/>
      <c r="M112" s="77"/>
      <c r="N112" s="65"/>
    </row>
    <row r="113" spans="1:14" ht="15">
      <c r="A113" s="117">
        <v>106</v>
      </c>
      <c r="B113" s="124"/>
      <c r="C113" s="125"/>
      <c r="D113" s="670" t="s">
        <v>580</v>
      </c>
      <c r="E113" s="126"/>
      <c r="F113" s="126"/>
      <c r="G113" s="126"/>
      <c r="H113" s="126"/>
      <c r="I113" s="126"/>
      <c r="J113" s="126"/>
      <c r="K113" s="126"/>
      <c r="L113" s="126"/>
      <c r="M113" s="127"/>
      <c r="N113" s="128">
        <f t="shared" si="3"/>
        <v>0</v>
      </c>
    </row>
    <row r="114" spans="1:14" ht="15">
      <c r="A114" s="117">
        <v>107</v>
      </c>
      <c r="B114" s="54"/>
      <c r="C114" s="59"/>
      <c r="D114" s="671" t="s">
        <v>581</v>
      </c>
      <c r="E114" s="76"/>
      <c r="F114" s="76"/>
      <c r="G114" s="76"/>
      <c r="H114" s="76"/>
      <c r="I114" s="76"/>
      <c r="J114" s="76"/>
      <c r="K114" s="76"/>
      <c r="L114" s="76"/>
      <c r="M114" s="77"/>
      <c r="N114" s="129">
        <f t="shared" si="3"/>
        <v>0</v>
      </c>
    </row>
    <row r="115" spans="1:14" ht="15">
      <c r="A115" s="117">
        <v>108</v>
      </c>
      <c r="B115" s="131"/>
      <c r="C115" s="55"/>
      <c r="D115" s="672" t="s">
        <v>579</v>
      </c>
      <c r="E115" s="57"/>
      <c r="F115" s="57"/>
      <c r="G115" s="57"/>
      <c r="H115" s="57"/>
      <c r="I115" s="57"/>
      <c r="J115" s="57"/>
      <c r="K115" s="57"/>
      <c r="L115" s="57"/>
      <c r="M115" s="78"/>
      <c r="N115" s="65">
        <f t="shared" si="3"/>
        <v>0</v>
      </c>
    </row>
    <row r="116" spans="1:14" ht="24" customHeight="1">
      <c r="A116" s="117">
        <v>109</v>
      </c>
      <c r="B116" s="74"/>
      <c r="C116" s="75">
        <v>2</v>
      </c>
      <c r="D116" s="1485" t="s">
        <v>813</v>
      </c>
      <c r="E116" s="1485"/>
      <c r="F116" s="1485"/>
      <c r="G116" s="1485"/>
      <c r="H116" s="1485"/>
      <c r="I116" s="76"/>
      <c r="J116" s="76"/>
      <c r="K116" s="76"/>
      <c r="L116" s="76"/>
      <c r="M116" s="77"/>
      <c r="N116" s="65"/>
    </row>
    <row r="117" spans="1:14" ht="15">
      <c r="A117" s="117">
        <v>110</v>
      </c>
      <c r="B117" s="124"/>
      <c r="C117" s="125"/>
      <c r="D117" s="670" t="s">
        <v>580</v>
      </c>
      <c r="E117" s="126"/>
      <c r="F117" s="126">
        <v>1258</v>
      </c>
      <c r="G117" s="126"/>
      <c r="H117" s="126"/>
      <c r="I117" s="126"/>
      <c r="J117" s="126"/>
      <c r="K117" s="126"/>
      <c r="L117" s="126"/>
      <c r="M117" s="127"/>
      <c r="N117" s="128">
        <f t="shared" si="3"/>
        <v>1258</v>
      </c>
    </row>
    <row r="118" spans="1:14" ht="15">
      <c r="A118" s="117">
        <v>111</v>
      </c>
      <c r="B118" s="54"/>
      <c r="C118" s="59"/>
      <c r="D118" s="671" t="s">
        <v>581</v>
      </c>
      <c r="E118" s="76"/>
      <c r="F118" s="76">
        <v>9209</v>
      </c>
      <c r="G118" s="76"/>
      <c r="H118" s="76"/>
      <c r="I118" s="76"/>
      <c r="J118" s="76"/>
      <c r="K118" s="76">
        <v>88</v>
      </c>
      <c r="L118" s="76"/>
      <c r="M118" s="77"/>
      <c r="N118" s="129">
        <f t="shared" si="3"/>
        <v>9297</v>
      </c>
    </row>
    <row r="119" spans="1:14" ht="15">
      <c r="A119" s="117">
        <v>112</v>
      </c>
      <c r="B119" s="131"/>
      <c r="C119" s="55"/>
      <c r="D119" s="672" t="s">
        <v>579</v>
      </c>
      <c r="E119" s="57"/>
      <c r="F119" s="57">
        <v>9175</v>
      </c>
      <c r="G119" s="57"/>
      <c r="H119" s="57"/>
      <c r="I119" s="57"/>
      <c r="J119" s="57"/>
      <c r="K119" s="57">
        <v>88</v>
      </c>
      <c r="L119" s="57"/>
      <c r="M119" s="78"/>
      <c r="N119" s="65">
        <f t="shared" si="3"/>
        <v>9263</v>
      </c>
    </row>
    <row r="120" spans="1:14" ht="30" customHeight="1">
      <c r="A120" s="117">
        <v>113</v>
      </c>
      <c r="B120" s="74">
        <v>13</v>
      </c>
      <c r="C120" s="75"/>
      <c r="D120" s="678" t="s">
        <v>810</v>
      </c>
      <c r="E120" s="76"/>
      <c r="F120" s="76"/>
      <c r="G120" s="76"/>
      <c r="H120" s="76"/>
      <c r="I120" s="76"/>
      <c r="J120" s="76"/>
      <c r="K120" s="76"/>
      <c r="L120" s="76"/>
      <c r="M120" s="77"/>
      <c r="N120" s="58"/>
    </row>
    <row r="121" spans="1:14" ht="15">
      <c r="A121" s="117">
        <v>114</v>
      </c>
      <c r="B121" s="124"/>
      <c r="C121" s="125"/>
      <c r="D121" s="670" t="s">
        <v>580</v>
      </c>
      <c r="E121" s="126">
        <v>194000</v>
      </c>
      <c r="F121" s="126"/>
      <c r="G121" s="126"/>
      <c r="H121" s="126"/>
      <c r="I121" s="126"/>
      <c r="J121" s="126"/>
      <c r="K121" s="126"/>
      <c r="L121" s="126">
        <v>125730</v>
      </c>
      <c r="M121" s="127">
        <v>112700</v>
      </c>
      <c r="N121" s="128">
        <f t="shared" si="3"/>
        <v>319730</v>
      </c>
    </row>
    <row r="122" spans="1:14" ht="15">
      <c r="A122" s="117">
        <v>115</v>
      </c>
      <c r="B122" s="54"/>
      <c r="C122" s="59"/>
      <c r="D122" s="671" t="s">
        <v>581</v>
      </c>
      <c r="E122" s="76">
        <v>251527</v>
      </c>
      <c r="F122" s="76">
        <v>8037</v>
      </c>
      <c r="G122" s="76">
        <v>170</v>
      </c>
      <c r="H122" s="76"/>
      <c r="I122" s="76"/>
      <c r="J122" s="76"/>
      <c r="K122" s="76">
        <v>29894</v>
      </c>
      <c r="L122" s="76">
        <v>132458</v>
      </c>
      <c r="M122" s="77">
        <v>112700</v>
      </c>
      <c r="N122" s="129">
        <f t="shared" si="3"/>
        <v>422086</v>
      </c>
    </row>
    <row r="123" spans="1:14" ht="15">
      <c r="A123" s="117">
        <v>116</v>
      </c>
      <c r="B123" s="131"/>
      <c r="C123" s="55"/>
      <c r="D123" s="672" t="s">
        <v>579</v>
      </c>
      <c r="E123" s="57">
        <v>251424</v>
      </c>
      <c r="F123" s="57">
        <v>8037</v>
      </c>
      <c r="G123" s="57">
        <v>170</v>
      </c>
      <c r="H123" s="57"/>
      <c r="I123" s="57"/>
      <c r="J123" s="57"/>
      <c r="K123" s="57">
        <v>29894</v>
      </c>
      <c r="L123" s="57">
        <v>132458</v>
      </c>
      <c r="M123" s="78"/>
      <c r="N123" s="65">
        <f t="shared" si="3"/>
        <v>421983</v>
      </c>
    </row>
    <row r="124" spans="1:14" ht="24" customHeight="1">
      <c r="A124" s="117">
        <v>117</v>
      </c>
      <c r="B124" s="74"/>
      <c r="C124" s="75">
        <v>1</v>
      </c>
      <c r="D124" s="1485" t="s">
        <v>517</v>
      </c>
      <c r="E124" s="1485"/>
      <c r="F124" s="1485"/>
      <c r="G124" s="1485"/>
      <c r="H124" s="1485"/>
      <c r="I124" s="76"/>
      <c r="J124" s="76"/>
      <c r="K124" s="76"/>
      <c r="L124" s="76"/>
      <c r="M124" s="77"/>
      <c r="N124" s="65"/>
    </row>
    <row r="125" spans="1:14" ht="15">
      <c r="A125" s="117">
        <v>118</v>
      </c>
      <c r="B125" s="124"/>
      <c r="C125" s="125"/>
      <c r="D125" s="670" t="s">
        <v>580</v>
      </c>
      <c r="E125" s="126"/>
      <c r="F125" s="126"/>
      <c r="G125" s="126"/>
      <c r="H125" s="126"/>
      <c r="I125" s="126"/>
      <c r="J125" s="126"/>
      <c r="K125" s="126"/>
      <c r="L125" s="126"/>
      <c r="M125" s="127"/>
      <c r="N125" s="128">
        <f t="shared" si="3"/>
        <v>0</v>
      </c>
    </row>
    <row r="126" spans="1:14" ht="15">
      <c r="A126" s="117">
        <v>119</v>
      </c>
      <c r="B126" s="54"/>
      <c r="C126" s="59"/>
      <c r="D126" s="671" t="s">
        <v>581</v>
      </c>
      <c r="E126" s="76"/>
      <c r="F126" s="76"/>
      <c r="G126" s="76"/>
      <c r="H126" s="76"/>
      <c r="I126" s="76"/>
      <c r="J126" s="76"/>
      <c r="K126" s="76"/>
      <c r="L126" s="76"/>
      <c r="M126" s="77"/>
      <c r="N126" s="129">
        <f t="shared" si="3"/>
        <v>0</v>
      </c>
    </row>
    <row r="127" spans="1:14" ht="15">
      <c r="A127" s="117">
        <v>120</v>
      </c>
      <c r="B127" s="131"/>
      <c r="C127" s="55"/>
      <c r="D127" s="672" t="s">
        <v>579</v>
      </c>
      <c r="E127" s="57"/>
      <c r="F127" s="57"/>
      <c r="G127" s="57"/>
      <c r="H127" s="57"/>
      <c r="I127" s="57"/>
      <c r="J127" s="57"/>
      <c r="K127" s="57"/>
      <c r="L127" s="57"/>
      <c r="M127" s="78"/>
      <c r="N127" s="65">
        <f t="shared" si="3"/>
        <v>0</v>
      </c>
    </row>
    <row r="128" spans="1:14" ht="21.75" customHeight="1">
      <c r="A128" s="117">
        <v>121</v>
      </c>
      <c r="B128" s="74"/>
      <c r="C128" s="75">
        <v>2</v>
      </c>
      <c r="D128" s="1485" t="s">
        <v>813</v>
      </c>
      <c r="E128" s="1485"/>
      <c r="F128" s="1485"/>
      <c r="G128" s="1485"/>
      <c r="H128" s="1485"/>
      <c r="I128" s="76"/>
      <c r="J128" s="76"/>
      <c r="K128" s="76"/>
      <c r="L128" s="76"/>
      <c r="M128" s="77"/>
      <c r="N128" s="65"/>
    </row>
    <row r="129" spans="1:14" ht="15">
      <c r="A129" s="117">
        <v>122</v>
      </c>
      <c r="B129" s="124"/>
      <c r="C129" s="125"/>
      <c r="D129" s="670" t="s">
        <v>580</v>
      </c>
      <c r="E129" s="126"/>
      <c r="F129" s="126">
        <v>30610</v>
      </c>
      <c r="G129" s="126"/>
      <c r="H129" s="126"/>
      <c r="I129" s="126"/>
      <c r="J129" s="126"/>
      <c r="K129" s="126"/>
      <c r="L129" s="126"/>
      <c r="M129" s="127"/>
      <c r="N129" s="128">
        <f t="shared" si="3"/>
        <v>30610</v>
      </c>
    </row>
    <row r="130" spans="1:14" ht="15">
      <c r="A130" s="117">
        <v>123</v>
      </c>
      <c r="B130" s="54"/>
      <c r="C130" s="59"/>
      <c r="D130" s="671" t="s">
        <v>581</v>
      </c>
      <c r="E130" s="76"/>
      <c r="F130" s="76">
        <v>30610</v>
      </c>
      <c r="G130" s="76"/>
      <c r="H130" s="76"/>
      <c r="I130" s="76"/>
      <c r="J130" s="76"/>
      <c r="K130" s="76"/>
      <c r="L130" s="76"/>
      <c r="M130" s="77"/>
      <c r="N130" s="129">
        <f t="shared" si="3"/>
        <v>30610</v>
      </c>
    </row>
    <row r="131" spans="1:14" ht="15">
      <c r="A131" s="117">
        <v>124</v>
      </c>
      <c r="B131" s="131"/>
      <c r="C131" s="55"/>
      <c r="D131" s="672" t="s">
        <v>579</v>
      </c>
      <c r="E131" s="57"/>
      <c r="F131" s="57">
        <v>30610</v>
      </c>
      <c r="G131" s="57"/>
      <c r="H131" s="57"/>
      <c r="I131" s="57"/>
      <c r="J131" s="57"/>
      <c r="K131" s="57"/>
      <c r="L131" s="57"/>
      <c r="M131" s="78"/>
      <c r="N131" s="65">
        <f t="shared" si="3"/>
        <v>30610</v>
      </c>
    </row>
    <row r="132" spans="1:14" ht="30" customHeight="1">
      <c r="A132" s="117">
        <v>125</v>
      </c>
      <c r="B132" s="74">
        <v>14</v>
      </c>
      <c r="C132" s="75"/>
      <c r="D132" s="1485" t="s">
        <v>542</v>
      </c>
      <c r="E132" s="1485"/>
      <c r="F132" s="1485"/>
      <c r="G132" s="76"/>
      <c r="H132" s="76"/>
      <c r="I132" s="76"/>
      <c r="J132" s="76"/>
      <c r="K132" s="76"/>
      <c r="L132" s="76"/>
      <c r="M132" s="77"/>
      <c r="N132" s="58"/>
    </row>
    <row r="133" spans="1:14" ht="15">
      <c r="A133" s="117">
        <v>126</v>
      </c>
      <c r="B133" s="124"/>
      <c r="C133" s="125"/>
      <c r="D133" s="670" t="s">
        <v>580</v>
      </c>
      <c r="E133" s="126">
        <v>26298</v>
      </c>
      <c r="F133" s="126"/>
      <c r="G133" s="126">
        <v>4000</v>
      </c>
      <c r="H133" s="126"/>
      <c r="I133" s="126"/>
      <c r="J133" s="126"/>
      <c r="K133" s="126"/>
      <c r="L133" s="126">
        <v>60347</v>
      </c>
      <c r="M133" s="127">
        <v>43500</v>
      </c>
      <c r="N133" s="128">
        <f t="shared" si="3"/>
        <v>90645</v>
      </c>
    </row>
    <row r="134" spans="1:14" ht="15">
      <c r="A134" s="117">
        <v>127</v>
      </c>
      <c r="B134" s="54"/>
      <c r="C134" s="59"/>
      <c r="D134" s="671" t="s">
        <v>581</v>
      </c>
      <c r="E134" s="76">
        <v>29892</v>
      </c>
      <c r="F134" s="76">
        <v>5469</v>
      </c>
      <c r="G134" s="76">
        <v>4967</v>
      </c>
      <c r="H134" s="76"/>
      <c r="I134" s="76"/>
      <c r="J134" s="76"/>
      <c r="K134" s="76">
        <v>8992</v>
      </c>
      <c r="L134" s="76">
        <v>61065</v>
      </c>
      <c r="M134" s="77">
        <v>43500</v>
      </c>
      <c r="N134" s="129">
        <f t="shared" si="3"/>
        <v>110385</v>
      </c>
    </row>
    <row r="135" spans="1:14" ht="15">
      <c r="A135" s="117">
        <v>128</v>
      </c>
      <c r="B135" s="131"/>
      <c r="C135" s="55"/>
      <c r="D135" s="672" t="s">
        <v>579</v>
      </c>
      <c r="E135" s="57">
        <v>29893</v>
      </c>
      <c r="F135" s="57">
        <v>5469</v>
      </c>
      <c r="G135" s="57">
        <v>4965</v>
      </c>
      <c r="H135" s="57"/>
      <c r="I135" s="57"/>
      <c r="J135" s="57"/>
      <c r="K135" s="57">
        <v>8992</v>
      </c>
      <c r="L135" s="57">
        <v>61065</v>
      </c>
      <c r="M135" s="57"/>
      <c r="N135" s="65">
        <f t="shared" si="3"/>
        <v>110384</v>
      </c>
    </row>
    <row r="136" spans="1:14" ht="21.75" customHeight="1">
      <c r="A136" s="117">
        <v>129</v>
      </c>
      <c r="B136" s="74"/>
      <c r="C136" s="75">
        <v>1</v>
      </c>
      <c r="D136" s="1485" t="s">
        <v>813</v>
      </c>
      <c r="E136" s="1485"/>
      <c r="F136" s="1485"/>
      <c r="G136" s="1485"/>
      <c r="H136" s="1485"/>
      <c r="I136" s="76"/>
      <c r="J136" s="76"/>
      <c r="K136" s="76"/>
      <c r="L136" s="76"/>
      <c r="M136" s="77"/>
      <c r="N136" s="65"/>
    </row>
    <row r="137" spans="1:14" ht="15">
      <c r="A137" s="117">
        <v>130</v>
      </c>
      <c r="B137" s="124"/>
      <c r="C137" s="125"/>
      <c r="D137" s="670" t="s">
        <v>580</v>
      </c>
      <c r="E137" s="126"/>
      <c r="F137" s="126">
        <v>535</v>
      </c>
      <c r="G137" s="126"/>
      <c r="H137" s="126"/>
      <c r="I137" s="126"/>
      <c r="J137" s="126"/>
      <c r="K137" s="126"/>
      <c r="L137" s="126"/>
      <c r="M137" s="127"/>
      <c r="N137" s="128">
        <f t="shared" si="3"/>
        <v>535</v>
      </c>
    </row>
    <row r="138" spans="1:14" ht="15">
      <c r="A138" s="117">
        <v>131</v>
      </c>
      <c r="B138" s="54"/>
      <c r="C138" s="59"/>
      <c r="D138" s="671" t="s">
        <v>581</v>
      </c>
      <c r="E138" s="76"/>
      <c r="F138" s="76">
        <v>1524</v>
      </c>
      <c r="G138" s="76"/>
      <c r="H138" s="76"/>
      <c r="I138" s="76"/>
      <c r="J138" s="76"/>
      <c r="K138" s="76"/>
      <c r="L138" s="76"/>
      <c r="M138" s="77"/>
      <c r="N138" s="129">
        <f t="shared" si="3"/>
        <v>1524</v>
      </c>
    </row>
    <row r="139" spans="1:14" ht="15">
      <c r="A139" s="117">
        <v>132</v>
      </c>
      <c r="B139" s="131"/>
      <c r="C139" s="55"/>
      <c r="D139" s="672" t="s">
        <v>579</v>
      </c>
      <c r="E139" s="57"/>
      <c r="F139" s="57">
        <v>1523</v>
      </c>
      <c r="G139" s="57"/>
      <c r="H139" s="57"/>
      <c r="I139" s="57"/>
      <c r="J139" s="57"/>
      <c r="K139" s="57"/>
      <c r="L139" s="57"/>
      <c r="M139" s="78"/>
      <c r="N139" s="65">
        <f aca="true" t="shared" si="7" ref="N139:N181">SUM(E139:L139)</f>
        <v>1523</v>
      </c>
    </row>
    <row r="140" spans="1:14" ht="30" customHeight="1">
      <c r="A140" s="117">
        <v>133</v>
      </c>
      <c r="B140" s="74">
        <v>15</v>
      </c>
      <c r="C140" s="75"/>
      <c r="D140" s="678" t="s">
        <v>562</v>
      </c>
      <c r="E140" s="76"/>
      <c r="F140" s="76"/>
      <c r="G140" s="76"/>
      <c r="H140" s="76"/>
      <c r="I140" s="76"/>
      <c r="J140" s="76"/>
      <c r="K140" s="76"/>
      <c r="L140" s="76"/>
      <c r="M140" s="77"/>
      <c r="N140" s="58"/>
    </row>
    <row r="141" spans="1:14" ht="15">
      <c r="A141" s="117">
        <v>134</v>
      </c>
      <c r="B141" s="124"/>
      <c r="C141" s="125"/>
      <c r="D141" s="670" t="s">
        <v>580</v>
      </c>
      <c r="E141" s="126">
        <v>220000</v>
      </c>
      <c r="F141" s="126">
        <v>14525</v>
      </c>
      <c r="G141" s="126">
        <v>80000</v>
      </c>
      <c r="H141" s="126"/>
      <c r="I141" s="126"/>
      <c r="J141" s="126"/>
      <c r="K141" s="126"/>
      <c r="L141" s="126">
        <v>409004</v>
      </c>
      <c r="M141" s="127">
        <v>250800</v>
      </c>
      <c r="N141" s="128">
        <f t="shared" si="7"/>
        <v>723529</v>
      </c>
    </row>
    <row r="142" spans="1:14" ht="15">
      <c r="A142" s="117">
        <v>135</v>
      </c>
      <c r="B142" s="54"/>
      <c r="C142" s="59"/>
      <c r="D142" s="671" t="s">
        <v>581</v>
      </c>
      <c r="E142" s="76">
        <v>207744</v>
      </c>
      <c r="F142" s="76">
        <v>6363</v>
      </c>
      <c r="G142" s="76">
        <v>79232</v>
      </c>
      <c r="H142" s="76">
        <v>3575</v>
      </c>
      <c r="I142" s="76">
        <v>10000</v>
      </c>
      <c r="J142" s="76"/>
      <c r="K142" s="76">
        <v>4017</v>
      </c>
      <c r="L142" s="76">
        <v>415474</v>
      </c>
      <c r="M142" s="77">
        <v>250800</v>
      </c>
      <c r="N142" s="129">
        <f t="shared" si="7"/>
        <v>726405</v>
      </c>
    </row>
    <row r="143" spans="1:14" ht="15">
      <c r="A143" s="117">
        <v>136</v>
      </c>
      <c r="B143" s="131"/>
      <c r="C143" s="55"/>
      <c r="D143" s="672" t="s">
        <v>579</v>
      </c>
      <c r="E143" s="57">
        <v>207744</v>
      </c>
      <c r="F143" s="57">
        <v>6363</v>
      </c>
      <c r="G143" s="57">
        <v>79232</v>
      </c>
      <c r="H143" s="57">
        <v>3574</v>
      </c>
      <c r="I143" s="57">
        <v>10000</v>
      </c>
      <c r="J143" s="57"/>
      <c r="K143" s="57">
        <v>4017</v>
      </c>
      <c r="L143" s="57">
        <v>415474</v>
      </c>
      <c r="M143" s="78"/>
      <c r="N143" s="65">
        <f t="shared" si="7"/>
        <v>726404</v>
      </c>
    </row>
    <row r="144" spans="1:14" ht="21.75" customHeight="1">
      <c r="A144" s="117">
        <v>137</v>
      </c>
      <c r="B144" s="74"/>
      <c r="C144" s="75">
        <v>1</v>
      </c>
      <c r="D144" s="1485" t="s">
        <v>813</v>
      </c>
      <c r="E144" s="1485"/>
      <c r="F144" s="1485"/>
      <c r="G144" s="1485"/>
      <c r="H144" s="1485"/>
      <c r="I144" s="76"/>
      <c r="J144" s="76"/>
      <c r="K144" s="76"/>
      <c r="L144" s="76"/>
      <c r="M144" s="77"/>
      <c r="N144" s="65"/>
    </row>
    <row r="145" spans="1:14" ht="15">
      <c r="A145" s="117">
        <v>138</v>
      </c>
      <c r="B145" s="124"/>
      <c r="C145" s="125"/>
      <c r="D145" s="670" t="s">
        <v>580</v>
      </c>
      <c r="E145" s="126"/>
      <c r="F145" s="126"/>
      <c r="G145" s="126"/>
      <c r="H145" s="126"/>
      <c r="I145" s="126"/>
      <c r="J145" s="126"/>
      <c r="K145" s="126"/>
      <c r="L145" s="126"/>
      <c r="M145" s="127"/>
      <c r="N145" s="128">
        <f t="shared" si="7"/>
        <v>0</v>
      </c>
    </row>
    <row r="146" spans="1:14" ht="15">
      <c r="A146" s="117">
        <v>139</v>
      </c>
      <c r="B146" s="54"/>
      <c r="C146" s="59"/>
      <c r="D146" s="671" t="s">
        <v>581</v>
      </c>
      <c r="E146" s="76"/>
      <c r="F146" s="76"/>
      <c r="G146" s="76"/>
      <c r="H146" s="76"/>
      <c r="I146" s="76"/>
      <c r="J146" s="76"/>
      <c r="K146" s="76">
        <v>213</v>
      </c>
      <c r="L146" s="76"/>
      <c r="M146" s="77"/>
      <c r="N146" s="129">
        <f t="shared" si="7"/>
        <v>213</v>
      </c>
    </row>
    <row r="147" spans="1:14" ht="25.5" customHeight="1">
      <c r="A147" s="111">
        <v>140</v>
      </c>
      <c r="B147" s="132"/>
      <c r="C147" s="133"/>
      <c r="D147" s="674" t="s">
        <v>579</v>
      </c>
      <c r="E147" s="134"/>
      <c r="F147" s="134"/>
      <c r="G147" s="134"/>
      <c r="H147" s="134"/>
      <c r="I147" s="134"/>
      <c r="J147" s="134"/>
      <c r="K147" s="134">
        <v>213</v>
      </c>
      <c r="L147" s="134"/>
      <c r="M147" s="146"/>
      <c r="N147" s="64">
        <f t="shared" si="7"/>
        <v>213</v>
      </c>
    </row>
    <row r="148" spans="1:14" ht="15">
      <c r="A148" s="387">
        <v>141</v>
      </c>
      <c r="B148" s="147"/>
      <c r="C148" s="148"/>
      <c r="D148" s="148" t="s">
        <v>483</v>
      </c>
      <c r="E148" s="149"/>
      <c r="F148" s="149"/>
      <c r="G148" s="149"/>
      <c r="H148" s="149"/>
      <c r="I148" s="149"/>
      <c r="J148" s="149"/>
      <c r="K148" s="149"/>
      <c r="L148" s="149"/>
      <c r="M148" s="148"/>
      <c r="N148" s="150"/>
    </row>
    <row r="149" spans="1:14" ht="15">
      <c r="A149" s="387">
        <v>142</v>
      </c>
      <c r="B149" s="137"/>
      <c r="C149" s="138"/>
      <c r="D149" s="670" t="s">
        <v>580</v>
      </c>
      <c r="E149" s="139">
        <f aca="true" t="shared" si="8" ref="E149:M149">SUM(E145,E141,E137,E133,E129,E125,E121,E117,E113,E109,E101,E97,E89,E85)</f>
        <v>491658</v>
      </c>
      <c r="F149" s="139">
        <f t="shared" si="8"/>
        <v>72364</v>
      </c>
      <c r="G149" s="139">
        <f t="shared" si="8"/>
        <v>84000</v>
      </c>
      <c r="H149" s="139">
        <f t="shared" si="8"/>
        <v>0</v>
      </c>
      <c r="I149" s="139">
        <f t="shared" si="8"/>
        <v>0</v>
      </c>
      <c r="J149" s="139">
        <f t="shared" si="8"/>
        <v>0</v>
      </c>
      <c r="K149" s="139">
        <f t="shared" si="8"/>
        <v>0</v>
      </c>
      <c r="L149" s="139">
        <f t="shared" si="8"/>
        <v>1149277</v>
      </c>
      <c r="M149" s="138">
        <f t="shared" si="8"/>
        <v>684028</v>
      </c>
      <c r="N149" s="140">
        <f t="shared" si="7"/>
        <v>1797299</v>
      </c>
    </row>
    <row r="150" spans="1:14" ht="15">
      <c r="A150" s="387">
        <v>143</v>
      </c>
      <c r="B150" s="72"/>
      <c r="C150" s="53"/>
      <c r="D150" s="671" t="s">
        <v>581</v>
      </c>
      <c r="E150" s="52">
        <f aca="true" t="shared" si="9" ref="E150:J150">SUM(E146,E142,E138,E134,E130,E126,E122,E118,E114,E110,E102,E98,E90,E86)+E94+E106</f>
        <v>568934</v>
      </c>
      <c r="F150" s="52">
        <f t="shared" si="9"/>
        <v>119652</v>
      </c>
      <c r="G150" s="52">
        <f t="shared" si="9"/>
        <v>90080</v>
      </c>
      <c r="H150" s="52">
        <f t="shared" si="9"/>
        <v>3575</v>
      </c>
      <c r="I150" s="52">
        <f t="shared" si="9"/>
        <v>10000</v>
      </c>
      <c r="J150" s="52">
        <f t="shared" si="9"/>
        <v>635</v>
      </c>
      <c r="K150" s="52">
        <f>SUM(K146,K142,K138,K134,K130,K126,K122,K118,K114,K110,K102,K98,K90,K86)+K94+K106</f>
        <v>97238</v>
      </c>
      <c r="L150" s="52">
        <f>SUM(L146,L142,L138,L134,L130,L126,L122,L118,L114,L110,L102,L98,L90,L86)+L94+L106</f>
        <v>1237904</v>
      </c>
      <c r="M150" s="53">
        <f>SUM(M146,M142,M138,M134,M130,M126,M122,M118,M114,M110,M102,M98,M90,M86)+M94+M106</f>
        <v>684028</v>
      </c>
      <c r="N150" s="60">
        <f t="shared" si="7"/>
        <v>2128018</v>
      </c>
    </row>
    <row r="151" spans="1:14" ht="15">
      <c r="A151" s="387">
        <v>144</v>
      </c>
      <c r="B151" s="72"/>
      <c r="C151" s="141"/>
      <c r="D151" s="675" t="s">
        <v>579</v>
      </c>
      <c r="E151" s="142">
        <f aca="true" t="shared" si="10" ref="E151:J151">SUM(E147,E143,E139,E135,E131,E127,E123,E119,E115,E111,E103,E99,E91,E87)+E107+E95</f>
        <v>560394</v>
      </c>
      <c r="F151" s="142">
        <f t="shared" si="10"/>
        <v>119199</v>
      </c>
      <c r="G151" s="142">
        <f t="shared" si="10"/>
        <v>90045</v>
      </c>
      <c r="H151" s="142">
        <f t="shared" si="10"/>
        <v>3574</v>
      </c>
      <c r="I151" s="142">
        <f t="shared" si="10"/>
        <v>10000</v>
      </c>
      <c r="J151" s="142">
        <f t="shared" si="10"/>
        <v>635</v>
      </c>
      <c r="K151" s="142">
        <f>SUM(K147,K143,K139,K135,K131,K127,K123,K119,K115,K111,K103,K99,K91,K87)+K107+K95</f>
        <v>97238</v>
      </c>
      <c r="L151" s="142">
        <f>SUM(L147,L143,L139,L135,L131,L127,L123,L119,L115,L111,L103,L99,L91,L87)+L107+L95</f>
        <v>1237904</v>
      </c>
      <c r="M151" s="142">
        <f>SUM(M147,M143,M139,M135,M131,M127,M123,M119,M115,M111,M103,M99,M91,M87)+M107+M95</f>
        <v>0</v>
      </c>
      <c r="N151" s="145">
        <f>SUM(N147,N143,N139,N135,N131,N127,N123,N119,N115,N111,N103,N99,N91,N87)+N107+N95</f>
        <v>2118989</v>
      </c>
    </row>
    <row r="152" spans="1:14" ht="25.5" customHeight="1">
      <c r="A152" s="117">
        <v>145</v>
      </c>
      <c r="B152" s="74">
        <v>16</v>
      </c>
      <c r="C152" s="75"/>
      <c r="D152" s="680" t="s">
        <v>808</v>
      </c>
      <c r="E152" s="77"/>
      <c r="F152" s="77"/>
      <c r="G152" s="77"/>
      <c r="H152" s="77"/>
      <c r="I152" s="77"/>
      <c r="J152" s="77"/>
      <c r="K152" s="77"/>
      <c r="L152" s="77"/>
      <c r="M152" s="77"/>
      <c r="N152" s="65"/>
    </row>
    <row r="153" spans="1:14" ht="15">
      <c r="A153" s="117">
        <v>146</v>
      </c>
      <c r="B153" s="124"/>
      <c r="C153" s="125"/>
      <c r="D153" s="670" t="s">
        <v>580</v>
      </c>
      <c r="E153" s="126">
        <v>378716</v>
      </c>
      <c r="F153" s="126"/>
      <c r="G153" s="126"/>
      <c r="H153" s="126"/>
      <c r="I153" s="126"/>
      <c r="J153" s="126"/>
      <c r="K153" s="126"/>
      <c r="L153" s="126">
        <v>744359</v>
      </c>
      <c r="M153" s="127">
        <v>160690</v>
      </c>
      <c r="N153" s="128">
        <f t="shared" si="7"/>
        <v>1123075</v>
      </c>
    </row>
    <row r="154" spans="1:14" ht="15">
      <c r="A154" s="117">
        <v>147</v>
      </c>
      <c r="B154" s="54"/>
      <c r="C154" s="59"/>
      <c r="D154" s="671" t="s">
        <v>581</v>
      </c>
      <c r="E154" s="76">
        <v>378716</v>
      </c>
      <c r="F154" s="76">
        <v>1592</v>
      </c>
      <c r="G154" s="76"/>
      <c r="H154" s="76"/>
      <c r="I154" s="76"/>
      <c r="J154" s="76"/>
      <c r="K154" s="76">
        <v>5221</v>
      </c>
      <c r="L154" s="76">
        <v>754918</v>
      </c>
      <c r="M154" s="77">
        <v>160690</v>
      </c>
      <c r="N154" s="129">
        <f t="shared" si="7"/>
        <v>1140447</v>
      </c>
    </row>
    <row r="155" spans="1:14" ht="24" customHeight="1" thickBot="1">
      <c r="A155" s="111">
        <v>148</v>
      </c>
      <c r="B155" s="132"/>
      <c r="C155" s="133"/>
      <c r="D155" s="674" t="s">
        <v>579</v>
      </c>
      <c r="E155" s="134">
        <v>353439</v>
      </c>
      <c r="F155" s="134">
        <v>1592</v>
      </c>
      <c r="G155" s="134"/>
      <c r="H155" s="134"/>
      <c r="I155" s="134"/>
      <c r="J155" s="134"/>
      <c r="K155" s="134">
        <v>5221</v>
      </c>
      <c r="L155" s="134">
        <v>754918</v>
      </c>
      <c r="M155" s="134">
        <v>160690</v>
      </c>
      <c r="N155" s="64">
        <f t="shared" si="7"/>
        <v>1115170</v>
      </c>
    </row>
    <row r="156" spans="1:14" ht="19.5" customHeight="1">
      <c r="A156" s="387">
        <v>149</v>
      </c>
      <c r="B156" s="151"/>
      <c r="C156" s="1486" t="s">
        <v>543</v>
      </c>
      <c r="D156" s="1486"/>
      <c r="E156" s="152"/>
      <c r="F156" s="152"/>
      <c r="G156" s="152"/>
      <c r="H156" s="152"/>
      <c r="I156" s="152"/>
      <c r="J156" s="152"/>
      <c r="K156" s="152"/>
      <c r="L156" s="152"/>
      <c r="M156" s="153"/>
      <c r="N156" s="154"/>
    </row>
    <row r="157" spans="1:14" ht="19.5" customHeight="1">
      <c r="A157" s="387">
        <v>150</v>
      </c>
      <c r="B157" s="124"/>
      <c r="C157" s="155"/>
      <c r="D157" s="670" t="s">
        <v>580</v>
      </c>
      <c r="E157" s="139">
        <f aca="true" t="shared" si="11" ref="E157:M157">SUM(E57,E81,E149,E153)</f>
        <v>1082274</v>
      </c>
      <c r="F157" s="139">
        <f t="shared" si="11"/>
        <v>75136</v>
      </c>
      <c r="G157" s="139">
        <f t="shared" si="11"/>
        <v>84000</v>
      </c>
      <c r="H157" s="139">
        <f t="shared" si="11"/>
        <v>2289</v>
      </c>
      <c r="I157" s="139">
        <f t="shared" si="11"/>
        <v>0</v>
      </c>
      <c r="J157" s="139">
        <f t="shared" si="11"/>
        <v>0</v>
      </c>
      <c r="K157" s="139">
        <f t="shared" si="11"/>
        <v>0</v>
      </c>
      <c r="L157" s="139">
        <f t="shared" si="11"/>
        <v>3787838</v>
      </c>
      <c r="M157" s="138">
        <f t="shared" si="11"/>
        <v>2253334</v>
      </c>
      <c r="N157" s="140">
        <f t="shared" si="7"/>
        <v>5031537</v>
      </c>
    </row>
    <row r="158" spans="1:14" ht="19.5" customHeight="1">
      <c r="A158" s="387">
        <v>151</v>
      </c>
      <c r="B158" s="54"/>
      <c r="C158" s="119"/>
      <c r="D158" s="671" t="s">
        <v>581</v>
      </c>
      <c r="E158" s="52">
        <f>SUM(E154,E150,E82,E58)</f>
        <v>1144504</v>
      </c>
      <c r="F158" s="52">
        <f aca="true" t="shared" si="12" ref="F158:N159">SUM(F154,F150,F82,F58)</f>
        <v>149955</v>
      </c>
      <c r="G158" s="52">
        <f t="shared" si="12"/>
        <v>90230</v>
      </c>
      <c r="H158" s="52">
        <f t="shared" si="12"/>
        <v>6564</v>
      </c>
      <c r="I158" s="52">
        <f t="shared" si="12"/>
        <v>10000</v>
      </c>
      <c r="J158" s="52">
        <f t="shared" si="12"/>
        <v>635</v>
      </c>
      <c r="K158" s="52">
        <f t="shared" si="12"/>
        <v>216837</v>
      </c>
      <c r="L158" s="52">
        <f t="shared" si="12"/>
        <v>4045044</v>
      </c>
      <c r="M158" s="53">
        <f t="shared" si="12"/>
        <v>2253334</v>
      </c>
      <c r="N158" s="60">
        <f t="shared" si="12"/>
        <v>5663769</v>
      </c>
    </row>
    <row r="159" spans="1:14" ht="19.5" customHeight="1" thickBot="1">
      <c r="A159" s="387">
        <v>152</v>
      </c>
      <c r="B159" s="51"/>
      <c r="C159" s="120"/>
      <c r="D159" s="681" t="s">
        <v>579</v>
      </c>
      <c r="E159" s="7">
        <f>SUM(E155,E151,E83,E59)</f>
        <v>1109255</v>
      </c>
      <c r="F159" s="7">
        <f t="shared" si="12"/>
        <v>148760</v>
      </c>
      <c r="G159" s="7">
        <f t="shared" si="12"/>
        <v>90195</v>
      </c>
      <c r="H159" s="7">
        <f t="shared" si="12"/>
        <v>6563</v>
      </c>
      <c r="I159" s="7">
        <f t="shared" si="12"/>
        <v>10000</v>
      </c>
      <c r="J159" s="7">
        <f t="shared" si="12"/>
        <v>635</v>
      </c>
      <c r="K159" s="7">
        <f>SUM(K155,K151,K83,K59)</f>
        <v>216837</v>
      </c>
      <c r="L159" s="7">
        <f t="shared" si="12"/>
        <v>4045044</v>
      </c>
      <c r="M159" s="156"/>
      <c r="N159" s="40">
        <f t="shared" si="7"/>
        <v>5627289</v>
      </c>
    </row>
    <row r="160" spans="1:14" ht="25.5" customHeight="1">
      <c r="A160" s="117">
        <v>153</v>
      </c>
      <c r="B160" s="74">
        <v>17</v>
      </c>
      <c r="C160" s="76"/>
      <c r="D160" s="1487" t="s">
        <v>812</v>
      </c>
      <c r="E160" s="1487"/>
      <c r="F160" s="1487"/>
      <c r="G160" s="76"/>
      <c r="H160" s="76"/>
      <c r="I160" s="76"/>
      <c r="J160" s="76"/>
      <c r="K160" s="76"/>
      <c r="L160" s="76"/>
      <c r="M160" s="77"/>
      <c r="N160" s="65"/>
    </row>
    <row r="161" spans="1:14" ht="15">
      <c r="A161" s="117">
        <v>154</v>
      </c>
      <c r="B161" s="124"/>
      <c r="C161" s="125"/>
      <c r="D161" s="670" t="s">
        <v>580</v>
      </c>
      <c r="E161" s="126"/>
      <c r="F161" s="126"/>
      <c r="G161" s="126"/>
      <c r="H161" s="126"/>
      <c r="I161" s="126"/>
      <c r="J161" s="126"/>
      <c r="K161" s="126"/>
      <c r="L161" s="126">
        <v>1377407</v>
      </c>
      <c r="M161" s="127"/>
      <c r="N161" s="128">
        <f t="shared" si="7"/>
        <v>1377407</v>
      </c>
    </row>
    <row r="162" spans="1:14" ht="15">
      <c r="A162" s="117">
        <v>155</v>
      </c>
      <c r="B162" s="54"/>
      <c r="C162" s="59"/>
      <c r="D162" s="671" t="s">
        <v>581</v>
      </c>
      <c r="E162" s="76">
        <v>12313</v>
      </c>
      <c r="F162" s="76">
        <v>987</v>
      </c>
      <c r="G162" s="76"/>
      <c r="H162" s="76">
        <v>4050</v>
      </c>
      <c r="I162" s="76"/>
      <c r="J162" s="76"/>
      <c r="K162" s="76">
        <v>145507</v>
      </c>
      <c r="L162" s="76">
        <v>1358809</v>
      </c>
      <c r="M162" s="77"/>
      <c r="N162" s="129">
        <f t="shared" si="7"/>
        <v>1521666</v>
      </c>
    </row>
    <row r="163" spans="1:14" ht="15">
      <c r="A163" s="117">
        <v>156</v>
      </c>
      <c r="B163" s="131"/>
      <c r="C163" s="55"/>
      <c r="D163" s="672" t="s">
        <v>579</v>
      </c>
      <c r="E163" s="57">
        <v>11346</v>
      </c>
      <c r="F163" s="57">
        <v>1259</v>
      </c>
      <c r="G163" s="57"/>
      <c r="H163" s="57">
        <v>4050</v>
      </c>
      <c r="I163" s="57"/>
      <c r="J163" s="57"/>
      <c r="K163" s="57">
        <v>145507</v>
      </c>
      <c r="L163" s="57">
        <v>1358809</v>
      </c>
      <c r="M163" s="57"/>
      <c r="N163" s="65">
        <f t="shared" si="7"/>
        <v>1520971</v>
      </c>
    </row>
    <row r="164" spans="1:14" ht="21.75" customHeight="1">
      <c r="A164" s="117">
        <v>157</v>
      </c>
      <c r="B164" s="74"/>
      <c r="C164" s="75"/>
      <c r="D164" s="1485" t="s">
        <v>430</v>
      </c>
      <c r="E164" s="1485"/>
      <c r="F164" s="1485"/>
      <c r="G164" s="1485"/>
      <c r="H164" s="1485"/>
      <c r="I164" s="1485"/>
      <c r="J164" s="1485"/>
      <c r="K164" s="1485"/>
      <c r="L164" s="1485"/>
      <c r="M164" s="1485"/>
      <c r="N164" s="1488"/>
    </row>
    <row r="165" spans="1:14" ht="15">
      <c r="A165" s="117">
        <v>158</v>
      </c>
      <c r="B165" s="54"/>
      <c r="C165" s="59"/>
      <c r="D165" s="671" t="s">
        <v>581</v>
      </c>
      <c r="E165" s="76"/>
      <c r="F165" s="76"/>
      <c r="G165" s="76"/>
      <c r="H165" s="76"/>
      <c r="I165" s="76"/>
      <c r="J165" s="76"/>
      <c r="K165" s="76"/>
      <c r="L165" s="76"/>
      <c r="M165" s="77"/>
      <c r="N165" s="129">
        <f>SUM(E165:M165)</f>
        <v>0</v>
      </c>
    </row>
    <row r="166" spans="1:14" ht="15">
      <c r="A166" s="117">
        <v>159</v>
      </c>
      <c r="B166" s="132"/>
      <c r="C166" s="133"/>
      <c r="D166" s="672" t="s">
        <v>579</v>
      </c>
      <c r="E166" s="134"/>
      <c r="F166" s="134"/>
      <c r="G166" s="134"/>
      <c r="H166" s="134"/>
      <c r="I166" s="134"/>
      <c r="J166" s="134"/>
      <c r="K166" s="134"/>
      <c r="L166" s="134"/>
      <c r="M166" s="146"/>
      <c r="N166" s="65">
        <f>SUM(E166:M166)</f>
        <v>0</v>
      </c>
    </row>
    <row r="167" spans="1:14" ht="21.75" customHeight="1">
      <c r="A167" s="117">
        <v>160</v>
      </c>
      <c r="B167" s="74"/>
      <c r="C167" s="75"/>
      <c r="D167" s="1485" t="s">
        <v>7</v>
      </c>
      <c r="E167" s="1485"/>
      <c r="F167" s="1485"/>
      <c r="G167" s="1485"/>
      <c r="H167" s="1485"/>
      <c r="I167" s="1485"/>
      <c r="J167" s="1485"/>
      <c r="K167" s="1485"/>
      <c r="L167" s="1485"/>
      <c r="M167" s="1485"/>
      <c r="N167" s="1488"/>
    </row>
    <row r="168" spans="1:14" ht="15">
      <c r="A168" s="117">
        <v>161</v>
      </c>
      <c r="B168" s="74"/>
      <c r="C168" s="75"/>
      <c r="D168" s="671" t="s">
        <v>581</v>
      </c>
      <c r="E168" s="76"/>
      <c r="F168" s="76">
        <v>785</v>
      </c>
      <c r="G168" s="76"/>
      <c r="H168" s="76"/>
      <c r="I168" s="76"/>
      <c r="J168" s="76"/>
      <c r="K168" s="76"/>
      <c r="L168" s="76"/>
      <c r="M168" s="77"/>
      <c r="N168" s="129">
        <f>SUM(E168:L168)</f>
        <v>785</v>
      </c>
    </row>
    <row r="169" spans="1:14" ht="15">
      <c r="A169" s="117">
        <v>162</v>
      </c>
      <c r="B169" s="132"/>
      <c r="C169" s="133"/>
      <c r="D169" s="672" t="s">
        <v>579</v>
      </c>
      <c r="E169" s="134"/>
      <c r="F169" s="134">
        <v>785</v>
      </c>
      <c r="G169" s="134"/>
      <c r="H169" s="134"/>
      <c r="I169" s="134"/>
      <c r="J169" s="134"/>
      <c r="K169" s="134"/>
      <c r="L169" s="134"/>
      <c r="M169" s="146"/>
      <c r="N169" s="65">
        <f>SUM(E169:L169)</f>
        <v>785</v>
      </c>
    </row>
    <row r="170" spans="1:14" ht="21.75" customHeight="1">
      <c r="A170" s="117">
        <v>163</v>
      </c>
      <c r="B170" s="74"/>
      <c r="C170" s="75"/>
      <c r="D170" s="679" t="s">
        <v>6</v>
      </c>
      <c r="E170" s="76"/>
      <c r="F170" s="76"/>
      <c r="G170" s="76"/>
      <c r="H170" s="76"/>
      <c r="I170" s="76"/>
      <c r="J170" s="76"/>
      <c r="K170" s="76"/>
      <c r="L170" s="76"/>
      <c r="M170" s="77"/>
      <c r="N170" s="65"/>
    </row>
    <row r="171" spans="1:14" ht="15">
      <c r="A171" s="117">
        <v>164</v>
      </c>
      <c r="B171" s="124"/>
      <c r="C171" s="125"/>
      <c r="D171" s="670" t="s">
        <v>580</v>
      </c>
      <c r="E171" s="126"/>
      <c r="F171" s="126">
        <v>9170</v>
      </c>
      <c r="G171" s="126"/>
      <c r="H171" s="126"/>
      <c r="I171" s="126"/>
      <c r="J171" s="126"/>
      <c r="K171" s="126"/>
      <c r="L171" s="126"/>
      <c r="M171" s="127"/>
      <c r="N171" s="128">
        <f t="shared" si="7"/>
        <v>9170</v>
      </c>
    </row>
    <row r="172" spans="1:14" ht="15">
      <c r="A172" s="117">
        <v>165</v>
      </c>
      <c r="B172" s="54"/>
      <c r="C172" s="59"/>
      <c r="D172" s="671" t="s">
        <v>581</v>
      </c>
      <c r="E172" s="76"/>
      <c r="F172" s="76">
        <v>9770</v>
      </c>
      <c r="G172" s="76"/>
      <c r="H172" s="76"/>
      <c r="I172" s="76"/>
      <c r="J172" s="76"/>
      <c r="K172" s="76"/>
      <c r="L172" s="76"/>
      <c r="M172" s="77"/>
      <c r="N172" s="129">
        <f t="shared" si="7"/>
        <v>9770</v>
      </c>
    </row>
    <row r="173" spans="1:14" ht="25.5" customHeight="1">
      <c r="A173" s="111">
        <v>166</v>
      </c>
      <c r="B173" s="132"/>
      <c r="C173" s="133"/>
      <c r="D173" s="674" t="s">
        <v>579</v>
      </c>
      <c r="E173" s="134"/>
      <c r="F173" s="134">
        <v>9770</v>
      </c>
      <c r="G173" s="134"/>
      <c r="H173" s="134"/>
      <c r="I173" s="134"/>
      <c r="J173" s="134"/>
      <c r="K173" s="134"/>
      <c r="L173" s="134"/>
      <c r="M173" s="134"/>
      <c r="N173" s="64">
        <f t="shared" si="7"/>
        <v>9770</v>
      </c>
    </row>
    <row r="174" spans="1:14" ht="21.75" customHeight="1">
      <c r="A174" s="387">
        <v>167</v>
      </c>
      <c r="B174" s="157"/>
      <c r="C174" s="148"/>
      <c r="D174" s="148" t="s">
        <v>766</v>
      </c>
      <c r="E174" s="148"/>
      <c r="F174" s="148"/>
      <c r="G174" s="148"/>
      <c r="H174" s="148"/>
      <c r="I174" s="148"/>
      <c r="J174" s="148"/>
      <c r="K174" s="148"/>
      <c r="L174" s="148"/>
      <c r="M174" s="148"/>
      <c r="N174" s="150"/>
    </row>
    <row r="175" spans="1:14" ht="21.75" customHeight="1">
      <c r="A175" s="387">
        <v>168</v>
      </c>
      <c r="B175" s="137"/>
      <c r="C175" s="138"/>
      <c r="D175" s="670" t="s">
        <v>580</v>
      </c>
      <c r="E175" s="139">
        <f aca="true" t="shared" si="13" ref="E175:M175">SUM(E171,E161)</f>
        <v>0</v>
      </c>
      <c r="F175" s="139">
        <f t="shared" si="13"/>
        <v>9170</v>
      </c>
      <c r="G175" s="139">
        <f t="shared" si="13"/>
        <v>0</v>
      </c>
      <c r="H175" s="139">
        <f t="shared" si="13"/>
        <v>0</v>
      </c>
      <c r="I175" s="139">
        <f t="shared" si="13"/>
        <v>0</v>
      </c>
      <c r="J175" s="139">
        <f t="shared" si="13"/>
        <v>0</v>
      </c>
      <c r="K175" s="139">
        <f t="shared" si="13"/>
        <v>0</v>
      </c>
      <c r="L175" s="139">
        <f t="shared" si="13"/>
        <v>1377407</v>
      </c>
      <c r="M175" s="138">
        <f t="shared" si="13"/>
        <v>0</v>
      </c>
      <c r="N175" s="140">
        <f t="shared" si="7"/>
        <v>1386577</v>
      </c>
    </row>
    <row r="176" spans="1:14" ht="21.75" customHeight="1">
      <c r="A176" s="387">
        <v>169</v>
      </c>
      <c r="B176" s="72"/>
      <c r="C176" s="53"/>
      <c r="D176" s="671" t="s">
        <v>581</v>
      </c>
      <c r="E176" s="52">
        <f aca="true" t="shared" si="14" ref="E176:M177">SUM(E168,E172,E165,E162)</f>
        <v>12313</v>
      </c>
      <c r="F176" s="52">
        <f t="shared" si="14"/>
        <v>11542</v>
      </c>
      <c r="G176" s="52">
        <f t="shared" si="14"/>
        <v>0</v>
      </c>
      <c r="H176" s="52">
        <f t="shared" si="14"/>
        <v>4050</v>
      </c>
      <c r="I176" s="52">
        <f t="shared" si="14"/>
        <v>0</v>
      </c>
      <c r="J176" s="52">
        <f t="shared" si="14"/>
        <v>0</v>
      </c>
      <c r="K176" s="52">
        <f t="shared" si="14"/>
        <v>145507</v>
      </c>
      <c r="L176" s="52">
        <f t="shared" si="14"/>
        <v>1358809</v>
      </c>
      <c r="M176" s="53">
        <f t="shared" si="14"/>
        <v>0</v>
      </c>
      <c r="N176" s="60">
        <f t="shared" si="7"/>
        <v>1532221</v>
      </c>
    </row>
    <row r="177" spans="1:14" ht="21.75" customHeight="1">
      <c r="A177" s="387">
        <v>170</v>
      </c>
      <c r="B177" s="158"/>
      <c r="C177" s="159"/>
      <c r="D177" s="682" t="s">
        <v>579</v>
      </c>
      <c r="E177" s="142">
        <f t="shared" si="14"/>
        <v>11346</v>
      </c>
      <c r="F177" s="142">
        <f t="shared" si="14"/>
        <v>11814</v>
      </c>
      <c r="G177" s="142">
        <f t="shared" si="14"/>
        <v>0</v>
      </c>
      <c r="H177" s="142">
        <f t="shared" si="14"/>
        <v>4050</v>
      </c>
      <c r="I177" s="142">
        <f t="shared" si="14"/>
        <v>0</v>
      </c>
      <c r="J177" s="142">
        <f t="shared" si="14"/>
        <v>0</v>
      </c>
      <c r="K177" s="142">
        <f t="shared" si="14"/>
        <v>145507</v>
      </c>
      <c r="L177" s="142">
        <f t="shared" si="14"/>
        <v>1358809</v>
      </c>
      <c r="M177" s="160"/>
      <c r="N177" s="161">
        <f t="shared" si="7"/>
        <v>1531526</v>
      </c>
    </row>
    <row r="178" spans="1:14" ht="21.75" customHeight="1">
      <c r="A178" s="387">
        <v>171</v>
      </c>
      <c r="B178" s="74"/>
      <c r="C178" s="1489" t="s">
        <v>661</v>
      </c>
      <c r="D178" s="1489"/>
      <c r="E178" s="77"/>
      <c r="F178" s="77"/>
      <c r="G178" s="77"/>
      <c r="H178" s="77"/>
      <c r="I178" s="77"/>
      <c r="J178" s="77"/>
      <c r="K178" s="77"/>
      <c r="L178" s="77"/>
      <c r="M178" s="77"/>
      <c r="N178" s="65"/>
    </row>
    <row r="179" spans="1:14" s="683" customFormat="1" ht="21.75" customHeight="1">
      <c r="A179" s="387">
        <v>172</v>
      </c>
      <c r="B179" s="124"/>
      <c r="C179" s="155"/>
      <c r="D179" s="670" t="s">
        <v>580</v>
      </c>
      <c r="E179" s="139">
        <f aca="true" t="shared" si="15" ref="E179:M179">SUM(E157,E175)</f>
        <v>1082274</v>
      </c>
      <c r="F179" s="139">
        <f t="shared" si="15"/>
        <v>84306</v>
      </c>
      <c r="G179" s="139">
        <f t="shared" si="15"/>
        <v>84000</v>
      </c>
      <c r="H179" s="139">
        <f t="shared" si="15"/>
        <v>2289</v>
      </c>
      <c r="I179" s="139">
        <f t="shared" si="15"/>
        <v>0</v>
      </c>
      <c r="J179" s="139">
        <f t="shared" si="15"/>
        <v>0</v>
      </c>
      <c r="K179" s="139">
        <f t="shared" si="15"/>
        <v>0</v>
      </c>
      <c r="L179" s="139">
        <f t="shared" si="15"/>
        <v>5165245</v>
      </c>
      <c r="M179" s="138">
        <f t="shared" si="15"/>
        <v>2253334</v>
      </c>
      <c r="N179" s="140">
        <f t="shared" si="7"/>
        <v>6418114</v>
      </c>
    </row>
    <row r="180" spans="1:14" ht="21.75" customHeight="1">
      <c r="A180" s="387">
        <v>173</v>
      </c>
      <c r="B180" s="54"/>
      <c r="C180" s="119"/>
      <c r="D180" s="671" t="s">
        <v>581</v>
      </c>
      <c r="E180" s="52">
        <f aca="true" t="shared" si="16" ref="E180:M181">SUM(E176,E158)</f>
        <v>1156817</v>
      </c>
      <c r="F180" s="52">
        <f t="shared" si="16"/>
        <v>161497</v>
      </c>
      <c r="G180" s="52">
        <f t="shared" si="16"/>
        <v>90230</v>
      </c>
      <c r="H180" s="52">
        <f t="shared" si="16"/>
        <v>10614</v>
      </c>
      <c r="I180" s="52">
        <f t="shared" si="16"/>
        <v>10000</v>
      </c>
      <c r="J180" s="52">
        <f t="shared" si="16"/>
        <v>635</v>
      </c>
      <c r="K180" s="52">
        <f t="shared" si="16"/>
        <v>362344</v>
      </c>
      <c r="L180" s="52">
        <f t="shared" si="16"/>
        <v>5403853</v>
      </c>
      <c r="M180" s="53">
        <f t="shared" si="16"/>
        <v>2253334</v>
      </c>
      <c r="N180" s="60">
        <f t="shared" si="7"/>
        <v>7195990</v>
      </c>
    </row>
    <row r="181" spans="1:14" ht="21.75" customHeight="1" thickBot="1">
      <c r="A181" s="387">
        <v>174</v>
      </c>
      <c r="B181" s="51"/>
      <c r="C181" s="120"/>
      <c r="D181" s="681" t="s">
        <v>579</v>
      </c>
      <c r="E181" s="7">
        <f t="shared" si="16"/>
        <v>1120601</v>
      </c>
      <c r="F181" s="7">
        <f t="shared" si="16"/>
        <v>160574</v>
      </c>
      <c r="G181" s="7">
        <f t="shared" si="16"/>
        <v>90195</v>
      </c>
      <c r="H181" s="7">
        <f t="shared" si="16"/>
        <v>10613</v>
      </c>
      <c r="I181" s="7">
        <f t="shared" si="16"/>
        <v>10000</v>
      </c>
      <c r="J181" s="7">
        <f t="shared" si="16"/>
        <v>635</v>
      </c>
      <c r="K181" s="7">
        <f t="shared" si="16"/>
        <v>362344</v>
      </c>
      <c r="L181" s="7">
        <f t="shared" si="16"/>
        <v>5403853</v>
      </c>
      <c r="M181" s="156"/>
      <c r="N181" s="40">
        <f t="shared" si="7"/>
        <v>7158815</v>
      </c>
    </row>
  </sheetData>
  <sheetProtection/>
  <mergeCells count="34">
    <mergeCell ref="D160:F160"/>
    <mergeCell ref="D164:N164"/>
    <mergeCell ref="D167:N167"/>
    <mergeCell ref="C178:D178"/>
    <mergeCell ref="D112:H112"/>
    <mergeCell ref="D116:H116"/>
    <mergeCell ref="D124:H124"/>
    <mergeCell ref="D128:H128"/>
    <mergeCell ref="D132:F132"/>
    <mergeCell ref="D136:H136"/>
    <mergeCell ref="D144:H144"/>
    <mergeCell ref="C156:D156"/>
    <mergeCell ref="D40:G40"/>
    <mergeCell ref="D48:G48"/>
    <mergeCell ref="D88:H88"/>
    <mergeCell ref="D92:H92"/>
    <mergeCell ref="D100:H100"/>
    <mergeCell ref="D104:H104"/>
    <mergeCell ref="D8:G8"/>
    <mergeCell ref="D16:G16"/>
    <mergeCell ref="D24:G24"/>
    <mergeCell ref="D32:G32"/>
    <mergeCell ref="H6:J6"/>
    <mergeCell ref="K6:K7"/>
    <mergeCell ref="B1:D1"/>
    <mergeCell ref="B2:N2"/>
    <mergeCell ref="B3:N3"/>
    <mergeCell ref="M4:N4"/>
    <mergeCell ref="B6:B7"/>
    <mergeCell ref="C6:C7"/>
    <mergeCell ref="D6:D7"/>
    <mergeCell ref="E6:G6"/>
    <mergeCell ref="L6:M6"/>
    <mergeCell ref="N6:N7"/>
  </mergeCells>
  <printOptions horizontalCentered="1"/>
  <pageMargins left="0.1968503937007874" right="0.1968503937007874" top="0.5905511811023623" bottom="0.5905511811023623"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R323"/>
  <sheetViews>
    <sheetView view="pageBreakPreview" zoomScale="75" zoomScaleSheetLayoutView="75" zoomScalePageLayoutView="0" workbookViewId="0" topLeftCell="A1">
      <selection activeCell="B1" sqref="B1:F1"/>
    </sheetView>
  </sheetViews>
  <sheetFormatPr defaultColWidth="9.00390625" defaultRowHeight="12.75"/>
  <cols>
    <col min="1" max="1" width="3.625" style="111" bestFit="1" customWidth="1"/>
    <col min="2" max="2" width="4.00390625" style="112" customWidth="1"/>
    <col min="3" max="3" width="4.125" style="71" customWidth="1"/>
    <col min="4" max="4" width="50.75390625" style="113" customWidth="1"/>
    <col min="5" max="5" width="5.75390625" style="114" customWidth="1"/>
    <col min="6" max="6" width="9.375" style="96" bestFit="1" customWidth="1"/>
    <col min="7" max="7" width="10.625" style="96" customWidth="1"/>
    <col min="8" max="8" width="9.375" style="96" bestFit="1" customWidth="1"/>
    <col min="9" max="9" width="15.75390625" style="799" customWidth="1"/>
    <col min="10" max="17" width="13.75390625" style="113" customWidth="1"/>
    <col min="18" max="18" width="9.625" style="113" bestFit="1" customWidth="1"/>
    <col min="19" max="16384" width="9.125" style="113" customWidth="1"/>
  </cols>
  <sheetData>
    <row r="1" spans="1:8" s="61" customFormat="1" ht="15">
      <c r="A1" s="117"/>
      <c r="B1" s="1469" t="s">
        <v>1636</v>
      </c>
      <c r="C1" s="1469"/>
      <c r="D1" s="1469"/>
      <c r="E1" s="1469"/>
      <c r="F1" s="1469"/>
      <c r="G1" s="163"/>
      <c r="H1" s="94"/>
    </row>
    <row r="2" spans="1:17" s="61" customFormat="1" ht="15">
      <c r="A2" s="117"/>
      <c r="B2" s="1470" t="s">
        <v>637</v>
      </c>
      <c r="C2" s="1470"/>
      <c r="D2" s="1470"/>
      <c r="E2" s="1470"/>
      <c r="F2" s="1470"/>
      <c r="G2" s="1470"/>
      <c r="H2" s="1470"/>
      <c r="I2" s="1470"/>
      <c r="J2" s="1470"/>
      <c r="K2" s="1470"/>
      <c r="L2" s="1470"/>
      <c r="M2" s="1470"/>
      <c r="N2" s="1470"/>
      <c r="O2" s="1470"/>
      <c r="P2" s="1470"/>
      <c r="Q2" s="1470"/>
    </row>
    <row r="3" spans="1:17" s="61" customFormat="1" ht="15">
      <c r="A3" s="117"/>
      <c r="B3" s="1470" t="s">
        <v>1194</v>
      </c>
      <c r="C3" s="1470"/>
      <c r="D3" s="1470"/>
      <c r="E3" s="1470"/>
      <c r="F3" s="1470"/>
      <c r="G3" s="1470"/>
      <c r="H3" s="1470"/>
      <c r="I3" s="1470"/>
      <c r="J3" s="1470"/>
      <c r="K3" s="1470"/>
      <c r="L3" s="1470"/>
      <c r="M3" s="1470"/>
      <c r="N3" s="1470"/>
      <c r="O3" s="1470"/>
      <c r="P3" s="1470"/>
      <c r="Q3" s="1470"/>
    </row>
    <row r="4" spans="1:17" s="114" customFormat="1" ht="15">
      <c r="A4" s="117"/>
      <c r="B4" s="112"/>
      <c r="C4" s="71"/>
      <c r="D4" s="1207"/>
      <c r="F4" s="96"/>
      <c r="G4" s="96"/>
      <c r="H4" s="96"/>
      <c r="I4" s="73"/>
      <c r="J4" s="113"/>
      <c r="K4" s="113"/>
      <c r="L4" s="113"/>
      <c r="M4" s="113"/>
      <c r="N4" s="113"/>
      <c r="O4" s="113"/>
      <c r="P4" s="1492" t="s">
        <v>496</v>
      </c>
      <c r="Q4" s="1492"/>
    </row>
    <row r="5" spans="1:17" s="114" customFormat="1" ht="15.75" thickBot="1">
      <c r="A5" s="117"/>
      <c r="B5" s="112" t="s">
        <v>504</v>
      </c>
      <c r="C5" s="112" t="s">
        <v>505</v>
      </c>
      <c r="D5" s="114" t="s">
        <v>506</v>
      </c>
      <c r="E5" s="114" t="s">
        <v>507</v>
      </c>
      <c r="F5" s="121" t="s">
        <v>508</v>
      </c>
      <c r="G5" s="121" t="s">
        <v>509</v>
      </c>
      <c r="H5" s="121" t="s">
        <v>510</v>
      </c>
      <c r="I5" s="114" t="s">
        <v>394</v>
      </c>
      <c r="J5" s="114" t="s">
        <v>395</v>
      </c>
      <c r="K5" s="114" t="s">
        <v>814</v>
      </c>
      <c r="L5" s="114" t="s">
        <v>815</v>
      </c>
      <c r="M5" s="114" t="s">
        <v>816</v>
      </c>
      <c r="N5" s="114" t="s">
        <v>817</v>
      </c>
      <c r="O5" s="114" t="s">
        <v>818</v>
      </c>
      <c r="P5" s="114" t="s">
        <v>845</v>
      </c>
      <c r="Q5" s="114" t="s">
        <v>846</v>
      </c>
    </row>
    <row r="6" spans="1:17" s="114" customFormat="1" ht="15">
      <c r="A6" s="117"/>
      <c r="B6" s="1502" t="s">
        <v>770</v>
      </c>
      <c r="C6" s="1502" t="s">
        <v>638</v>
      </c>
      <c r="D6" s="1504" t="s">
        <v>497</v>
      </c>
      <c r="E6" s="1506" t="s">
        <v>782</v>
      </c>
      <c r="F6" s="1508" t="s">
        <v>582</v>
      </c>
      <c r="G6" s="1508" t="s">
        <v>855</v>
      </c>
      <c r="H6" s="1510" t="s">
        <v>856</v>
      </c>
      <c r="I6" s="1490" t="s">
        <v>854</v>
      </c>
      <c r="J6" s="1495" t="s">
        <v>373</v>
      </c>
      <c r="K6" s="1496"/>
      <c r="L6" s="1496"/>
      <c r="M6" s="1496"/>
      <c r="N6" s="1497"/>
      <c r="O6" s="1498" t="s">
        <v>374</v>
      </c>
      <c r="P6" s="1498"/>
      <c r="Q6" s="1498"/>
    </row>
    <row r="7" spans="1:17" s="76" customFormat="1" ht="45.75" thickBot="1">
      <c r="A7" s="117"/>
      <c r="B7" s="1503"/>
      <c r="C7" s="1503"/>
      <c r="D7" s="1505"/>
      <c r="E7" s="1507"/>
      <c r="F7" s="1509"/>
      <c r="G7" s="1509"/>
      <c r="H7" s="1511"/>
      <c r="I7" s="1491"/>
      <c r="J7" s="42" t="s">
        <v>826</v>
      </c>
      <c r="K7" s="42" t="s">
        <v>822</v>
      </c>
      <c r="L7" s="42" t="s">
        <v>828</v>
      </c>
      <c r="M7" s="42" t="s">
        <v>372</v>
      </c>
      <c r="N7" s="42" t="s">
        <v>829</v>
      </c>
      <c r="O7" s="684" t="s">
        <v>375</v>
      </c>
      <c r="P7" s="164" t="s">
        <v>376</v>
      </c>
      <c r="Q7" s="42" t="s">
        <v>789</v>
      </c>
    </row>
    <row r="8" spans="1:17" s="52" customFormat="1" ht="25.5" customHeight="1">
      <c r="A8" s="115">
        <v>1</v>
      </c>
      <c r="B8" s="151">
        <v>1</v>
      </c>
      <c r="C8" s="109"/>
      <c r="D8" s="685" t="s">
        <v>1223</v>
      </c>
      <c r="E8" s="686" t="s">
        <v>815</v>
      </c>
      <c r="F8" s="165"/>
      <c r="G8" s="165"/>
      <c r="H8" s="165"/>
      <c r="I8" s="166"/>
      <c r="J8" s="110"/>
      <c r="K8" s="110"/>
      <c r="L8" s="110"/>
      <c r="M8" s="110"/>
      <c r="N8" s="110"/>
      <c r="O8" s="110"/>
      <c r="P8" s="110"/>
      <c r="Q8" s="167"/>
    </row>
    <row r="9" spans="1:17" s="52" customFormat="1" ht="15">
      <c r="A9" s="115">
        <v>2</v>
      </c>
      <c r="B9" s="54"/>
      <c r="C9" s="59"/>
      <c r="D9" s="687" t="s">
        <v>639</v>
      </c>
      <c r="E9" s="688"/>
      <c r="F9" s="44">
        <v>130202</v>
      </c>
      <c r="G9" s="44">
        <v>166856</v>
      </c>
      <c r="H9" s="44">
        <v>165422</v>
      </c>
      <c r="I9" s="168"/>
      <c r="Q9" s="60"/>
    </row>
    <row r="10" spans="1:17" s="71" customFormat="1" ht="15">
      <c r="A10" s="115">
        <v>3</v>
      </c>
      <c r="B10" s="124"/>
      <c r="C10" s="125"/>
      <c r="D10" s="689" t="s">
        <v>580</v>
      </c>
      <c r="E10" s="690"/>
      <c r="F10" s="169"/>
      <c r="G10" s="169"/>
      <c r="H10" s="169"/>
      <c r="I10" s="170">
        <f>SUM(J10:Q10)</f>
        <v>171179</v>
      </c>
      <c r="J10" s="126">
        <v>101443</v>
      </c>
      <c r="K10" s="126">
        <v>28605</v>
      </c>
      <c r="L10" s="126">
        <v>39621</v>
      </c>
      <c r="M10" s="126"/>
      <c r="N10" s="126">
        <v>690</v>
      </c>
      <c r="O10" s="126">
        <v>820</v>
      </c>
      <c r="P10" s="126"/>
      <c r="Q10" s="128"/>
    </row>
    <row r="11" spans="1:17" s="76" customFormat="1" ht="15">
      <c r="A11" s="115">
        <v>4</v>
      </c>
      <c r="B11" s="54"/>
      <c r="C11" s="59"/>
      <c r="D11" s="677" t="s">
        <v>581</v>
      </c>
      <c r="E11" s="688"/>
      <c r="F11" s="44"/>
      <c r="G11" s="44"/>
      <c r="H11" s="44"/>
      <c r="I11" s="171">
        <f>SUM(J11:Q11)</f>
        <v>188818</v>
      </c>
      <c r="J11" s="76">
        <v>108575</v>
      </c>
      <c r="K11" s="76">
        <v>32175</v>
      </c>
      <c r="L11" s="76">
        <v>41777</v>
      </c>
      <c r="N11" s="76">
        <v>58</v>
      </c>
      <c r="O11" s="76">
        <v>6233</v>
      </c>
      <c r="Q11" s="129"/>
    </row>
    <row r="12" spans="1:17" s="71" customFormat="1" ht="15">
      <c r="A12" s="115">
        <v>5</v>
      </c>
      <c r="B12" s="131"/>
      <c r="C12" s="55"/>
      <c r="D12" s="672" t="s">
        <v>579</v>
      </c>
      <c r="E12" s="691"/>
      <c r="F12" s="56"/>
      <c r="G12" s="56"/>
      <c r="H12" s="56"/>
      <c r="I12" s="172">
        <f>SUM(J12:Q12)</f>
        <v>177144</v>
      </c>
      <c r="J12" s="57">
        <v>107630</v>
      </c>
      <c r="K12" s="57">
        <v>31434</v>
      </c>
      <c r="L12" s="57">
        <v>34121</v>
      </c>
      <c r="M12" s="57"/>
      <c r="N12" s="57">
        <v>58</v>
      </c>
      <c r="O12" s="57">
        <v>3901</v>
      </c>
      <c r="P12" s="57"/>
      <c r="Q12" s="58"/>
    </row>
    <row r="13" spans="1:17" s="76" customFormat="1" ht="30">
      <c r="A13" s="115">
        <v>6</v>
      </c>
      <c r="B13" s="74"/>
      <c r="C13" s="75">
        <v>1</v>
      </c>
      <c r="D13" s="692" t="s">
        <v>691</v>
      </c>
      <c r="E13" s="678"/>
      <c r="F13" s="693">
        <v>1131</v>
      </c>
      <c r="G13" s="693"/>
      <c r="H13" s="97">
        <v>1628</v>
      </c>
      <c r="I13" s="171"/>
      <c r="Q13" s="129"/>
    </row>
    <row r="14" spans="1:17" s="52" customFormat="1" ht="15">
      <c r="A14" s="115">
        <v>7</v>
      </c>
      <c r="B14" s="124"/>
      <c r="C14" s="125"/>
      <c r="D14" s="694" t="s">
        <v>580</v>
      </c>
      <c r="E14" s="690"/>
      <c r="F14" s="169"/>
      <c r="G14" s="169"/>
      <c r="H14" s="169"/>
      <c r="I14" s="173">
        <f>SUM(J14:Q14)</f>
        <v>0</v>
      </c>
      <c r="J14" s="126"/>
      <c r="K14" s="126"/>
      <c r="L14" s="126"/>
      <c r="M14" s="126"/>
      <c r="N14" s="126"/>
      <c r="O14" s="126"/>
      <c r="P14" s="126"/>
      <c r="Q14" s="128"/>
    </row>
    <row r="15" spans="1:17" s="52" customFormat="1" ht="15">
      <c r="A15" s="115">
        <v>8</v>
      </c>
      <c r="B15" s="54"/>
      <c r="C15" s="59"/>
      <c r="D15" s="695" t="s">
        <v>581</v>
      </c>
      <c r="E15" s="688"/>
      <c r="F15" s="44"/>
      <c r="G15" s="44"/>
      <c r="H15" s="44"/>
      <c r="I15" s="168">
        <f>SUM(J15:Q15)</f>
        <v>0</v>
      </c>
      <c r="J15" s="76"/>
      <c r="K15" s="76"/>
      <c r="L15" s="76"/>
      <c r="M15" s="76"/>
      <c r="N15" s="76"/>
      <c r="O15" s="76"/>
      <c r="P15" s="76"/>
      <c r="Q15" s="129"/>
    </row>
    <row r="16" spans="1:17" s="76" customFormat="1" ht="15">
      <c r="A16" s="115">
        <v>9</v>
      </c>
      <c r="B16" s="131"/>
      <c r="C16" s="55"/>
      <c r="D16" s="696" t="s">
        <v>579</v>
      </c>
      <c r="E16" s="691"/>
      <c r="F16" s="56"/>
      <c r="G16" s="56"/>
      <c r="H16" s="56"/>
      <c r="I16" s="174">
        <f>SUM(J16:Q16)</f>
        <v>0</v>
      </c>
      <c r="J16" s="57"/>
      <c r="K16" s="57"/>
      <c r="L16" s="57"/>
      <c r="M16" s="57"/>
      <c r="N16" s="57"/>
      <c r="O16" s="57"/>
      <c r="P16" s="57"/>
      <c r="Q16" s="58"/>
    </row>
    <row r="17" spans="1:17" s="52" customFormat="1" ht="15">
      <c r="A17" s="115">
        <v>10</v>
      </c>
      <c r="B17" s="74"/>
      <c r="C17" s="75">
        <v>2</v>
      </c>
      <c r="D17" s="692" t="s">
        <v>813</v>
      </c>
      <c r="E17" s="697"/>
      <c r="F17" s="97"/>
      <c r="G17" s="97">
        <v>792</v>
      </c>
      <c r="H17" s="97">
        <v>733</v>
      </c>
      <c r="I17" s="171"/>
      <c r="J17" s="76"/>
      <c r="K17" s="76"/>
      <c r="L17" s="76"/>
      <c r="M17" s="76"/>
      <c r="N17" s="76"/>
      <c r="O17" s="76"/>
      <c r="P17" s="76"/>
      <c r="Q17" s="129"/>
    </row>
    <row r="18" spans="1:17" s="52" customFormat="1" ht="15">
      <c r="A18" s="115">
        <v>11</v>
      </c>
      <c r="B18" s="124"/>
      <c r="C18" s="125"/>
      <c r="D18" s="694" t="s">
        <v>580</v>
      </c>
      <c r="E18" s="690"/>
      <c r="F18" s="169"/>
      <c r="G18" s="169"/>
      <c r="H18" s="169"/>
      <c r="I18" s="175">
        <f>SUM(J18:Q18)</f>
        <v>0</v>
      </c>
      <c r="J18" s="176"/>
      <c r="K18" s="176"/>
      <c r="L18" s="176"/>
      <c r="M18" s="176"/>
      <c r="N18" s="176"/>
      <c r="O18" s="176"/>
      <c r="P18" s="176"/>
      <c r="Q18" s="177"/>
    </row>
    <row r="19" spans="1:17" s="71" customFormat="1" ht="15">
      <c r="A19" s="115">
        <v>12</v>
      </c>
      <c r="B19" s="54"/>
      <c r="C19" s="59"/>
      <c r="D19" s="695" t="s">
        <v>581</v>
      </c>
      <c r="E19" s="688"/>
      <c r="F19" s="44"/>
      <c r="G19" s="44"/>
      <c r="H19" s="44"/>
      <c r="I19" s="178">
        <f>SUM(J19:Q19)</f>
        <v>0</v>
      </c>
      <c r="J19" s="62"/>
      <c r="K19" s="62"/>
      <c r="L19" s="62"/>
      <c r="M19" s="62"/>
      <c r="N19" s="62"/>
      <c r="O19" s="62"/>
      <c r="P19" s="62"/>
      <c r="Q19" s="162"/>
    </row>
    <row r="20" spans="1:17" s="52" customFormat="1" ht="15">
      <c r="A20" s="115">
        <v>13</v>
      </c>
      <c r="B20" s="131"/>
      <c r="C20" s="55"/>
      <c r="D20" s="696" t="s">
        <v>579</v>
      </c>
      <c r="E20" s="691"/>
      <c r="F20" s="56"/>
      <c r="G20" s="56"/>
      <c r="H20" s="56"/>
      <c r="I20" s="179">
        <f>SUM(J20:Q20)</f>
        <v>0</v>
      </c>
      <c r="J20" s="57"/>
      <c r="K20" s="57"/>
      <c r="L20" s="57"/>
      <c r="M20" s="57"/>
      <c r="N20" s="57"/>
      <c r="O20" s="57"/>
      <c r="P20" s="57"/>
      <c r="Q20" s="58"/>
    </row>
    <row r="21" spans="1:17" s="52" customFormat="1" ht="25.5" customHeight="1">
      <c r="A21" s="115">
        <v>14</v>
      </c>
      <c r="B21" s="74">
        <v>2</v>
      </c>
      <c r="C21" s="75"/>
      <c r="D21" s="677" t="s">
        <v>1224</v>
      </c>
      <c r="E21" s="698" t="s">
        <v>815</v>
      </c>
      <c r="F21" s="97">
        <v>228374</v>
      </c>
      <c r="G21" s="97">
        <v>291675</v>
      </c>
      <c r="H21" s="97">
        <v>299833</v>
      </c>
      <c r="I21" s="171"/>
      <c r="J21" s="76"/>
      <c r="K21" s="76"/>
      <c r="L21" s="76"/>
      <c r="M21" s="76"/>
      <c r="N21" s="76"/>
      <c r="O21" s="76"/>
      <c r="P21" s="76"/>
      <c r="Q21" s="129"/>
    </row>
    <row r="22" spans="1:17" s="71" customFormat="1" ht="15">
      <c r="A22" s="115">
        <v>15</v>
      </c>
      <c r="B22" s="54"/>
      <c r="C22" s="59"/>
      <c r="D22" s="687" t="s">
        <v>641</v>
      </c>
      <c r="E22" s="688"/>
      <c r="F22" s="44"/>
      <c r="G22" s="44"/>
      <c r="H22" s="44"/>
      <c r="I22" s="168"/>
      <c r="J22" s="52"/>
      <c r="K22" s="52"/>
      <c r="L22" s="52"/>
      <c r="M22" s="52"/>
      <c r="N22" s="52"/>
      <c r="O22" s="52"/>
      <c r="P22" s="52"/>
      <c r="Q22" s="60"/>
    </row>
    <row r="23" spans="1:17" s="76" customFormat="1" ht="15">
      <c r="A23" s="115">
        <v>16</v>
      </c>
      <c r="B23" s="124"/>
      <c r="C23" s="125"/>
      <c r="D23" s="689" t="s">
        <v>580</v>
      </c>
      <c r="E23" s="690"/>
      <c r="F23" s="169"/>
      <c r="G23" s="169"/>
      <c r="H23" s="169"/>
      <c r="I23" s="170">
        <f>SUM(J23:Q23)</f>
        <v>290968</v>
      </c>
      <c r="J23" s="126">
        <v>182868</v>
      </c>
      <c r="K23" s="126">
        <v>49546</v>
      </c>
      <c r="L23" s="126">
        <v>54454</v>
      </c>
      <c r="M23" s="126"/>
      <c r="N23" s="126">
        <v>2600</v>
      </c>
      <c r="O23" s="126">
        <v>1500</v>
      </c>
      <c r="P23" s="126"/>
      <c r="Q23" s="128"/>
    </row>
    <row r="24" spans="1:17" s="52" customFormat="1" ht="15">
      <c r="A24" s="115">
        <v>17</v>
      </c>
      <c r="B24" s="54"/>
      <c r="C24" s="59"/>
      <c r="D24" s="677" t="s">
        <v>581</v>
      </c>
      <c r="E24" s="688"/>
      <c r="F24" s="44"/>
      <c r="G24" s="44"/>
      <c r="H24" s="44"/>
      <c r="I24" s="171">
        <f>SUM(J24:Q24)</f>
        <v>313637</v>
      </c>
      <c r="J24" s="76">
        <v>193817</v>
      </c>
      <c r="K24" s="76">
        <v>55815</v>
      </c>
      <c r="L24" s="76">
        <v>58231</v>
      </c>
      <c r="M24" s="76"/>
      <c r="N24" s="76">
        <v>200</v>
      </c>
      <c r="O24" s="76">
        <v>5444</v>
      </c>
      <c r="P24" s="76">
        <v>130</v>
      </c>
      <c r="Q24" s="129"/>
    </row>
    <row r="25" spans="1:18" s="77" customFormat="1" ht="15">
      <c r="A25" s="115">
        <v>18</v>
      </c>
      <c r="B25" s="131"/>
      <c r="C25" s="55"/>
      <c r="D25" s="672" t="s">
        <v>579</v>
      </c>
      <c r="E25" s="691"/>
      <c r="F25" s="56"/>
      <c r="G25" s="56"/>
      <c r="H25" s="56"/>
      <c r="I25" s="174">
        <f>SUM(J25:Q25)</f>
        <v>306355</v>
      </c>
      <c r="J25" s="57">
        <v>192798</v>
      </c>
      <c r="K25" s="57">
        <v>55754</v>
      </c>
      <c r="L25" s="57">
        <v>52179</v>
      </c>
      <c r="M25" s="57"/>
      <c r="N25" s="57">
        <v>174</v>
      </c>
      <c r="O25" s="57">
        <v>5320</v>
      </c>
      <c r="P25" s="57">
        <v>130</v>
      </c>
      <c r="Q25" s="58"/>
      <c r="R25" s="76"/>
    </row>
    <row r="26" spans="1:17" s="76" customFormat="1" ht="30">
      <c r="A26" s="115">
        <v>19</v>
      </c>
      <c r="B26" s="74"/>
      <c r="C26" s="75">
        <v>1</v>
      </c>
      <c r="D26" s="692" t="s">
        <v>691</v>
      </c>
      <c r="E26" s="678"/>
      <c r="F26" s="693">
        <v>1010</v>
      </c>
      <c r="G26" s="693"/>
      <c r="H26" s="97">
        <v>2237</v>
      </c>
      <c r="I26" s="171"/>
      <c r="Q26" s="129"/>
    </row>
    <row r="27" spans="1:17" s="52" customFormat="1" ht="15">
      <c r="A27" s="115">
        <v>20</v>
      </c>
      <c r="B27" s="124"/>
      <c r="C27" s="125"/>
      <c r="D27" s="694" t="s">
        <v>580</v>
      </c>
      <c r="E27" s="690"/>
      <c r="F27" s="169"/>
      <c r="G27" s="169"/>
      <c r="H27" s="169"/>
      <c r="I27" s="175">
        <f>SUM(J27:Q27)</f>
        <v>0</v>
      </c>
      <c r="J27" s="176"/>
      <c r="K27" s="176"/>
      <c r="L27" s="176"/>
      <c r="M27" s="176"/>
      <c r="N27" s="176"/>
      <c r="O27" s="176"/>
      <c r="P27" s="176"/>
      <c r="Q27" s="177"/>
    </row>
    <row r="28" spans="1:18" s="70" customFormat="1" ht="15">
      <c r="A28" s="115">
        <v>21</v>
      </c>
      <c r="B28" s="54"/>
      <c r="C28" s="59"/>
      <c r="D28" s="695" t="s">
        <v>581</v>
      </c>
      <c r="E28" s="688"/>
      <c r="F28" s="44"/>
      <c r="G28" s="44"/>
      <c r="H28" s="44"/>
      <c r="I28" s="178">
        <f>SUM(J28:Q28)</f>
        <v>0</v>
      </c>
      <c r="J28" s="62"/>
      <c r="K28" s="62"/>
      <c r="L28" s="62"/>
      <c r="M28" s="62"/>
      <c r="N28" s="62"/>
      <c r="O28" s="62"/>
      <c r="P28" s="62"/>
      <c r="Q28" s="162"/>
      <c r="R28" s="61"/>
    </row>
    <row r="29" spans="1:17" s="71" customFormat="1" ht="15">
      <c r="A29" s="115">
        <v>22</v>
      </c>
      <c r="B29" s="131"/>
      <c r="C29" s="55"/>
      <c r="D29" s="696" t="s">
        <v>579</v>
      </c>
      <c r="E29" s="691"/>
      <c r="F29" s="56"/>
      <c r="G29" s="56"/>
      <c r="H29" s="56"/>
      <c r="I29" s="174">
        <f>SUM(J29:Q29)</f>
        <v>0</v>
      </c>
      <c r="J29" s="57"/>
      <c r="K29" s="57"/>
      <c r="L29" s="57"/>
      <c r="M29" s="57"/>
      <c r="N29" s="57"/>
      <c r="O29" s="57"/>
      <c r="P29" s="57"/>
      <c r="Q29" s="58"/>
    </row>
    <row r="30" spans="1:17" s="61" customFormat="1" ht="15">
      <c r="A30" s="115">
        <v>23</v>
      </c>
      <c r="B30" s="74"/>
      <c r="C30" s="75">
        <v>2</v>
      </c>
      <c r="D30" s="692" t="s">
        <v>813</v>
      </c>
      <c r="E30" s="697"/>
      <c r="F30" s="97"/>
      <c r="G30" s="97">
        <v>1053</v>
      </c>
      <c r="H30" s="97">
        <v>1158</v>
      </c>
      <c r="I30" s="172"/>
      <c r="J30" s="118"/>
      <c r="K30" s="118"/>
      <c r="L30" s="118"/>
      <c r="M30" s="118"/>
      <c r="N30" s="118"/>
      <c r="O30" s="118"/>
      <c r="P30" s="118"/>
      <c r="Q30" s="65"/>
    </row>
    <row r="31" spans="1:17" s="71" customFormat="1" ht="15">
      <c r="A31" s="115">
        <v>24</v>
      </c>
      <c r="B31" s="124"/>
      <c r="C31" s="125"/>
      <c r="D31" s="694" t="s">
        <v>580</v>
      </c>
      <c r="E31" s="690"/>
      <c r="F31" s="169"/>
      <c r="G31" s="169"/>
      <c r="H31" s="169"/>
      <c r="I31" s="175">
        <f>SUM(J31:Q31)</f>
        <v>268</v>
      </c>
      <c r="J31" s="176">
        <v>236</v>
      </c>
      <c r="K31" s="176">
        <v>32</v>
      </c>
      <c r="L31" s="176"/>
      <c r="M31" s="176"/>
      <c r="N31" s="176"/>
      <c r="O31" s="176"/>
      <c r="P31" s="176"/>
      <c r="Q31" s="177"/>
    </row>
    <row r="32" spans="1:17" s="61" customFormat="1" ht="15">
      <c r="A32" s="115">
        <v>25</v>
      </c>
      <c r="B32" s="54"/>
      <c r="C32" s="59"/>
      <c r="D32" s="695" t="s">
        <v>581</v>
      </c>
      <c r="E32" s="688"/>
      <c r="F32" s="44"/>
      <c r="G32" s="44"/>
      <c r="H32" s="44"/>
      <c r="I32" s="178">
        <f>SUM(J32:Q32)</f>
        <v>783</v>
      </c>
      <c r="J32" s="62">
        <v>690</v>
      </c>
      <c r="K32" s="62">
        <v>93</v>
      </c>
      <c r="L32" s="62"/>
      <c r="M32" s="62"/>
      <c r="N32" s="62"/>
      <c r="O32" s="62"/>
      <c r="P32" s="62"/>
      <c r="Q32" s="162"/>
    </row>
    <row r="33" spans="1:17" s="61" customFormat="1" ht="15">
      <c r="A33" s="115">
        <v>26</v>
      </c>
      <c r="B33" s="131"/>
      <c r="C33" s="55"/>
      <c r="D33" s="696" t="s">
        <v>579</v>
      </c>
      <c r="E33" s="691"/>
      <c r="F33" s="56"/>
      <c r="G33" s="56"/>
      <c r="H33" s="56"/>
      <c r="I33" s="179">
        <f>SUM(J33:Q33)</f>
        <v>782</v>
      </c>
      <c r="J33" s="57">
        <v>689</v>
      </c>
      <c r="K33" s="57">
        <v>93</v>
      </c>
      <c r="L33" s="57"/>
      <c r="M33" s="57"/>
      <c r="N33" s="57"/>
      <c r="O33" s="57"/>
      <c r="P33" s="57"/>
      <c r="Q33" s="58"/>
    </row>
    <row r="34" spans="1:17" s="52" customFormat="1" ht="25.5" customHeight="1">
      <c r="A34" s="115">
        <v>27</v>
      </c>
      <c r="B34" s="74">
        <v>3</v>
      </c>
      <c r="C34" s="75"/>
      <c r="D34" s="677" t="s">
        <v>1225</v>
      </c>
      <c r="E34" s="698" t="s">
        <v>815</v>
      </c>
      <c r="F34" s="97">
        <v>248435</v>
      </c>
      <c r="G34" s="97">
        <v>327758</v>
      </c>
      <c r="H34" s="97">
        <v>332667</v>
      </c>
      <c r="I34" s="171"/>
      <c r="J34" s="76"/>
      <c r="K34" s="76"/>
      <c r="L34" s="76"/>
      <c r="M34" s="76"/>
      <c r="N34" s="76"/>
      <c r="O34" s="76"/>
      <c r="P34" s="76"/>
      <c r="Q34" s="129"/>
    </row>
    <row r="35" spans="1:17" s="71" customFormat="1" ht="15">
      <c r="A35" s="115">
        <v>28</v>
      </c>
      <c r="B35" s="54"/>
      <c r="C35" s="59"/>
      <c r="D35" s="687" t="s">
        <v>643</v>
      </c>
      <c r="E35" s="688"/>
      <c r="F35" s="44"/>
      <c r="G35" s="44"/>
      <c r="H35" s="44"/>
      <c r="I35" s="168"/>
      <c r="J35" s="52"/>
      <c r="K35" s="52"/>
      <c r="L35" s="52"/>
      <c r="M35" s="52"/>
      <c r="N35" s="52"/>
      <c r="O35" s="52"/>
      <c r="P35" s="52"/>
      <c r="Q35" s="60"/>
    </row>
    <row r="36" spans="1:17" s="61" customFormat="1" ht="15">
      <c r="A36" s="115">
        <v>29</v>
      </c>
      <c r="B36" s="124"/>
      <c r="C36" s="125"/>
      <c r="D36" s="689" t="s">
        <v>580</v>
      </c>
      <c r="E36" s="690"/>
      <c r="F36" s="169"/>
      <c r="G36" s="169"/>
      <c r="H36" s="169"/>
      <c r="I36" s="170">
        <f>SUM(J36:Q36)</f>
        <v>344902</v>
      </c>
      <c r="J36" s="126">
        <v>219517</v>
      </c>
      <c r="K36" s="126">
        <v>62280</v>
      </c>
      <c r="L36" s="126">
        <v>60675</v>
      </c>
      <c r="M36" s="126"/>
      <c r="N36" s="126">
        <v>1200</v>
      </c>
      <c r="O36" s="126">
        <v>1230</v>
      </c>
      <c r="P36" s="126"/>
      <c r="Q36" s="128"/>
    </row>
    <row r="37" spans="1:17" s="61" customFormat="1" ht="15">
      <c r="A37" s="115">
        <v>30</v>
      </c>
      <c r="B37" s="54"/>
      <c r="C37" s="59"/>
      <c r="D37" s="677" t="s">
        <v>581</v>
      </c>
      <c r="E37" s="688"/>
      <c r="F37" s="44"/>
      <c r="G37" s="44"/>
      <c r="H37" s="44"/>
      <c r="I37" s="171">
        <f>SUM(J37:Q37)</f>
        <v>362236</v>
      </c>
      <c r="J37" s="76">
        <v>227643</v>
      </c>
      <c r="K37" s="76">
        <v>67066</v>
      </c>
      <c r="L37" s="76">
        <v>59312</v>
      </c>
      <c r="M37" s="76"/>
      <c r="N37" s="76">
        <v>100</v>
      </c>
      <c r="O37" s="76">
        <v>8115</v>
      </c>
      <c r="P37" s="76"/>
      <c r="Q37" s="129"/>
    </row>
    <row r="38" spans="1:17" s="71" customFormat="1" ht="15">
      <c r="A38" s="115">
        <v>31</v>
      </c>
      <c r="B38" s="131"/>
      <c r="C38" s="55"/>
      <c r="D38" s="672" t="s">
        <v>579</v>
      </c>
      <c r="E38" s="691"/>
      <c r="F38" s="56"/>
      <c r="G38" s="56"/>
      <c r="H38" s="56"/>
      <c r="I38" s="172">
        <f>SUM(J38:Q38)</f>
        <v>347612</v>
      </c>
      <c r="J38" s="57">
        <v>223531</v>
      </c>
      <c r="K38" s="57">
        <v>65991</v>
      </c>
      <c r="L38" s="57">
        <v>49940</v>
      </c>
      <c r="M38" s="57"/>
      <c r="N38" s="57">
        <v>73</v>
      </c>
      <c r="O38" s="57">
        <v>8077</v>
      </c>
      <c r="P38" s="57"/>
      <c r="Q38" s="58"/>
    </row>
    <row r="39" spans="1:17" s="76" customFormat="1" ht="30">
      <c r="A39" s="115">
        <v>32</v>
      </c>
      <c r="B39" s="74"/>
      <c r="C39" s="75">
        <v>1</v>
      </c>
      <c r="D39" s="692" t="s">
        <v>691</v>
      </c>
      <c r="E39" s="678"/>
      <c r="F39" s="693">
        <v>281</v>
      </c>
      <c r="G39" s="693"/>
      <c r="H39" s="97">
        <v>556</v>
      </c>
      <c r="I39" s="171"/>
      <c r="Q39" s="129"/>
    </row>
    <row r="40" spans="1:17" s="71" customFormat="1" ht="15">
      <c r="A40" s="115">
        <v>33</v>
      </c>
      <c r="B40" s="124"/>
      <c r="C40" s="125"/>
      <c r="D40" s="694" t="s">
        <v>580</v>
      </c>
      <c r="E40" s="690"/>
      <c r="F40" s="169"/>
      <c r="G40" s="169"/>
      <c r="H40" s="169"/>
      <c r="I40" s="175">
        <f>SUM(J40:Q40)</f>
        <v>0</v>
      </c>
      <c r="J40" s="176"/>
      <c r="K40" s="176"/>
      <c r="L40" s="176"/>
      <c r="M40" s="176"/>
      <c r="N40" s="176"/>
      <c r="O40" s="176"/>
      <c r="P40" s="176"/>
      <c r="Q40" s="177"/>
    </row>
    <row r="41" spans="1:17" s="70" customFormat="1" ht="15">
      <c r="A41" s="115">
        <v>34</v>
      </c>
      <c r="B41" s="54"/>
      <c r="C41" s="59"/>
      <c r="D41" s="695" t="s">
        <v>581</v>
      </c>
      <c r="E41" s="688"/>
      <c r="F41" s="44"/>
      <c r="G41" s="44"/>
      <c r="H41" s="44"/>
      <c r="I41" s="178">
        <f>SUM(J41:Q41)</f>
        <v>0</v>
      </c>
      <c r="J41" s="62"/>
      <c r="K41" s="62"/>
      <c r="L41" s="62"/>
      <c r="M41" s="62"/>
      <c r="N41" s="62"/>
      <c r="O41" s="62"/>
      <c r="P41" s="62"/>
      <c r="Q41" s="162"/>
    </row>
    <row r="42" spans="1:17" s="61" customFormat="1" ht="15">
      <c r="A42" s="115">
        <v>35</v>
      </c>
      <c r="B42" s="131"/>
      <c r="C42" s="55"/>
      <c r="D42" s="696" t="s">
        <v>579</v>
      </c>
      <c r="E42" s="691"/>
      <c r="F42" s="56"/>
      <c r="G42" s="56"/>
      <c r="H42" s="56"/>
      <c r="I42" s="179">
        <f>SUM(J42:Q42)</f>
        <v>0</v>
      </c>
      <c r="J42" s="57"/>
      <c r="K42" s="57"/>
      <c r="L42" s="57"/>
      <c r="M42" s="57"/>
      <c r="N42" s="57"/>
      <c r="O42" s="57"/>
      <c r="P42" s="57"/>
      <c r="Q42" s="58"/>
    </row>
    <row r="43" spans="1:18" s="8" customFormat="1" ht="15">
      <c r="A43" s="115">
        <v>36</v>
      </c>
      <c r="B43" s="74"/>
      <c r="C43" s="75">
        <v>2</v>
      </c>
      <c r="D43" s="692" t="s">
        <v>813</v>
      </c>
      <c r="E43" s="697"/>
      <c r="F43" s="97"/>
      <c r="G43" s="97">
        <v>2317</v>
      </c>
      <c r="H43" s="97">
        <v>2146</v>
      </c>
      <c r="I43" s="172"/>
      <c r="J43" s="118"/>
      <c r="K43" s="118"/>
      <c r="L43" s="118"/>
      <c r="M43" s="118"/>
      <c r="N43" s="118"/>
      <c r="O43" s="118"/>
      <c r="P43" s="118"/>
      <c r="Q43" s="65"/>
      <c r="R43" s="61"/>
    </row>
    <row r="44" spans="1:17" s="61" customFormat="1" ht="15">
      <c r="A44" s="115">
        <v>37</v>
      </c>
      <c r="B44" s="124"/>
      <c r="C44" s="125"/>
      <c r="D44" s="694" t="s">
        <v>580</v>
      </c>
      <c r="E44" s="690"/>
      <c r="F44" s="169"/>
      <c r="G44" s="169"/>
      <c r="H44" s="169"/>
      <c r="I44" s="175">
        <f>SUM(J44:Q44)</f>
        <v>0</v>
      </c>
      <c r="J44" s="176"/>
      <c r="K44" s="176"/>
      <c r="L44" s="176"/>
      <c r="M44" s="176"/>
      <c r="N44" s="176"/>
      <c r="O44" s="176"/>
      <c r="P44" s="176"/>
      <c r="Q44" s="177"/>
    </row>
    <row r="45" spans="1:17" s="61" customFormat="1" ht="15">
      <c r="A45" s="115">
        <v>38</v>
      </c>
      <c r="B45" s="54"/>
      <c r="C45" s="59"/>
      <c r="D45" s="695" t="s">
        <v>581</v>
      </c>
      <c r="E45" s="688"/>
      <c r="F45" s="44"/>
      <c r="G45" s="44"/>
      <c r="H45" s="44"/>
      <c r="I45" s="178">
        <f>SUM(J45:Q45)</f>
        <v>0</v>
      </c>
      <c r="J45" s="62"/>
      <c r="K45" s="62"/>
      <c r="L45" s="62"/>
      <c r="M45" s="62"/>
      <c r="N45" s="62"/>
      <c r="O45" s="62"/>
      <c r="P45" s="62"/>
      <c r="Q45" s="162"/>
    </row>
    <row r="46" spans="1:17" s="61" customFormat="1" ht="15">
      <c r="A46" s="115">
        <v>39</v>
      </c>
      <c r="B46" s="131"/>
      <c r="C46" s="55"/>
      <c r="D46" s="696" t="s">
        <v>579</v>
      </c>
      <c r="E46" s="691"/>
      <c r="F46" s="56"/>
      <c r="G46" s="56"/>
      <c r="H46" s="56"/>
      <c r="I46" s="179">
        <f>SUM(J46:Q46)</f>
        <v>0</v>
      </c>
      <c r="J46" s="57"/>
      <c r="K46" s="57"/>
      <c r="L46" s="57"/>
      <c r="M46" s="57"/>
      <c r="N46" s="57"/>
      <c r="O46" s="57"/>
      <c r="P46" s="57"/>
      <c r="Q46" s="58"/>
    </row>
    <row r="47" spans="1:17" s="61" customFormat="1" ht="21.75" customHeight="1">
      <c r="A47" s="115">
        <v>40</v>
      </c>
      <c r="B47" s="74">
        <v>4</v>
      </c>
      <c r="C47" s="75"/>
      <c r="D47" s="677" t="s">
        <v>1226</v>
      </c>
      <c r="E47" s="698" t="s">
        <v>815</v>
      </c>
      <c r="F47" s="97">
        <v>189834</v>
      </c>
      <c r="G47" s="97">
        <v>240673</v>
      </c>
      <c r="H47" s="97">
        <v>235464</v>
      </c>
      <c r="I47" s="171"/>
      <c r="J47" s="76"/>
      <c r="K47" s="76"/>
      <c r="L47" s="76"/>
      <c r="M47" s="76"/>
      <c r="N47" s="76"/>
      <c r="O47" s="76"/>
      <c r="P47" s="76"/>
      <c r="Q47" s="129"/>
    </row>
    <row r="48" spans="1:17" s="61" customFormat="1" ht="15">
      <c r="A48" s="115">
        <v>41</v>
      </c>
      <c r="B48" s="54"/>
      <c r="C48" s="59"/>
      <c r="D48" s="671" t="s">
        <v>645</v>
      </c>
      <c r="E48" s="688"/>
      <c r="F48" s="44"/>
      <c r="G48" s="44"/>
      <c r="H48" s="44"/>
      <c r="I48" s="168"/>
      <c r="J48" s="52"/>
      <c r="K48" s="52"/>
      <c r="L48" s="52"/>
      <c r="M48" s="52"/>
      <c r="N48" s="52"/>
      <c r="O48" s="52"/>
      <c r="P48" s="52"/>
      <c r="Q48" s="60"/>
    </row>
    <row r="49" spans="1:17" s="61" customFormat="1" ht="15">
      <c r="A49" s="115">
        <v>42</v>
      </c>
      <c r="B49" s="124"/>
      <c r="C49" s="125"/>
      <c r="D49" s="689" t="s">
        <v>580</v>
      </c>
      <c r="E49" s="690"/>
      <c r="F49" s="169"/>
      <c r="G49" s="169"/>
      <c r="H49" s="169"/>
      <c r="I49" s="170">
        <f>SUM(J49:Q49)</f>
        <v>255649</v>
      </c>
      <c r="J49" s="126">
        <v>159807</v>
      </c>
      <c r="K49" s="126">
        <v>43426</v>
      </c>
      <c r="L49" s="126">
        <v>50726</v>
      </c>
      <c r="M49" s="126"/>
      <c r="N49" s="126">
        <v>790</v>
      </c>
      <c r="O49" s="126">
        <v>900</v>
      </c>
      <c r="P49" s="126"/>
      <c r="Q49" s="128"/>
    </row>
    <row r="50" spans="1:17" s="61" customFormat="1" ht="15">
      <c r="A50" s="115">
        <v>43</v>
      </c>
      <c r="B50" s="54"/>
      <c r="C50" s="59"/>
      <c r="D50" s="677" t="s">
        <v>581</v>
      </c>
      <c r="E50" s="688"/>
      <c r="F50" s="44"/>
      <c r="G50" s="44"/>
      <c r="H50" s="44"/>
      <c r="I50" s="171">
        <f>SUM(J50:Q50)</f>
        <v>275390</v>
      </c>
      <c r="J50" s="76">
        <v>163175</v>
      </c>
      <c r="K50" s="76">
        <v>47882</v>
      </c>
      <c r="L50" s="76">
        <v>55643</v>
      </c>
      <c r="M50" s="76"/>
      <c r="N50" s="76">
        <v>1290</v>
      </c>
      <c r="O50" s="76">
        <v>7400</v>
      </c>
      <c r="P50" s="76"/>
      <c r="Q50" s="129"/>
    </row>
    <row r="51" spans="1:17" s="61" customFormat="1" ht="15">
      <c r="A51" s="115">
        <v>44</v>
      </c>
      <c r="B51" s="131"/>
      <c r="C51" s="55"/>
      <c r="D51" s="672" t="s">
        <v>579</v>
      </c>
      <c r="E51" s="691"/>
      <c r="F51" s="56"/>
      <c r="G51" s="56"/>
      <c r="H51" s="56"/>
      <c r="I51" s="172">
        <f>SUM(J51:Q51)</f>
        <v>247974</v>
      </c>
      <c r="J51" s="57">
        <v>156859</v>
      </c>
      <c r="K51" s="57">
        <v>45884</v>
      </c>
      <c r="L51" s="57">
        <v>38309</v>
      </c>
      <c r="M51" s="57"/>
      <c r="N51" s="57">
        <v>56</v>
      </c>
      <c r="O51" s="57">
        <v>6866</v>
      </c>
      <c r="P51" s="57"/>
      <c r="Q51" s="58"/>
    </row>
    <row r="52" spans="1:17" s="76" customFormat="1" ht="30">
      <c r="A52" s="115">
        <v>45</v>
      </c>
      <c r="B52" s="74"/>
      <c r="C52" s="75">
        <v>1</v>
      </c>
      <c r="D52" s="692" t="s">
        <v>691</v>
      </c>
      <c r="E52" s="678"/>
      <c r="F52" s="693">
        <v>264</v>
      </c>
      <c r="G52" s="693"/>
      <c r="H52" s="97">
        <v>613</v>
      </c>
      <c r="I52" s="171"/>
      <c r="Q52" s="129"/>
    </row>
    <row r="53" spans="1:17" s="71" customFormat="1" ht="15">
      <c r="A53" s="115">
        <v>46</v>
      </c>
      <c r="B53" s="124"/>
      <c r="C53" s="125"/>
      <c r="D53" s="694" t="s">
        <v>580</v>
      </c>
      <c r="E53" s="690"/>
      <c r="F53" s="169"/>
      <c r="G53" s="169"/>
      <c r="H53" s="169"/>
      <c r="I53" s="175">
        <f>SUM(J53:Q53)</f>
        <v>0</v>
      </c>
      <c r="J53" s="176"/>
      <c r="K53" s="176"/>
      <c r="L53" s="176"/>
      <c r="M53" s="176"/>
      <c r="N53" s="176"/>
      <c r="O53" s="176"/>
      <c r="P53" s="176"/>
      <c r="Q53" s="177"/>
    </row>
    <row r="54" spans="1:17" s="61" customFormat="1" ht="15">
      <c r="A54" s="115">
        <v>47</v>
      </c>
      <c r="B54" s="54"/>
      <c r="C54" s="59"/>
      <c r="D54" s="695" t="s">
        <v>581</v>
      </c>
      <c r="E54" s="688"/>
      <c r="F54" s="44"/>
      <c r="G54" s="44"/>
      <c r="H54" s="44"/>
      <c r="I54" s="178">
        <f>SUM(J54:Q54)</f>
        <v>0</v>
      </c>
      <c r="J54" s="62"/>
      <c r="K54" s="62"/>
      <c r="L54" s="62"/>
      <c r="M54" s="62"/>
      <c r="N54" s="62"/>
      <c r="O54" s="62"/>
      <c r="P54" s="62"/>
      <c r="Q54" s="162"/>
    </row>
    <row r="55" spans="1:17" s="61" customFormat="1" ht="15">
      <c r="A55" s="115">
        <v>48</v>
      </c>
      <c r="B55" s="131"/>
      <c r="C55" s="55"/>
      <c r="D55" s="696" t="s">
        <v>579</v>
      </c>
      <c r="E55" s="691"/>
      <c r="F55" s="56"/>
      <c r="G55" s="56"/>
      <c r="H55" s="56"/>
      <c r="I55" s="179">
        <f>SUM(J55:Q55)</f>
        <v>0</v>
      </c>
      <c r="J55" s="57"/>
      <c r="K55" s="57"/>
      <c r="L55" s="57"/>
      <c r="M55" s="57"/>
      <c r="N55" s="57"/>
      <c r="O55" s="57"/>
      <c r="P55" s="57"/>
      <c r="Q55" s="58"/>
    </row>
    <row r="56" spans="1:17" s="61" customFormat="1" ht="15">
      <c r="A56" s="115">
        <v>49</v>
      </c>
      <c r="B56" s="74"/>
      <c r="C56" s="75">
        <v>2</v>
      </c>
      <c r="D56" s="692" t="s">
        <v>813</v>
      </c>
      <c r="E56" s="678"/>
      <c r="F56" s="678"/>
      <c r="G56" s="678">
        <v>1518</v>
      </c>
      <c r="H56" s="97">
        <v>1421</v>
      </c>
      <c r="I56" s="171"/>
      <c r="J56" s="76"/>
      <c r="K56" s="76"/>
      <c r="L56" s="76"/>
      <c r="M56" s="76"/>
      <c r="N56" s="76"/>
      <c r="O56" s="76"/>
      <c r="P56" s="76"/>
      <c r="Q56" s="129"/>
    </row>
    <row r="57" spans="1:18" s="8" customFormat="1" ht="15">
      <c r="A57" s="115">
        <v>50</v>
      </c>
      <c r="B57" s="124"/>
      <c r="C57" s="125"/>
      <c r="D57" s="694" t="s">
        <v>580</v>
      </c>
      <c r="E57" s="690"/>
      <c r="F57" s="169"/>
      <c r="G57" s="169"/>
      <c r="H57" s="169"/>
      <c r="I57" s="175">
        <f>SUM(J57:Q57)</f>
        <v>0</v>
      </c>
      <c r="J57" s="176"/>
      <c r="K57" s="176"/>
      <c r="L57" s="176"/>
      <c r="M57" s="176"/>
      <c r="N57" s="176"/>
      <c r="O57" s="176"/>
      <c r="P57" s="176"/>
      <c r="Q57" s="177"/>
      <c r="R57" s="61"/>
    </row>
    <row r="58" spans="1:18" s="8" customFormat="1" ht="15">
      <c r="A58" s="115">
        <v>51</v>
      </c>
      <c r="B58" s="54"/>
      <c r="C58" s="59"/>
      <c r="D58" s="695" t="s">
        <v>581</v>
      </c>
      <c r="E58" s="688"/>
      <c r="F58" s="44"/>
      <c r="G58" s="44"/>
      <c r="H58" s="44"/>
      <c r="I58" s="178">
        <f>SUM(J58:Q58)</f>
        <v>0</v>
      </c>
      <c r="J58" s="62"/>
      <c r="K58" s="62"/>
      <c r="L58" s="62"/>
      <c r="M58" s="62"/>
      <c r="N58" s="62"/>
      <c r="O58" s="62"/>
      <c r="P58" s="62"/>
      <c r="Q58" s="162"/>
      <c r="R58" s="61"/>
    </row>
    <row r="59" spans="1:18" s="8" customFormat="1" ht="15">
      <c r="A59" s="115">
        <v>52</v>
      </c>
      <c r="B59" s="131"/>
      <c r="C59" s="55"/>
      <c r="D59" s="696" t="s">
        <v>579</v>
      </c>
      <c r="E59" s="691"/>
      <c r="F59" s="56"/>
      <c r="G59" s="56"/>
      <c r="H59" s="56"/>
      <c r="I59" s="179">
        <f>SUM(J59:Q59)</f>
        <v>0</v>
      </c>
      <c r="J59" s="57"/>
      <c r="K59" s="57"/>
      <c r="L59" s="57"/>
      <c r="M59" s="57"/>
      <c r="N59" s="57"/>
      <c r="O59" s="57"/>
      <c r="P59" s="57"/>
      <c r="Q59" s="58"/>
      <c r="R59" s="61"/>
    </row>
    <row r="60" spans="1:17" s="61" customFormat="1" ht="21.75" customHeight="1">
      <c r="A60" s="115">
        <v>53</v>
      </c>
      <c r="B60" s="74">
        <v>5</v>
      </c>
      <c r="C60" s="75"/>
      <c r="D60" s="677" t="s">
        <v>1227</v>
      </c>
      <c r="E60" s="698" t="s">
        <v>815</v>
      </c>
      <c r="F60" s="97">
        <v>222369</v>
      </c>
      <c r="G60" s="97">
        <v>294881</v>
      </c>
      <c r="H60" s="97">
        <v>289945</v>
      </c>
      <c r="I60" s="171"/>
      <c r="J60" s="76"/>
      <c r="K60" s="76"/>
      <c r="L60" s="76"/>
      <c r="M60" s="76"/>
      <c r="N60" s="76"/>
      <c r="O60" s="76"/>
      <c r="P60" s="76"/>
      <c r="Q60" s="129"/>
    </row>
    <row r="61" spans="1:17" ht="15">
      <c r="A61" s="115">
        <v>54</v>
      </c>
      <c r="B61" s="54"/>
      <c r="C61" s="59"/>
      <c r="D61" s="671" t="s">
        <v>647</v>
      </c>
      <c r="E61" s="688"/>
      <c r="F61" s="44"/>
      <c r="G61" s="44"/>
      <c r="H61" s="44"/>
      <c r="I61" s="168"/>
      <c r="J61" s="52"/>
      <c r="K61" s="52"/>
      <c r="L61" s="52"/>
      <c r="M61" s="52"/>
      <c r="N61" s="52"/>
      <c r="O61" s="52"/>
      <c r="P61" s="52"/>
      <c r="Q61" s="60"/>
    </row>
    <row r="62" spans="1:17" ht="15">
      <c r="A62" s="115">
        <v>55</v>
      </c>
      <c r="B62" s="124"/>
      <c r="C62" s="125"/>
      <c r="D62" s="689" t="s">
        <v>580</v>
      </c>
      <c r="E62" s="690"/>
      <c r="F62" s="169"/>
      <c r="G62" s="169"/>
      <c r="H62" s="169"/>
      <c r="I62" s="170">
        <f>SUM(J62:Q62)</f>
        <v>272389</v>
      </c>
      <c r="J62" s="126">
        <v>162467</v>
      </c>
      <c r="K62" s="126">
        <v>45193</v>
      </c>
      <c r="L62" s="126">
        <v>62259</v>
      </c>
      <c r="M62" s="126"/>
      <c r="N62" s="126">
        <v>1995</v>
      </c>
      <c r="O62" s="126">
        <v>475</v>
      </c>
      <c r="P62" s="126"/>
      <c r="Q62" s="128"/>
    </row>
    <row r="63" spans="1:17" ht="15">
      <c r="A63" s="115">
        <v>56</v>
      </c>
      <c r="B63" s="54"/>
      <c r="C63" s="59"/>
      <c r="D63" s="677" t="s">
        <v>581</v>
      </c>
      <c r="E63" s="688"/>
      <c r="F63" s="44"/>
      <c r="G63" s="44"/>
      <c r="H63" s="44"/>
      <c r="I63" s="171">
        <f>SUM(J63:Q63)</f>
        <v>315753</v>
      </c>
      <c r="J63" s="76">
        <v>176289</v>
      </c>
      <c r="K63" s="76">
        <v>52997</v>
      </c>
      <c r="L63" s="76">
        <v>68889</v>
      </c>
      <c r="M63" s="76"/>
      <c r="N63" s="76">
        <v>87</v>
      </c>
      <c r="O63" s="76">
        <v>17491</v>
      </c>
      <c r="P63" s="76"/>
      <c r="Q63" s="129"/>
    </row>
    <row r="64" spans="1:17" ht="15">
      <c r="A64" s="115">
        <v>57</v>
      </c>
      <c r="B64" s="131"/>
      <c r="C64" s="55"/>
      <c r="D64" s="672" t="s">
        <v>579</v>
      </c>
      <c r="E64" s="691"/>
      <c r="F64" s="56"/>
      <c r="G64" s="56"/>
      <c r="H64" s="56"/>
      <c r="I64" s="172">
        <f>SUM(J64:Q64)</f>
        <v>296806</v>
      </c>
      <c r="J64" s="57">
        <v>170773</v>
      </c>
      <c r="K64" s="57">
        <v>49936</v>
      </c>
      <c r="L64" s="57">
        <v>59250</v>
      </c>
      <c r="M64" s="57"/>
      <c r="N64" s="57">
        <v>87</v>
      </c>
      <c r="O64" s="57">
        <v>16760</v>
      </c>
      <c r="P64" s="57"/>
      <c r="Q64" s="58"/>
    </row>
    <row r="65" spans="1:17" s="76" customFormat="1" ht="30">
      <c r="A65" s="115">
        <v>58</v>
      </c>
      <c r="B65" s="74"/>
      <c r="C65" s="75">
        <v>1</v>
      </c>
      <c r="D65" s="692" t="s">
        <v>691</v>
      </c>
      <c r="E65" s="678"/>
      <c r="F65" s="693">
        <v>271</v>
      </c>
      <c r="G65" s="693"/>
      <c r="H65" s="97">
        <v>542</v>
      </c>
      <c r="I65" s="171"/>
      <c r="Q65" s="129"/>
    </row>
    <row r="66" spans="1:17" ht="15">
      <c r="A66" s="115">
        <v>59</v>
      </c>
      <c r="B66" s="124"/>
      <c r="C66" s="125"/>
      <c r="D66" s="694" t="s">
        <v>580</v>
      </c>
      <c r="E66" s="690"/>
      <c r="F66" s="169"/>
      <c r="G66" s="169"/>
      <c r="H66" s="169"/>
      <c r="I66" s="175">
        <f>SUM(J66:Q66)</f>
        <v>0</v>
      </c>
      <c r="J66" s="176"/>
      <c r="K66" s="176"/>
      <c r="L66" s="176"/>
      <c r="M66" s="176"/>
      <c r="N66" s="176"/>
      <c r="O66" s="176"/>
      <c r="P66" s="176"/>
      <c r="Q66" s="177"/>
    </row>
    <row r="67" spans="1:17" s="71" customFormat="1" ht="15">
      <c r="A67" s="115">
        <v>60</v>
      </c>
      <c r="B67" s="54"/>
      <c r="C67" s="59"/>
      <c r="D67" s="695" t="s">
        <v>581</v>
      </c>
      <c r="E67" s="688"/>
      <c r="F67" s="44"/>
      <c r="G67" s="44"/>
      <c r="H67" s="44"/>
      <c r="I67" s="178">
        <f>SUM(J67:Q67)</f>
        <v>0</v>
      </c>
      <c r="J67" s="62"/>
      <c r="K67" s="62"/>
      <c r="L67" s="62"/>
      <c r="M67" s="62"/>
      <c r="N67" s="62"/>
      <c r="O67" s="62"/>
      <c r="P67" s="62"/>
      <c r="Q67" s="162"/>
    </row>
    <row r="68" spans="1:17" s="61" customFormat="1" ht="15">
      <c r="A68" s="115">
        <v>61</v>
      </c>
      <c r="B68" s="131"/>
      <c r="C68" s="55"/>
      <c r="D68" s="696" t="s">
        <v>579</v>
      </c>
      <c r="E68" s="691"/>
      <c r="F68" s="56"/>
      <c r="G68" s="56"/>
      <c r="H68" s="56"/>
      <c r="I68" s="179">
        <f>SUM(J68:Q68)</f>
        <v>0</v>
      </c>
      <c r="J68" s="57"/>
      <c r="K68" s="57"/>
      <c r="L68" s="57"/>
      <c r="M68" s="57"/>
      <c r="N68" s="57"/>
      <c r="O68" s="57"/>
      <c r="P68" s="57"/>
      <c r="Q68" s="58"/>
    </row>
    <row r="69" spans="1:17" s="61" customFormat="1" ht="15">
      <c r="A69" s="115">
        <v>62</v>
      </c>
      <c r="B69" s="74"/>
      <c r="C69" s="75">
        <v>2</v>
      </c>
      <c r="D69" s="692" t="s">
        <v>813</v>
      </c>
      <c r="E69" s="678"/>
      <c r="F69" s="678"/>
      <c r="G69" s="678">
        <v>887</v>
      </c>
      <c r="H69" s="97">
        <v>866</v>
      </c>
      <c r="I69" s="171"/>
      <c r="J69" s="76"/>
      <c r="K69" s="76"/>
      <c r="L69" s="76"/>
      <c r="M69" s="76"/>
      <c r="N69" s="76"/>
      <c r="O69" s="76"/>
      <c r="P69" s="76"/>
      <c r="Q69" s="129"/>
    </row>
    <row r="70" spans="1:17" s="61" customFormat="1" ht="15">
      <c r="A70" s="115">
        <v>63</v>
      </c>
      <c r="B70" s="124"/>
      <c r="C70" s="125"/>
      <c r="D70" s="694" t="s">
        <v>580</v>
      </c>
      <c r="E70" s="690"/>
      <c r="F70" s="169"/>
      <c r="G70" s="169"/>
      <c r="H70" s="169"/>
      <c r="I70" s="175">
        <f>SUM(J70:Q70)</f>
        <v>0</v>
      </c>
      <c r="J70" s="176"/>
      <c r="K70" s="176"/>
      <c r="L70" s="176"/>
      <c r="M70" s="176"/>
      <c r="N70" s="176"/>
      <c r="O70" s="176"/>
      <c r="P70" s="176"/>
      <c r="Q70" s="177"/>
    </row>
    <row r="71" spans="1:17" s="61" customFormat="1" ht="15">
      <c r="A71" s="115">
        <v>64</v>
      </c>
      <c r="B71" s="54"/>
      <c r="C71" s="59"/>
      <c r="D71" s="695" t="s">
        <v>581</v>
      </c>
      <c r="E71" s="688"/>
      <c r="F71" s="44"/>
      <c r="G71" s="44"/>
      <c r="H71" s="44"/>
      <c r="I71" s="178">
        <f>SUM(J71:Q71)</f>
        <v>0</v>
      </c>
      <c r="J71" s="62"/>
      <c r="K71" s="62"/>
      <c r="L71" s="62"/>
      <c r="M71" s="62"/>
      <c r="N71" s="62"/>
      <c r="O71" s="62"/>
      <c r="P71" s="62"/>
      <c r="Q71" s="162"/>
    </row>
    <row r="72" spans="1:17" ht="15">
      <c r="A72" s="115">
        <v>65</v>
      </c>
      <c r="B72" s="131"/>
      <c r="C72" s="55"/>
      <c r="D72" s="696" t="s">
        <v>579</v>
      </c>
      <c r="E72" s="691"/>
      <c r="F72" s="56"/>
      <c r="G72" s="56"/>
      <c r="H72" s="56"/>
      <c r="I72" s="179">
        <f>SUM(J72:Q72)</f>
        <v>0</v>
      </c>
      <c r="J72" s="57"/>
      <c r="K72" s="57"/>
      <c r="L72" s="57"/>
      <c r="M72" s="57"/>
      <c r="N72" s="57"/>
      <c r="O72" s="57"/>
      <c r="P72" s="57"/>
      <c r="Q72" s="58"/>
    </row>
    <row r="73" spans="1:17" s="61" customFormat="1" ht="21.75" customHeight="1">
      <c r="A73" s="115">
        <v>66</v>
      </c>
      <c r="B73" s="74">
        <v>6</v>
      </c>
      <c r="C73" s="75"/>
      <c r="D73" s="677" t="s">
        <v>1228</v>
      </c>
      <c r="E73" s="698" t="s">
        <v>815</v>
      </c>
      <c r="F73" s="97">
        <v>95983</v>
      </c>
      <c r="G73" s="97">
        <v>111846</v>
      </c>
      <c r="H73" s="97">
        <v>116855</v>
      </c>
      <c r="I73" s="171"/>
      <c r="J73" s="76"/>
      <c r="K73" s="76"/>
      <c r="L73" s="76"/>
      <c r="M73" s="76"/>
      <c r="N73" s="76"/>
      <c r="O73" s="76"/>
      <c r="P73" s="76"/>
      <c r="Q73" s="129"/>
    </row>
    <row r="74" spans="1:17" s="799" customFormat="1" ht="15">
      <c r="A74" s="115">
        <v>67</v>
      </c>
      <c r="B74" s="54"/>
      <c r="C74" s="59"/>
      <c r="D74" s="671" t="s">
        <v>795</v>
      </c>
      <c r="E74" s="688"/>
      <c r="F74" s="44"/>
      <c r="G74" s="44"/>
      <c r="H74" s="44"/>
      <c r="I74" s="168"/>
      <c r="J74" s="52"/>
      <c r="K74" s="52"/>
      <c r="L74" s="52"/>
      <c r="M74" s="52"/>
      <c r="N74" s="52"/>
      <c r="O74" s="52"/>
      <c r="P74" s="52"/>
      <c r="Q74" s="60"/>
    </row>
    <row r="75" spans="1:17" s="799" customFormat="1" ht="15">
      <c r="A75" s="115">
        <v>68</v>
      </c>
      <c r="B75" s="124"/>
      <c r="C75" s="125"/>
      <c r="D75" s="689" t="s">
        <v>580</v>
      </c>
      <c r="E75" s="690"/>
      <c r="F75" s="169"/>
      <c r="G75" s="169"/>
      <c r="H75" s="169"/>
      <c r="I75" s="170">
        <f>SUM(J75:Q75)</f>
        <v>136414</v>
      </c>
      <c r="J75" s="126">
        <v>87372</v>
      </c>
      <c r="K75" s="126">
        <v>23986</v>
      </c>
      <c r="L75" s="126">
        <v>24213</v>
      </c>
      <c r="M75" s="126"/>
      <c r="N75" s="126">
        <v>350</v>
      </c>
      <c r="O75" s="126">
        <v>493</v>
      </c>
      <c r="P75" s="126"/>
      <c r="Q75" s="128"/>
    </row>
    <row r="76" spans="1:17" s="799" customFormat="1" ht="15">
      <c r="A76" s="115">
        <v>69</v>
      </c>
      <c r="B76" s="54"/>
      <c r="C76" s="59"/>
      <c r="D76" s="677" t="s">
        <v>581</v>
      </c>
      <c r="E76" s="688"/>
      <c r="F76" s="44"/>
      <c r="G76" s="44"/>
      <c r="H76" s="44"/>
      <c r="I76" s="171">
        <f>SUM(J76:Q76)</f>
        <v>143120</v>
      </c>
      <c r="J76" s="76">
        <v>88458</v>
      </c>
      <c r="K76" s="76">
        <v>26853</v>
      </c>
      <c r="L76" s="76">
        <v>20226</v>
      </c>
      <c r="M76" s="76"/>
      <c r="N76" s="76">
        <v>350</v>
      </c>
      <c r="O76" s="76">
        <v>7233</v>
      </c>
      <c r="P76" s="76"/>
      <c r="Q76" s="129"/>
    </row>
    <row r="77" spans="1:17" ht="15">
      <c r="A77" s="115">
        <v>70</v>
      </c>
      <c r="B77" s="131"/>
      <c r="C77" s="55"/>
      <c r="D77" s="672" t="s">
        <v>579</v>
      </c>
      <c r="E77" s="691"/>
      <c r="F77" s="56"/>
      <c r="G77" s="56"/>
      <c r="H77" s="56"/>
      <c r="I77" s="172">
        <f>SUM(J77:Q77)</f>
        <v>124554</v>
      </c>
      <c r="J77" s="57">
        <v>80065</v>
      </c>
      <c r="K77" s="57">
        <v>22974</v>
      </c>
      <c r="L77" s="57">
        <v>18236</v>
      </c>
      <c r="M77" s="57"/>
      <c r="N77" s="57">
        <v>29</v>
      </c>
      <c r="O77" s="57">
        <v>3250</v>
      </c>
      <c r="P77" s="57"/>
      <c r="Q77" s="58"/>
    </row>
    <row r="78" spans="1:17" s="76" customFormat="1" ht="30">
      <c r="A78" s="115">
        <v>71</v>
      </c>
      <c r="B78" s="74"/>
      <c r="C78" s="6">
        <v>1</v>
      </c>
      <c r="D78" s="692" t="s">
        <v>691</v>
      </c>
      <c r="E78" s="678"/>
      <c r="F78" s="693">
        <v>174</v>
      </c>
      <c r="G78" s="693"/>
      <c r="H78" s="97">
        <v>394</v>
      </c>
      <c r="I78" s="171"/>
      <c r="Q78" s="129"/>
    </row>
    <row r="79" spans="1:17" s="61" customFormat="1" ht="15">
      <c r="A79" s="115">
        <v>72</v>
      </c>
      <c r="B79" s="124"/>
      <c r="C79" s="125"/>
      <c r="D79" s="694" t="s">
        <v>580</v>
      </c>
      <c r="E79" s="690"/>
      <c r="F79" s="169"/>
      <c r="G79" s="169"/>
      <c r="H79" s="169"/>
      <c r="I79" s="175">
        <f>SUM(J79:Q79)</f>
        <v>0</v>
      </c>
      <c r="J79" s="176"/>
      <c r="K79" s="176"/>
      <c r="L79" s="176"/>
      <c r="M79" s="176"/>
      <c r="N79" s="176"/>
      <c r="O79" s="176"/>
      <c r="P79" s="176"/>
      <c r="Q79" s="177"/>
    </row>
    <row r="80" spans="1:17" s="61" customFormat="1" ht="15">
      <c r="A80" s="115">
        <v>73</v>
      </c>
      <c r="B80" s="54"/>
      <c r="C80" s="59"/>
      <c r="D80" s="695" t="s">
        <v>581</v>
      </c>
      <c r="E80" s="688"/>
      <c r="F80" s="44"/>
      <c r="G80" s="44"/>
      <c r="H80" s="44"/>
      <c r="I80" s="178">
        <f>SUM(J80:Q80)</f>
        <v>0</v>
      </c>
      <c r="J80" s="62"/>
      <c r="K80" s="62"/>
      <c r="L80" s="62"/>
      <c r="M80" s="62"/>
      <c r="N80" s="62"/>
      <c r="O80" s="62"/>
      <c r="P80" s="62"/>
      <c r="Q80" s="162"/>
    </row>
    <row r="81" spans="1:17" ht="15">
      <c r="A81" s="115">
        <v>74</v>
      </c>
      <c r="B81" s="131"/>
      <c r="C81" s="55"/>
      <c r="D81" s="696" t="s">
        <v>579</v>
      </c>
      <c r="E81" s="691"/>
      <c r="F81" s="56"/>
      <c r="G81" s="56"/>
      <c r="H81" s="56"/>
      <c r="I81" s="179">
        <f>SUM(J81:Q81)</f>
        <v>0</v>
      </c>
      <c r="J81" s="57"/>
      <c r="K81" s="57"/>
      <c r="L81" s="57"/>
      <c r="M81" s="57"/>
      <c r="N81" s="57"/>
      <c r="O81" s="57"/>
      <c r="P81" s="57"/>
      <c r="Q81" s="58"/>
    </row>
    <row r="82" spans="1:17" s="61" customFormat="1" ht="15">
      <c r="A82" s="115">
        <v>75</v>
      </c>
      <c r="B82" s="74"/>
      <c r="C82" s="75">
        <v>2</v>
      </c>
      <c r="D82" s="692" t="s">
        <v>813</v>
      </c>
      <c r="E82" s="678"/>
      <c r="F82" s="678"/>
      <c r="G82" s="678">
        <v>410</v>
      </c>
      <c r="H82" s="97">
        <v>1147</v>
      </c>
      <c r="I82" s="171"/>
      <c r="J82" s="76"/>
      <c r="K82" s="76"/>
      <c r="L82" s="76"/>
      <c r="M82" s="76"/>
      <c r="N82" s="76"/>
      <c r="O82" s="76"/>
      <c r="P82" s="76"/>
      <c r="Q82" s="129"/>
    </row>
    <row r="83" spans="1:18" s="52" customFormat="1" ht="15">
      <c r="A83" s="115">
        <v>76</v>
      </c>
      <c r="B83" s="180"/>
      <c r="C83" s="181"/>
      <c r="D83" s="694" t="s">
        <v>580</v>
      </c>
      <c r="E83" s="699"/>
      <c r="F83" s="700"/>
      <c r="G83" s="700"/>
      <c r="H83" s="182"/>
      <c r="I83" s="175">
        <f>SUM(J83:Q83)</f>
        <v>2236</v>
      </c>
      <c r="J83" s="139">
        <v>1900</v>
      </c>
      <c r="K83" s="139">
        <v>256</v>
      </c>
      <c r="L83" s="139">
        <v>80</v>
      </c>
      <c r="M83" s="139"/>
      <c r="N83" s="139"/>
      <c r="O83" s="139"/>
      <c r="P83" s="139"/>
      <c r="Q83" s="140"/>
      <c r="R83" s="800"/>
    </row>
    <row r="84" spans="1:18" s="52" customFormat="1" ht="15">
      <c r="A84" s="115">
        <v>77</v>
      </c>
      <c r="B84" s="54"/>
      <c r="C84" s="59"/>
      <c r="D84" s="695" t="s">
        <v>581</v>
      </c>
      <c r="E84" s="688"/>
      <c r="F84" s="44"/>
      <c r="G84" s="44"/>
      <c r="H84" s="44"/>
      <c r="I84" s="178">
        <f>SUM(J84:Q84)</f>
        <v>2236</v>
      </c>
      <c r="J84" s="62">
        <v>1900</v>
      </c>
      <c r="K84" s="62">
        <v>256</v>
      </c>
      <c r="L84" s="62">
        <v>80</v>
      </c>
      <c r="M84" s="62"/>
      <c r="N84" s="62"/>
      <c r="O84" s="62"/>
      <c r="P84" s="62"/>
      <c r="Q84" s="162"/>
      <c r="R84" s="800"/>
    </row>
    <row r="85" spans="1:17" ht="24" customHeight="1">
      <c r="A85" s="115">
        <v>78</v>
      </c>
      <c r="B85" s="132"/>
      <c r="C85" s="133"/>
      <c r="D85" s="701" t="s">
        <v>579</v>
      </c>
      <c r="E85" s="702"/>
      <c r="F85" s="183"/>
      <c r="G85" s="183"/>
      <c r="H85" s="183"/>
      <c r="I85" s="179">
        <f>SUM(J85:Q85)</f>
        <v>2512</v>
      </c>
      <c r="J85" s="134">
        <v>1753</v>
      </c>
      <c r="K85" s="134">
        <v>759</v>
      </c>
      <c r="L85" s="134"/>
      <c r="M85" s="134"/>
      <c r="N85" s="134"/>
      <c r="O85" s="134"/>
      <c r="P85" s="134"/>
      <c r="Q85" s="64"/>
    </row>
    <row r="86" spans="1:17" ht="19.5" customHeight="1">
      <c r="A86" s="115">
        <v>79</v>
      </c>
      <c r="B86" s="184"/>
      <c r="C86" s="185"/>
      <c r="D86" s="185" t="s">
        <v>796</v>
      </c>
      <c r="E86" s="186"/>
      <c r="F86" s="193">
        <f>SUM(F8:F82)</f>
        <v>1118328</v>
      </c>
      <c r="G86" s="193">
        <f>SUM(G8:G82)</f>
        <v>1440666</v>
      </c>
      <c r="H86" s="193">
        <f>SUM(H8:H82)</f>
        <v>1453627</v>
      </c>
      <c r="I86" s="187"/>
      <c r="J86" s="185"/>
      <c r="K86" s="185"/>
      <c r="L86" s="185"/>
      <c r="M86" s="185"/>
      <c r="N86" s="185"/>
      <c r="O86" s="185"/>
      <c r="P86" s="185"/>
      <c r="Q86" s="136"/>
    </row>
    <row r="87" spans="1:17" ht="19.5" customHeight="1">
      <c r="A87" s="115">
        <v>80</v>
      </c>
      <c r="B87" s="124"/>
      <c r="C87" s="125"/>
      <c r="D87" s="670" t="s">
        <v>580</v>
      </c>
      <c r="E87" s="690"/>
      <c r="F87" s="169"/>
      <c r="G87" s="169"/>
      <c r="H87" s="169"/>
      <c r="I87" s="173">
        <f>SUM(J87:Q87)</f>
        <v>1474005</v>
      </c>
      <c r="J87" s="139">
        <f>SUM(J83,J79,J75,J70,J66,J62,J57,J53,J49,J44,J40,J36,J31,J27,J23,J18,J14)+J10</f>
        <v>915610</v>
      </c>
      <c r="K87" s="139">
        <f aca="true" t="shared" si="0" ref="K87:Q87">SUM(K83,K79,K75,K70,K66,K62,K57,K53,K49,K44,K40,K36,K31,K27,K23,K18,K14)+K10</f>
        <v>253324</v>
      </c>
      <c r="L87" s="139">
        <f t="shared" si="0"/>
        <v>292028</v>
      </c>
      <c r="M87" s="139">
        <f t="shared" si="0"/>
        <v>0</v>
      </c>
      <c r="N87" s="139">
        <f t="shared" si="0"/>
        <v>7625</v>
      </c>
      <c r="O87" s="139">
        <f t="shared" si="0"/>
        <v>5418</v>
      </c>
      <c r="P87" s="139">
        <f t="shared" si="0"/>
        <v>0</v>
      </c>
      <c r="Q87" s="140">
        <f t="shared" si="0"/>
        <v>0</v>
      </c>
    </row>
    <row r="88" spans="1:17" ht="19.5" customHeight="1">
      <c r="A88" s="115">
        <v>81</v>
      </c>
      <c r="B88" s="54"/>
      <c r="C88" s="59"/>
      <c r="D88" s="671" t="s">
        <v>581</v>
      </c>
      <c r="E88" s="688"/>
      <c r="F88" s="44"/>
      <c r="G88" s="44"/>
      <c r="H88" s="44"/>
      <c r="I88" s="168">
        <f>SUM(J88:Q88)</f>
        <v>1601973</v>
      </c>
      <c r="J88" s="52">
        <f>SUM(J84,J80,J76,J71,J67,J63,J58,J54,J50,J45,J41,J37,J32,J28,J24,J19,J15,J11)</f>
        <v>960547</v>
      </c>
      <c r="K88" s="52">
        <f aca="true" t="shared" si="1" ref="K88:Q89">SUM(K84,K80,K76,K71,K67,K63,K58,K54,K50,K45,K41,K37,K32,K28,K24,K19,K15,K11)</f>
        <v>283137</v>
      </c>
      <c r="L88" s="52">
        <f t="shared" si="1"/>
        <v>304158</v>
      </c>
      <c r="M88" s="52">
        <f t="shared" si="1"/>
        <v>0</v>
      </c>
      <c r="N88" s="52">
        <f t="shared" si="1"/>
        <v>2085</v>
      </c>
      <c r="O88" s="52">
        <f t="shared" si="1"/>
        <v>51916</v>
      </c>
      <c r="P88" s="52">
        <f t="shared" si="1"/>
        <v>130</v>
      </c>
      <c r="Q88" s="60">
        <f t="shared" si="1"/>
        <v>0</v>
      </c>
    </row>
    <row r="89" spans="1:17" ht="19.5" customHeight="1" thickBot="1">
      <c r="A89" s="115">
        <v>82</v>
      </c>
      <c r="B89" s="188"/>
      <c r="C89" s="189"/>
      <c r="D89" s="703" t="s">
        <v>579</v>
      </c>
      <c r="E89" s="704"/>
      <c r="F89" s="190"/>
      <c r="G89" s="190"/>
      <c r="H89" s="190"/>
      <c r="I89" s="196">
        <f>SUM(J89:Q89)</f>
        <v>1503739</v>
      </c>
      <c r="J89" s="191">
        <f>SUM(J85,J81,J77,J72,J68,J64,J59,J55,J51,J46,J42,J38,J33,J29,J25,J20,J16,J12)</f>
        <v>934098</v>
      </c>
      <c r="K89" s="191">
        <f t="shared" si="1"/>
        <v>272825</v>
      </c>
      <c r="L89" s="191">
        <f t="shared" si="1"/>
        <v>252035</v>
      </c>
      <c r="M89" s="191">
        <f t="shared" si="1"/>
        <v>0</v>
      </c>
      <c r="N89" s="191">
        <f t="shared" si="1"/>
        <v>477</v>
      </c>
      <c r="O89" s="191">
        <f t="shared" si="1"/>
        <v>44174</v>
      </c>
      <c r="P89" s="191">
        <f t="shared" si="1"/>
        <v>130</v>
      </c>
      <c r="Q89" s="395">
        <f t="shared" si="1"/>
        <v>0</v>
      </c>
    </row>
    <row r="90" spans="1:17" s="61" customFormat="1" ht="25.5" customHeight="1" thickTop="1">
      <c r="A90" s="115">
        <v>83</v>
      </c>
      <c r="B90" s="74">
        <v>7</v>
      </c>
      <c r="C90" s="75"/>
      <c r="D90" s="677" t="s">
        <v>390</v>
      </c>
      <c r="E90" s="698" t="s">
        <v>815</v>
      </c>
      <c r="F90" s="97">
        <v>271763</v>
      </c>
      <c r="G90" s="97">
        <v>195303</v>
      </c>
      <c r="H90" s="97">
        <v>217986</v>
      </c>
      <c r="I90" s="171"/>
      <c r="J90" s="76"/>
      <c r="K90" s="76"/>
      <c r="L90" s="76"/>
      <c r="M90" s="76"/>
      <c r="N90" s="76"/>
      <c r="O90" s="76"/>
      <c r="P90" s="76"/>
      <c r="Q90" s="129"/>
    </row>
    <row r="91" spans="1:17" ht="15">
      <c r="A91" s="115">
        <v>84</v>
      </c>
      <c r="B91" s="124"/>
      <c r="C91" s="125"/>
      <c r="D91" s="705" t="s">
        <v>580</v>
      </c>
      <c r="E91" s="690"/>
      <c r="F91" s="169"/>
      <c r="G91" s="169"/>
      <c r="H91" s="169"/>
      <c r="I91" s="170">
        <f>SUM(J91:Q91)</f>
        <v>160137</v>
      </c>
      <c r="J91" s="126">
        <v>101878</v>
      </c>
      <c r="K91" s="126">
        <v>27764</v>
      </c>
      <c r="L91" s="126">
        <v>27630</v>
      </c>
      <c r="M91" s="127"/>
      <c r="N91" s="126">
        <v>1200</v>
      </c>
      <c r="O91" s="126">
        <v>1665</v>
      </c>
      <c r="P91" s="126"/>
      <c r="Q91" s="192"/>
    </row>
    <row r="92" spans="1:17" ht="15">
      <c r="A92" s="115">
        <v>85</v>
      </c>
      <c r="B92" s="54"/>
      <c r="C92" s="59"/>
      <c r="D92" s="673" t="s">
        <v>581</v>
      </c>
      <c r="E92" s="688"/>
      <c r="F92" s="44"/>
      <c r="G92" s="44"/>
      <c r="H92" s="44"/>
      <c r="I92" s="171">
        <f>SUM(J92:Q92)</f>
        <v>192266</v>
      </c>
      <c r="J92" s="76">
        <v>117979</v>
      </c>
      <c r="K92" s="76">
        <v>32901</v>
      </c>
      <c r="L92" s="76">
        <v>38606</v>
      </c>
      <c r="M92" s="77"/>
      <c r="N92" s="76">
        <v>0</v>
      </c>
      <c r="O92" s="76">
        <v>2780</v>
      </c>
      <c r="P92" s="76"/>
      <c r="Q92" s="130"/>
    </row>
    <row r="93" spans="1:17" ht="15">
      <c r="A93" s="115">
        <v>86</v>
      </c>
      <c r="B93" s="131"/>
      <c r="C93" s="55"/>
      <c r="D93" s="706" t="s">
        <v>579</v>
      </c>
      <c r="E93" s="691"/>
      <c r="F93" s="56"/>
      <c r="G93" s="56"/>
      <c r="H93" s="56"/>
      <c r="I93" s="172">
        <f>SUM(J93:Q93)</f>
        <v>163501</v>
      </c>
      <c r="J93" s="57">
        <v>105154</v>
      </c>
      <c r="K93" s="57">
        <v>29582</v>
      </c>
      <c r="L93" s="57">
        <v>26570</v>
      </c>
      <c r="M93" s="57"/>
      <c r="N93" s="57"/>
      <c r="O93" s="57">
        <v>2195</v>
      </c>
      <c r="P93" s="57"/>
      <c r="Q93" s="58"/>
    </row>
    <row r="94" spans="1:17" s="61" customFormat="1" ht="25.5" customHeight="1">
      <c r="A94" s="115">
        <v>87</v>
      </c>
      <c r="B94" s="74">
        <v>8</v>
      </c>
      <c r="C94" s="75"/>
      <c r="D94" s="677" t="s">
        <v>804</v>
      </c>
      <c r="E94" s="698" t="s">
        <v>815</v>
      </c>
      <c r="F94" s="97">
        <v>418719</v>
      </c>
      <c r="G94" s="97">
        <v>406867</v>
      </c>
      <c r="H94" s="97">
        <v>458327</v>
      </c>
      <c r="I94" s="171"/>
      <c r="J94" s="76"/>
      <c r="K94" s="76"/>
      <c r="L94" s="76"/>
      <c r="M94" s="76"/>
      <c r="N94" s="76"/>
      <c r="O94" s="76"/>
      <c r="P94" s="76"/>
      <c r="Q94" s="129"/>
    </row>
    <row r="95" spans="1:17" ht="15">
      <c r="A95" s="115">
        <v>88</v>
      </c>
      <c r="B95" s="124"/>
      <c r="C95" s="125"/>
      <c r="D95" s="705" t="s">
        <v>580</v>
      </c>
      <c r="E95" s="690"/>
      <c r="F95" s="169"/>
      <c r="G95" s="169"/>
      <c r="H95" s="169"/>
      <c r="I95" s="170">
        <f>SUM(J95:Q95)</f>
        <v>423423</v>
      </c>
      <c r="J95" s="126">
        <v>272929</v>
      </c>
      <c r="K95" s="126">
        <v>78317</v>
      </c>
      <c r="L95" s="126">
        <v>68147</v>
      </c>
      <c r="M95" s="127"/>
      <c r="N95" s="126">
        <v>3400</v>
      </c>
      <c r="O95" s="126">
        <v>630</v>
      </c>
      <c r="P95" s="126"/>
      <c r="Q95" s="192"/>
    </row>
    <row r="96" spans="1:17" ht="15">
      <c r="A96" s="115">
        <v>89</v>
      </c>
      <c r="B96" s="54"/>
      <c r="C96" s="59"/>
      <c r="D96" s="673" t="s">
        <v>581</v>
      </c>
      <c r="E96" s="688"/>
      <c r="F96" s="44"/>
      <c r="G96" s="44"/>
      <c r="H96" s="44"/>
      <c r="I96" s="171">
        <f>SUM(J96:Q96)</f>
        <v>518782</v>
      </c>
      <c r="J96" s="76">
        <v>328454</v>
      </c>
      <c r="K96" s="76">
        <v>95845</v>
      </c>
      <c r="L96" s="76">
        <v>83182</v>
      </c>
      <c r="M96" s="77"/>
      <c r="N96" s="76">
        <v>250</v>
      </c>
      <c r="O96" s="76">
        <v>11051</v>
      </c>
      <c r="P96" s="76"/>
      <c r="Q96" s="130"/>
    </row>
    <row r="97" spans="1:17" ht="15">
      <c r="A97" s="115">
        <v>90</v>
      </c>
      <c r="B97" s="131"/>
      <c r="C97" s="55"/>
      <c r="D97" s="706" t="s">
        <v>579</v>
      </c>
      <c r="E97" s="691"/>
      <c r="F97" s="56"/>
      <c r="G97" s="56"/>
      <c r="H97" s="56"/>
      <c r="I97" s="172">
        <f>SUM(J97:Q97)</f>
        <v>495729</v>
      </c>
      <c r="J97" s="118">
        <v>318580</v>
      </c>
      <c r="K97" s="118">
        <v>93819</v>
      </c>
      <c r="L97" s="118">
        <v>73693</v>
      </c>
      <c r="M97" s="118"/>
      <c r="N97" s="118">
        <v>247</v>
      </c>
      <c r="O97" s="118">
        <v>9390</v>
      </c>
      <c r="P97" s="118"/>
      <c r="Q97" s="65"/>
    </row>
    <row r="98" spans="1:17" ht="15">
      <c r="A98" s="115">
        <v>91</v>
      </c>
      <c r="B98" s="74"/>
      <c r="C98" s="75">
        <v>1</v>
      </c>
      <c r="D98" s="692" t="s">
        <v>813</v>
      </c>
      <c r="E98" s="678"/>
      <c r="F98" s="678"/>
      <c r="G98" s="678">
        <v>1937</v>
      </c>
      <c r="H98" s="97">
        <v>1452</v>
      </c>
      <c r="I98" s="171"/>
      <c r="J98" s="76"/>
      <c r="K98" s="76"/>
      <c r="L98" s="76"/>
      <c r="M98" s="76"/>
      <c r="N98" s="76"/>
      <c r="O98" s="76"/>
      <c r="P98" s="76"/>
      <c r="Q98" s="129"/>
    </row>
    <row r="99" spans="1:17" ht="15">
      <c r="A99" s="115">
        <v>93</v>
      </c>
      <c r="B99" s="54"/>
      <c r="C99" s="59"/>
      <c r="D99" s="695" t="s">
        <v>581</v>
      </c>
      <c r="E99" s="688"/>
      <c r="F99" s="44"/>
      <c r="G99" s="44"/>
      <c r="H99" s="44"/>
      <c r="I99" s="178">
        <f>SUM(J99:Q99)</f>
        <v>783</v>
      </c>
      <c r="J99" s="62">
        <v>704</v>
      </c>
      <c r="K99" s="62">
        <v>79</v>
      </c>
      <c r="L99" s="62"/>
      <c r="M99" s="62"/>
      <c r="N99" s="62"/>
      <c r="O99" s="62"/>
      <c r="P99" s="62"/>
      <c r="Q99" s="162"/>
    </row>
    <row r="100" spans="1:17" ht="15">
      <c r="A100" s="115">
        <v>94</v>
      </c>
      <c r="B100" s="131"/>
      <c r="C100" s="55"/>
      <c r="D100" s="696" t="s">
        <v>579</v>
      </c>
      <c r="E100" s="691"/>
      <c r="F100" s="56"/>
      <c r="G100" s="56"/>
      <c r="H100" s="56"/>
      <c r="I100" s="179">
        <f>SUM(J100:Q100)</f>
        <v>603</v>
      </c>
      <c r="J100" s="57">
        <v>531</v>
      </c>
      <c r="K100" s="57">
        <v>72</v>
      </c>
      <c r="L100" s="57"/>
      <c r="M100" s="57"/>
      <c r="N100" s="57"/>
      <c r="O100" s="57"/>
      <c r="P100" s="57"/>
      <c r="Q100" s="58"/>
    </row>
    <row r="101" spans="1:17" ht="30">
      <c r="A101" s="115">
        <v>95</v>
      </c>
      <c r="B101" s="74">
        <v>9</v>
      </c>
      <c r="C101" s="75"/>
      <c r="D101" s="678" t="s">
        <v>393</v>
      </c>
      <c r="E101" s="697" t="s">
        <v>815</v>
      </c>
      <c r="F101" s="97">
        <v>53669</v>
      </c>
      <c r="G101" s="97">
        <v>51889</v>
      </c>
      <c r="H101" s="97">
        <v>54648</v>
      </c>
      <c r="I101" s="172"/>
      <c r="J101" s="118"/>
      <c r="K101" s="118"/>
      <c r="L101" s="118"/>
      <c r="M101" s="118"/>
      <c r="N101" s="118"/>
      <c r="O101" s="118"/>
      <c r="P101" s="118"/>
      <c r="Q101" s="65"/>
    </row>
    <row r="102" spans="1:17" ht="15">
      <c r="A102" s="115">
        <v>96</v>
      </c>
      <c r="B102" s="124"/>
      <c r="C102" s="125"/>
      <c r="D102" s="705" t="s">
        <v>580</v>
      </c>
      <c r="E102" s="690"/>
      <c r="F102" s="169"/>
      <c r="G102" s="169"/>
      <c r="H102" s="169"/>
      <c r="I102" s="170">
        <f>SUM(J102:Q102)</f>
        <v>53330</v>
      </c>
      <c r="J102" s="126">
        <v>27516</v>
      </c>
      <c r="K102" s="126">
        <v>7028</v>
      </c>
      <c r="L102" s="126">
        <v>18213</v>
      </c>
      <c r="M102" s="127"/>
      <c r="N102" s="126">
        <v>358</v>
      </c>
      <c r="O102" s="126">
        <v>215</v>
      </c>
      <c r="P102" s="126"/>
      <c r="Q102" s="192"/>
    </row>
    <row r="103" spans="1:17" ht="15">
      <c r="A103" s="115">
        <v>97</v>
      </c>
      <c r="B103" s="54"/>
      <c r="C103" s="59"/>
      <c r="D103" s="673" t="s">
        <v>581</v>
      </c>
      <c r="E103" s="688"/>
      <c r="F103" s="44"/>
      <c r="G103" s="44"/>
      <c r="H103" s="44"/>
      <c r="I103" s="171">
        <f>SUM(J103:Q103)</f>
        <v>80390</v>
      </c>
      <c r="J103" s="76">
        <v>40950</v>
      </c>
      <c r="K103" s="76">
        <v>10300</v>
      </c>
      <c r="L103" s="76">
        <v>19437</v>
      </c>
      <c r="M103" s="77"/>
      <c r="N103" s="76">
        <v>58</v>
      </c>
      <c r="O103" s="76">
        <v>9645</v>
      </c>
      <c r="P103" s="76"/>
      <c r="Q103" s="130"/>
    </row>
    <row r="104" spans="1:17" ht="15">
      <c r="A104" s="115">
        <v>98</v>
      </c>
      <c r="B104" s="132"/>
      <c r="C104" s="133"/>
      <c r="D104" s="707" t="s">
        <v>579</v>
      </c>
      <c r="E104" s="702"/>
      <c r="F104" s="183"/>
      <c r="G104" s="183"/>
      <c r="H104" s="183"/>
      <c r="I104" s="172">
        <f>SUM(J104:Q104)</f>
        <v>71155</v>
      </c>
      <c r="J104" s="134">
        <v>35560</v>
      </c>
      <c r="K104" s="134">
        <v>8121</v>
      </c>
      <c r="L104" s="134">
        <v>18148</v>
      </c>
      <c r="M104" s="134"/>
      <c r="N104" s="134">
        <v>29</v>
      </c>
      <c r="O104" s="134">
        <v>9297</v>
      </c>
      <c r="P104" s="134"/>
      <c r="Q104" s="64"/>
    </row>
    <row r="105" spans="1:17" ht="15">
      <c r="A105" s="115">
        <v>99</v>
      </c>
      <c r="B105" s="74"/>
      <c r="C105" s="75">
        <v>1</v>
      </c>
      <c r="D105" s="692" t="s">
        <v>813</v>
      </c>
      <c r="E105" s="678"/>
      <c r="F105" s="678"/>
      <c r="G105" s="678"/>
      <c r="H105" s="97">
        <v>522</v>
      </c>
      <c r="I105" s="171"/>
      <c r="J105" s="76"/>
      <c r="K105" s="76"/>
      <c r="L105" s="76"/>
      <c r="M105" s="76"/>
      <c r="N105" s="76"/>
      <c r="O105" s="76"/>
      <c r="P105" s="76"/>
      <c r="Q105" s="129"/>
    </row>
    <row r="106" spans="1:17" ht="15">
      <c r="A106" s="115">
        <v>100</v>
      </c>
      <c r="B106" s="124"/>
      <c r="C106" s="125"/>
      <c r="D106" s="694" t="s">
        <v>580</v>
      </c>
      <c r="E106" s="690"/>
      <c r="F106" s="169"/>
      <c r="G106" s="169"/>
      <c r="H106" s="169"/>
      <c r="I106" s="175">
        <f>SUM(J106:Q106)</f>
        <v>268</v>
      </c>
      <c r="J106" s="176">
        <v>236</v>
      </c>
      <c r="K106" s="176">
        <v>32</v>
      </c>
      <c r="L106" s="176"/>
      <c r="M106" s="176"/>
      <c r="N106" s="176"/>
      <c r="O106" s="176"/>
      <c r="P106" s="176"/>
      <c r="Q106" s="177"/>
    </row>
    <row r="107" spans="1:17" ht="15">
      <c r="A107" s="115">
        <v>101</v>
      </c>
      <c r="B107" s="54"/>
      <c r="C107" s="59"/>
      <c r="D107" s="695" t="s">
        <v>581</v>
      </c>
      <c r="E107" s="688"/>
      <c r="F107" s="44"/>
      <c r="G107" s="44"/>
      <c r="H107" s="44"/>
      <c r="I107" s="171">
        <f>SUM(J107:Q107)</f>
        <v>1110</v>
      </c>
      <c r="J107" s="76">
        <v>977</v>
      </c>
      <c r="K107" s="76">
        <v>133</v>
      </c>
      <c r="L107" s="76"/>
      <c r="M107" s="77"/>
      <c r="N107" s="76"/>
      <c r="O107" s="76"/>
      <c r="P107" s="76"/>
      <c r="Q107" s="130"/>
    </row>
    <row r="108" spans="1:17" ht="15">
      <c r="A108" s="115">
        <v>102</v>
      </c>
      <c r="B108" s="132"/>
      <c r="C108" s="133"/>
      <c r="D108" s="701" t="s">
        <v>579</v>
      </c>
      <c r="E108" s="702"/>
      <c r="F108" s="183"/>
      <c r="G108" s="183"/>
      <c r="H108" s="183"/>
      <c r="I108" s="179">
        <f>SUM(J108:Q108)</f>
        <v>914</v>
      </c>
      <c r="J108" s="134">
        <v>805</v>
      </c>
      <c r="K108" s="134">
        <v>109</v>
      </c>
      <c r="L108" s="134"/>
      <c r="M108" s="134"/>
      <c r="N108" s="134"/>
      <c r="O108" s="134"/>
      <c r="P108" s="134"/>
      <c r="Q108" s="64"/>
    </row>
    <row r="109" spans="1:17" ht="15">
      <c r="A109" s="115">
        <v>103</v>
      </c>
      <c r="B109" s="184"/>
      <c r="C109" s="186"/>
      <c r="D109" s="708" t="s">
        <v>805</v>
      </c>
      <c r="E109" s="709"/>
      <c r="F109" s="193">
        <f>SUM(F90:F101)</f>
        <v>744151</v>
      </c>
      <c r="G109" s="193">
        <f>SUM(G90:G101)</f>
        <v>655996</v>
      </c>
      <c r="H109" s="193">
        <f>SUM(H90:H101)+H105</f>
        <v>732935</v>
      </c>
      <c r="I109" s="194"/>
      <c r="J109" s="195"/>
      <c r="K109" s="195"/>
      <c r="L109" s="195"/>
      <c r="M109" s="195"/>
      <c r="N109" s="195"/>
      <c r="O109" s="195"/>
      <c r="P109" s="195"/>
      <c r="Q109" s="144"/>
    </row>
    <row r="110" spans="1:17" ht="15">
      <c r="A110" s="115">
        <v>104</v>
      </c>
      <c r="B110" s="124"/>
      <c r="C110" s="125"/>
      <c r="D110" s="710" t="s">
        <v>580</v>
      </c>
      <c r="E110" s="690"/>
      <c r="F110" s="169"/>
      <c r="G110" s="169"/>
      <c r="H110" s="169"/>
      <c r="I110" s="173">
        <f>SUM(J110:Q110)</f>
        <v>637158</v>
      </c>
      <c r="J110" s="139">
        <f>SUM(J102,J95,J91)+J106</f>
        <v>402559</v>
      </c>
      <c r="K110" s="139">
        <f aca="true" t="shared" si="2" ref="K110:Q110">SUM(K102,K95,K91)+K106</f>
        <v>113141</v>
      </c>
      <c r="L110" s="139">
        <f t="shared" si="2"/>
        <v>113990</v>
      </c>
      <c r="M110" s="139">
        <f t="shared" si="2"/>
        <v>0</v>
      </c>
      <c r="N110" s="139">
        <f t="shared" si="2"/>
        <v>4958</v>
      </c>
      <c r="O110" s="139">
        <f t="shared" si="2"/>
        <v>2510</v>
      </c>
      <c r="P110" s="139">
        <f t="shared" si="2"/>
        <v>0</v>
      </c>
      <c r="Q110" s="140">
        <f t="shared" si="2"/>
        <v>0</v>
      </c>
    </row>
    <row r="111" spans="1:17" ht="15">
      <c r="A111" s="115">
        <v>105</v>
      </c>
      <c r="B111" s="54"/>
      <c r="C111" s="59"/>
      <c r="D111" s="711" t="s">
        <v>581</v>
      </c>
      <c r="E111" s="688"/>
      <c r="F111" s="44"/>
      <c r="G111" s="44"/>
      <c r="H111" s="44"/>
      <c r="I111" s="168">
        <f>SUM(J111:Q111)</f>
        <v>793331</v>
      </c>
      <c r="J111" s="52">
        <f aca="true" t="shared" si="3" ref="J111:Q112">SUM(J103,J99,J96,J92)+J107</f>
        <v>489064</v>
      </c>
      <c r="K111" s="52">
        <f t="shared" si="3"/>
        <v>139258</v>
      </c>
      <c r="L111" s="52">
        <f t="shared" si="3"/>
        <v>141225</v>
      </c>
      <c r="M111" s="52">
        <f t="shared" si="3"/>
        <v>0</v>
      </c>
      <c r="N111" s="52">
        <f t="shared" si="3"/>
        <v>308</v>
      </c>
      <c r="O111" s="52">
        <f t="shared" si="3"/>
        <v>23476</v>
      </c>
      <c r="P111" s="52">
        <f t="shared" si="3"/>
        <v>0</v>
      </c>
      <c r="Q111" s="60">
        <f t="shared" si="3"/>
        <v>0</v>
      </c>
    </row>
    <row r="112" spans="1:17" ht="15.75" thickBot="1">
      <c r="A112" s="115">
        <v>106</v>
      </c>
      <c r="B112" s="188"/>
      <c r="C112" s="189"/>
      <c r="D112" s="712" t="s">
        <v>579</v>
      </c>
      <c r="E112" s="704"/>
      <c r="F112" s="190"/>
      <c r="G112" s="190"/>
      <c r="H112" s="190"/>
      <c r="I112" s="196">
        <f>SUM(J112:Q112)</f>
        <v>731902</v>
      </c>
      <c r="J112" s="191">
        <f>SUM(J104,J100,J97,J93)+J108</f>
        <v>460630</v>
      </c>
      <c r="K112" s="191">
        <f>SUM(K104,K100,K97,K93)+K108</f>
        <v>131703</v>
      </c>
      <c r="L112" s="191">
        <f t="shared" si="3"/>
        <v>118411</v>
      </c>
      <c r="M112" s="191">
        <f t="shared" si="3"/>
        <v>0</v>
      </c>
      <c r="N112" s="191">
        <f t="shared" si="3"/>
        <v>276</v>
      </c>
      <c r="O112" s="191">
        <f t="shared" si="3"/>
        <v>20882</v>
      </c>
      <c r="P112" s="191">
        <f t="shared" si="3"/>
        <v>0</v>
      </c>
      <c r="Q112" s="395">
        <f t="shared" si="3"/>
        <v>0</v>
      </c>
    </row>
    <row r="113" spans="1:17" s="61" customFormat="1" ht="19.5" customHeight="1" thickTop="1">
      <c r="A113" s="115">
        <v>107</v>
      </c>
      <c r="B113" s="74">
        <v>10</v>
      </c>
      <c r="C113" s="75"/>
      <c r="D113" s="677" t="s">
        <v>583</v>
      </c>
      <c r="E113" s="698" t="s">
        <v>815</v>
      </c>
      <c r="F113" s="97">
        <v>172414</v>
      </c>
      <c r="G113" s="97">
        <v>162519</v>
      </c>
      <c r="H113" s="97">
        <v>174762</v>
      </c>
      <c r="I113" s="171"/>
      <c r="J113" s="76"/>
      <c r="K113" s="76"/>
      <c r="L113" s="76"/>
      <c r="M113" s="76"/>
      <c r="N113" s="76"/>
      <c r="O113" s="76"/>
      <c r="P113" s="76"/>
      <c r="Q113" s="129"/>
    </row>
    <row r="114" spans="1:17" ht="15">
      <c r="A114" s="115">
        <v>108</v>
      </c>
      <c r="B114" s="124"/>
      <c r="C114" s="125"/>
      <c r="D114" s="705" t="s">
        <v>580</v>
      </c>
      <c r="E114" s="690"/>
      <c r="F114" s="169"/>
      <c r="G114" s="169"/>
      <c r="H114" s="169"/>
      <c r="I114" s="170">
        <f>SUM(J114:Q114)</f>
        <v>162042</v>
      </c>
      <c r="J114" s="126">
        <v>61830</v>
      </c>
      <c r="K114" s="126">
        <v>16013</v>
      </c>
      <c r="L114" s="126">
        <v>65958</v>
      </c>
      <c r="M114" s="127"/>
      <c r="N114" s="126">
        <v>500</v>
      </c>
      <c r="O114" s="126">
        <v>17741</v>
      </c>
      <c r="P114" s="126"/>
      <c r="Q114" s="192"/>
    </row>
    <row r="115" spans="1:17" ht="15">
      <c r="A115" s="115">
        <v>109</v>
      </c>
      <c r="B115" s="54"/>
      <c r="C115" s="59"/>
      <c r="D115" s="673" t="s">
        <v>581</v>
      </c>
      <c r="E115" s="688"/>
      <c r="F115" s="44"/>
      <c r="G115" s="44"/>
      <c r="H115" s="44"/>
      <c r="I115" s="171">
        <f>SUM(J115:Q115)</f>
        <v>248150</v>
      </c>
      <c r="J115" s="76">
        <v>80856</v>
      </c>
      <c r="K115" s="76">
        <v>19868</v>
      </c>
      <c r="L115" s="76">
        <v>75533</v>
      </c>
      <c r="M115" s="77"/>
      <c r="N115" s="76">
        <v>43</v>
      </c>
      <c r="O115" s="76">
        <v>21741</v>
      </c>
      <c r="P115" s="76">
        <v>50109</v>
      </c>
      <c r="Q115" s="130"/>
    </row>
    <row r="116" spans="1:17" ht="15">
      <c r="A116" s="115">
        <v>110</v>
      </c>
      <c r="B116" s="131"/>
      <c r="C116" s="55"/>
      <c r="D116" s="706" t="s">
        <v>579</v>
      </c>
      <c r="E116" s="691"/>
      <c r="F116" s="56"/>
      <c r="G116" s="56"/>
      <c r="H116" s="56"/>
      <c r="I116" s="172">
        <f>SUM(J116:Q116)</f>
        <v>214023</v>
      </c>
      <c r="J116" s="57">
        <v>64433</v>
      </c>
      <c r="K116" s="57">
        <v>17783</v>
      </c>
      <c r="L116" s="57">
        <v>60020</v>
      </c>
      <c r="M116" s="57"/>
      <c r="N116" s="57">
        <v>43</v>
      </c>
      <c r="O116" s="57">
        <v>21635</v>
      </c>
      <c r="P116" s="57">
        <v>50109</v>
      </c>
      <c r="Q116" s="58"/>
    </row>
    <row r="117" spans="1:17" s="76" customFormat="1" ht="30">
      <c r="A117" s="115">
        <v>111</v>
      </c>
      <c r="B117" s="74"/>
      <c r="C117" s="6">
        <v>1</v>
      </c>
      <c r="D117" s="692" t="s">
        <v>767</v>
      </c>
      <c r="E117" s="678"/>
      <c r="F117" s="693"/>
      <c r="G117" s="693">
        <v>17664</v>
      </c>
      <c r="H117" s="97">
        <v>5059</v>
      </c>
      <c r="I117" s="171"/>
      <c r="Q117" s="129"/>
    </row>
    <row r="118" spans="1:17" ht="15">
      <c r="A118" s="115">
        <v>112</v>
      </c>
      <c r="B118" s="124"/>
      <c r="C118" s="125"/>
      <c r="D118" s="694" t="s">
        <v>580</v>
      </c>
      <c r="E118" s="690"/>
      <c r="F118" s="169"/>
      <c r="G118" s="169"/>
      <c r="H118" s="169"/>
      <c r="I118" s="175">
        <f>SUM(J118:Q118)</f>
        <v>13236</v>
      </c>
      <c r="J118" s="176"/>
      <c r="K118" s="176"/>
      <c r="L118" s="176">
        <v>13236</v>
      </c>
      <c r="M118" s="176"/>
      <c r="N118" s="176"/>
      <c r="O118" s="176"/>
      <c r="P118" s="176"/>
      <c r="Q118" s="177"/>
    </row>
    <row r="119" spans="1:17" ht="15">
      <c r="A119" s="115">
        <v>113</v>
      </c>
      <c r="B119" s="54"/>
      <c r="C119" s="59"/>
      <c r="D119" s="695" t="s">
        <v>581</v>
      </c>
      <c r="E119" s="688"/>
      <c r="F119" s="44"/>
      <c r="G119" s="44"/>
      <c r="H119" s="44"/>
      <c r="I119" s="178">
        <f>SUM(J119:Q119)</f>
        <v>34004</v>
      </c>
      <c r="J119" s="62">
        <v>1451</v>
      </c>
      <c r="K119" s="62"/>
      <c r="L119" s="62">
        <v>32553</v>
      </c>
      <c r="M119" s="62"/>
      <c r="N119" s="62"/>
      <c r="O119" s="62"/>
      <c r="P119" s="62"/>
      <c r="Q119" s="162"/>
    </row>
    <row r="120" spans="1:17" ht="15">
      <c r="A120" s="115">
        <v>114</v>
      </c>
      <c r="B120" s="131"/>
      <c r="C120" s="55"/>
      <c r="D120" s="696" t="s">
        <v>579</v>
      </c>
      <c r="E120" s="691"/>
      <c r="F120" s="56"/>
      <c r="G120" s="56"/>
      <c r="H120" s="56"/>
      <c r="I120" s="179">
        <f>SUM(J120:Q120)</f>
        <v>34004</v>
      </c>
      <c r="J120" s="57">
        <v>1451</v>
      </c>
      <c r="K120" s="57"/>
      <c r="L120" s="57">
        <v>32553</v>
      </c>
      <c r="M120" s="57"/>
      <c r="N120" s="57"/>
      <c r="O120" s="57"/>
      <c r="P120" s="57"/>
      <c r="Q120" s="58"/>
    </row>
    <row r="121" spans="1:17" s="76" customFormat="1" ht="45">
      <c r="A121" s="115">
        <v>115</v>
      </c>
      <c r="B121" s="74"/>
      <c r="C121" s="6">
        <v>2</v>
      </c>
      <c r="D121" s="692" t="s">
        <v>534</v>
      </c>
      <c r="E121" s="678"/>
      <c r="F121" s="693"/>
      <c r="G121" s="693"/>
      <c r="H121" s="97">
        <v>1811</v>
      </c>
      <c r="I121" s="171"/>
      <c r="Q121" s="129"/>
    </row>
    <row r="122" spans="1:17" ht="15">
      <c r="A122" s="115">
        <v>116</v>
      </c>
      <c r="B122" s="54"/>
      <c r="C122" s="59"/>
      <c r="D122" s="695" t="s">
        <v>581</v>
      </c>
      <c r="E122" s="688"/>
      <c r="F122" s="44"/>
      <c r="G122" s="44"/>
      <c r="H122" s="44"/>
      <c r="I122" s="178">
        <f>SUM(J122:Q122)</f>
        <v>0</v>
      </c>
      <c r="J122" s="62"/>
      <c r="K122" s="62"/>
      <c r="L122" s="62"/>
      <c r="M122" s="62"/>
      <c r="N122" s="62"/>
      <c r="O122" s="62"/>
      <c r="P122" s="62"/>
      <c r="Q122" s="162"/>
    </row>
    <row r="123" spans="1:17" ht="15">
      <c r="A123" s="115">
        <v>117</v>
      </c>
      <c r="B123" s="131"/>
      <c r="C123" s="55"/>
      <c r="D123" s="696" t="s">
        <v>579</v>
      </c>
      <c r="E123" s="691"/>
      <c r="F123" s="56"/>
      <c r="G123" s="56"/>
      <c r="H123" s="56"/>
      <c r="I123" s="179">
        <f>SUM(J123:Q123)</f>
        <v>0</v>
      </c>
      <c r="J123" s="57"/>
      <c r="K123" s="57"/>
      <c r="L123" s="57"/>
      <c r="M123" s="57"/>
      <c r="N123" s="57"/>
      <c r="O123" s="57"/>
      <c r="P123" s="57"/>
      <c r="Q123" s="58"/>
    </row>
    <row r="124" spans="1:17" s="76" customFormat="1" ht="30">
      <c r="A124" s="115">
        <v>118</v>
      </c>
      <c r="B124" s="74"/>
      <c r="C124" s="6">
        <v>3</v>
      </c>
      <c r="D124" s="692" t="s">
        <v>8</v>
      </c>
      <c r="E124" s="678"/>
      <c r="F124" s="693"/>
      <c r="G124" s="693"/>
      <c r="H124" s="97"/>
      <c r="I124" s="171"/>
      <c r="Q124" s="129"/>
    </row>
    <row r="125" spans="1:17" ht="15">
      <c r="A125" s="115">
        <v>120</v>
      </c>
      <c r="B125" s="54"/>
      <c r="C125" s="59"/>
      <c r="D125" s="695" t="s">
        <v>581</v>
      </c>
      <c r="E125" s="688"/>
      <c r="F125" s="44"/>
      <c r="G125" s="44"/>
      <c r="H125" s="44"/>
      <c r="I125" s="178">
        <f>SUM(J125:Q125)</f>
        <v>4510</v>
      </c>
      <c r="J125" s="62"/>
      <c r="K125" s="62"/>
      <c r="L125" s="62">
        <v>4510</v>
      </c>
      <c r="M125" s="62"/>
      <c r="N125" s="62"/>
      <c r="O125" s="62"/>
      <c r="P125" s="62"/>
      <c r="Q125" s="162"/>
    </row>
    <row r="126" spans="1:17" ht="15">
      <c r="A126" s="115">
        <v>121</v>
      </c>
      <c r="B126" s="131"/>
      <c r="C126" s="55"/>
      <c r="D126" s="696" t="s">
        <v>579</v>
      </c>
      <c r="E126" s="691"/>
      <c r="F126" s="56"/>
      <c r="G126" s="56"/>
      <c r="H126" s="56"/>
      <c r="I126" s="179">
        <f>SUM(J126:Q126)</f>
        <v>4093</v>
      </c>
      <c r="J126" s="57"/>
      <c r="K126" s="57"/>
      <c r="L126" s="57">
        <v>4093</v>
      </c>
      <c r="M126" s="57"/>
      <c r="N126" s="57"/>
      <c r="O126" s="57"/>
      <c r="P126" s="57"/>
      <c r="Q126" s="58"/>
    </row>
    <row r="127" spans="1:17" s="61" customFormat="1" ht="19.5" customHeight="1">
      <c r="A127" s="115">
        <v>122</v>
      </c>
      <c r="B127" s="74">
        <v>11</v>
      </c>
      <c r="C127" s="75"/>
      <c r="D127" s="677" t="s">
        <v>541</v>
      </c>
      <c r="E127" s="698" t="s">
        <v>815</v>
      </c>
      <c r="F127" s="97">
        <v>98692</v>
      </c>
      <c r="G127" s="97">
        <v>75506</v>
      </c>
      <c r="H127" s="97">
        <v>83378</v>
      </c>
      <c r="I127" s="171"/>
      <c r="J127" s="76"/>
      <c r="K127" s="76"/>
      <c r="L127" s="76"/>
      <c r="M127" s="76"/>
      <c r="N127" s="76"/>
      <c r="O127" s="76"/>
      <c r="P127" s="76"/>
      <c r="Q127" s="129"/>
    </row>
    <row r="128" spans="1:17" ht="15">
      <c r="A128" s="115">
        <v>123</v>
      </c>
      <c r="B128" s="124"/>
      <c r="C128" s="125"/>
      <c r="D128" s="705" t="s">
        <v>580</v>
      </c>
      <c r="E128" s="690"/>
      <c r="F128" s="169"/>
      <c r="G128" s="169"/>
      <c r="H128" s="169"/>
      <c r="I128" s="170">
        <f>SUM(J128:Q128)</f>
        <v>82967</v>
      </c>
      <c r="J128" s="126">
        <v>47656</v>
      </c>
      <c r="K128" s="126">
        <v>12676</v>
      </c>
      <c r="L128" s="126">
        <v>22435</v>
      </c>
      <c r="M128" s="127"/>
      <c r="N128" s="126">
        <v>200</v>
      </c>
      <c r="O128" s="126"/>
      <c r="P128" s="126"/>
      <c r="Q128" s="192"/>
    </row>
    <row r="129" spans="1:17" ht="15">
      <c r="A129" s="115">
        <v>124</v>
      </c>
      <c r="B129" s="54"/>
      <c r="C129" s="59"/>
      <c r="D129" s="673" t="s">
        <v>581</v>
      </c>
      <c r="E129" s="688"/>
      <c r="F129" s="44"/>
      <c r="G129" s="44"/>
      <c r="H129" s="44"/>
      <c r="I129" s="171">
        <f>SUM(J129:Q129)</f>
        <v>114551</v>
      </c>
      <c r="J129" s="76">
        <v>48962</v>
      </c>
      <c r="K129" s="76">
        <v>13133</v>
      </c>
      <c r="L129" s="76">
        <v>42185</v>
      </c>
      <c r="M129" s="77"/>
      <c r="N129" s="76">
        <v>41</v>
      </c>
      <c r="O129" s="76">
        <v>10230</v>
      </c>
      <c r="P129" s="76"/>
      <c r="Q129" s="130"/>
    </row>
    <row r="130" spans="1:17" ht="15">
      <c r="A130" s="115">
        <v>125</v>
      </c>
      <c r="B130" s="131"/>
      <c r="C130" s="55"/>
      <c r="D130" s="706" t="s">
        <v>579</v>
      </c>
      <c r="E130" s="691"/>
      <c r="F130" s="56"/>
      <c r="G130" s="56"/>
      <c r="H130" s="56"/>
      <c r="I130" s="171">
        <f>SUM(J130:Q130)</f>
        <v>99844</v>
      </c>
      <c r="J130" s="118">
        <v>47678</v>
      </c>
      <c r="K130" s="118">
        <v>12998</v>
      </c>
      <c r="L130" s="118">
        <v>35575</v>
      </c>
      <c r="M130" s="118"/>
      <c r="N130" s="118">
        <v>14</v>
      </c>
      <c r="O130" s="118">
        <v>3579</v>
      </c>
      <c r="P130" s="118"/>
      <c r="Q130" s="65"/>
    </row>
    <row r="131" spans="1:17" ht="30">
      <c r="A131" s="115">
        <v>126</v>
      </c>
      <c r="B131" s="54"/>
      <c r="C131" s="59">
        <v>1</v>
      </c>
      <c r="D131" s="692" t="s">
        <v>767</v>
      </c>
      <c r="E131" s="678"/>
      <c r="F131" s="693"/>
      <c r="G131" s="693">
        <v>9667</v>
      </c>
      <c r="H131" s="97">
        <v>11800</v>
      </c>
      <c r="I131" s="171"/>
      <c r="J131" s="76"/>
      <c r="K131" s="76"/>
      <c r="L131" s="76"/>
      <c r="M131" s="76"/>
      <c r="N131" s="76"/>
      <c r="O131" s="76"/>
      <c r="P131" s="76"/>
      <c r="Q131" s="129"/>
    </row>
    <row r="132" spans="1:17" ht="15">
      <c r="A132" s="115">
        <v>127</v>
      </c>
      <c r="B132" s="124"/>
      <c r="C132" s="125"/>
      <c r="D132" s="694" t="s">
        <v>580</v>
      </c>
      <c r="E132" s="690"/>
      <c r="F132" s="169"/>
      <c r="G132" s="169"/>
      <c r="H132" s="169"/>
      <c r="I132" s="175">
        <f>SUM(J132:Q132)</f>
        <v>8200</v>
      </c>
      <c r="J132" s="176"/>
      <c r="K132" s="176"/>
      <c r="L132" s="176">
        <v>8200</v>
      </c>
      <c r="M132" s="176"/>
      <c r="N132" s="176"/>
      <c r="O132" s="176"/>
      <c r="P132" s="176"/>
      <c r="Q132" s="177"/>
    </row>
    <row r="133" spans="1:17" ht="15">
      <c r="A133" s="115">
        <v>128</v>
      </c>
      <c r="B133" s="54"/>
      <c r="C133" s="59"/>
      <c r="D133" s="695" t="s">
        <v>581</v>
      </c>
      <c r="E133" s="688"/>
      <c r="F133" s="44"/>
      <c r="G133" s="44"/>
      <c r="H133" s="44"/>
      <c r="I133" s="178">
        <f>SUM(J133:Q133)</f>
        <v>11300</v>
      </c>
      <c r="J133" s="62"/>
      <c r="K133" s="62"/>
      <c r="L133" s="62">
        <v>11300</v>
      </c>
      <c r="M133" s="62"/>
      <c r="N133" s="62"/>
      <c r="O133" s="62"/>
      <c r="P133" s="62"/>
      <c r="Q133" s="162"/>
    </row>
    <row r="134" spans="1:17" ht="15">
      <c r="A134" s="115">
        <v>129</v>
      </c>
      <c r="B134" s="131"/>
      <c r="C134" s="55"/>
      <c r="D134" s="696" t="s">
        <v>579</v>
      </c>
      <c r="E134" s="691"/>
      <c r="F134" s="56"/>
      <c r="G134" s="56"/>
      <c r="H134" s="56"/>
      <c r="I134" s="179">
        <f>SUM(J134:Q134)</f>
        <v>11300</v>
      </c>
      <c r="J134" s="57"/>
      <c r="K134" s="57"/>
      <c r="L134" s="57">
        <v>11300</v>
      </c>
      <c r="M134" s="57"/>
      <c r="N134" s="57"/>
      <c r="O134" s="57"/>
      <c r="P134" s="57"/>
      <c r="Q134" s="58"/>
    </row>
    <row r="135" spans="1:17" ht="30">
      <c r="A135" s="115">
        <v>130</v>
      </c>
      <c r="B135" s="54"/>
      <c r="C135" s="59">
        <v>2</v>
      </c>
      <c r="D135" s="692" t="s">
        <v>480</v>
      </c>
      <c r="E135" s="678"/>
      <c r="F135" s="693"/>
      <c r="G135" s="693"/>
      <c r="H135" s="97">
        <v>1571</v>
      </c>
      <c r="I135" s="171"/>
      <c r="J135" s="76"/>
      <c r="K135" s="76"/>
      <c r="L135" s="76"/>
      <c r="M135" s="76"/>
      <c r="N135" s="76"/>
      <c r="O135" s="76"/>
      <c r="P135" s="76"/>
      <c r="Q135" s="129"/>
    </row>
    <row r="136" spans="1:17" ht="15">
      <c r="A136" s="115">
        <v>131</v>
      </c>
      <c r="B136" s="124"/>
      <c r="C136" s="125"/>
      <c r="D136" s="694" t="s">
        <v>580</v>
      </c>
      <c r="E136" s="690"/>
      <c r="F136" s="169"/>
      <c r="G136" s="169"/>
      <c r="H136" s="169"/>
      <c r="I136" s="175">
        <f>SUM(J136:Q136)</f>
        <v>0</v>
      </c>
      <c r="J136" s="176"/>
      <c r="K136" s="176"/>
      <c r="L136" s="176"/>
      <c r="M136" s="176"/>
      <c r="N136" s="176"/>
      <c r="O136" s="176"/>
      <c r="P136" s="176"/>
      <c r="Q136" s="177"/>
    </row>
    <row r="137" spans="1:17" ht="15">
      <c r="A137" s="115">
        <v>132</v>
      </c>
      <c r="B137" s="54"/>
      <c r="C137" s="59"/>
      <c r="D137" s="695" t="s">
        <v>581</v>
      </c>
      <c r="E137" s="688"/>
      <c r="F137" s="44"/>
      <c r="G137" s="44"/>
      <c r="H137" s="44"/>
      <c r="I137" s="178">
        <f>SUM(J137:Q137)</f>
        <v>996</v>
      </c>
      <c r="J137" s="62">
        <v>784</v>
      </c>
      <c r="K137" s="62">
        <v>212</v>
      </c>
      <c r="L137" s="62"/>
      <c r="M137" s="62"/>
      <c r="N137" s="62"/>
      <c r="O137" s="62"/>
      <c r="P137" s="62"/>
      <c r="Q137" s="162"/>
    </row>
    <row r="138" spans="1:17" ht="15">
      <c r="A138" s="115">
        <v>133</v>
      </c>
      <c r="B138" s="131"/>
      <c r="C138" s="55"/>
      <c r="D138" s="696" t="s">
        <v>579</v>
      </c>
      <c r="E138" s="691"/>
      <c r="F138" s="56"/>
      <c r="G138" s="56"/>
      <c r="H138" s="56"/>
      <c r="I138" s="179">
        <f>SUM(J138:Q138)</f>
        <v>955</v>
      </c>
      <c r="J138" s="57">
        <v>752</v>
      </c>
      <c r="K138" s="57">
        <v>203</v>
      </c>
      <c r="L138" s="57"/>
      <c r="M138" s="57"/>
      <c r="N138" s="57"/>
      <c r="O138" s="57"/>
      <c r="P138" s="57"/>
      <c r="Q138" s="58"/>
    </row>
    <row r="139" spans="1:17" s="61" customFormat="1" ht="19.5" customHeight="1">
      <c r="A139" s="115">
        <v>134</v>
      </c>
      <c r="B139" s="74">
        <v>12</v>
      </c>
      <c r="C139" s="75"/>
      <c r="D139" s="677" t="s">
        <v>809</v>
      </c>
      <c r="E139" s="698" t="s">
        <v>815</v>
      </c>
      <c r="F139" s="97">
        <v>357972</v>
      </c>
      <c r="G139" s="97">
        <v>356202</v>
      </c>
      <c r="H139" s="97">
        <v>396066</v>
      </c>
      <c r="I139" s="171"/>
      <c r="J139" s="76"/>
      <c r="K139" s="76"/>
      <c r="L139" s="76"/>
      <c r="M139" s="76"/>
      <c r="N139" s="76"/>
      <c r="O139" s="76"/>
      <c r="P139" s="76"/>
      <c r="Q139" s="129"/>
    </row>
    <row r="140" spans="1:17" ht="15">
      <c r="A140" s="115">
        <v>135</v>
      </c>
      <c r="B140" s="124"/>
      <c r="C140" s="125"/>
      <c r="D140" s="705" t="s">
        <v>580</v>
      </c>
      <c r="E140" s="690"/>
      <c r="F140" s="169"/>
      <c r="G140" s="169"/>
      <c r="H140" s="169"/>
      <c r="I140" s="170">
        <f>SUM(J140:Q140)</f>
        <v>364547</v>
      </c>
      <c r="J140" s="126">
        <v>130650</v>
      </c>
      <c r="K140" s="126">
        <v>36403</v>
      </c>
      <c r="L140" s="126">
        <v>183402</v>
      </c>
      <c r="M140" s="127"/>
      <c r="N140" s="126">
        <v>1392</v>
      </c>
      <c r="O140" s="126">
        <v>12700</v>
      </c>
      <c r="P140" s="126"/>
      <c r="Q140" s="192"/>
    </row>
    <row r="141" spans="1:17" ht="15">
      <c r="A141" s="115">
        <v>136</v>
      </c>
      <c r="B141" s="54"/>
      <c r="C141" s="59"/>
      <c r="D141" s="673" t="s">
        <v>581</v>
      </c>
      <c r="E141" s="688"/>
      <c r="F141" s="44"/>
      <c r="G141" s="44"/>
      <c r="H141" s="44"/>
      <c r="I141" s="171">
        <f>SUM(J141:Q141)</f>
        <v>413987</v>
      </c>
      <c r="J141" s="76">
        <v>149696</v>
      </c>
      <c r="K141" s="76">
        <v>41478</v>
      </c>
      <c r="L141" s="76">
        <v>203058</v>
      </c>
      <c r="M141" s="77"/>
      <c r="N141" s="76">
        <v>148</v>
      </c>
      <c r="O141" s="76">
        <v>19607</v>
      </c>
      <c r="P141" s="76"/>
      <c r="Q141" s="130"/>
    </row>
    <row r="142" spans="1:17" ht="15">
      <c r="A142" s="115">
        <v>137</v>
      </c>
      <c r="B142" s="131"/>
      <c r="C142" s="55"/>
      <c r="D142" s="706" t="s">
        <v>579</v>
      </c>
      <c r="E142" s="691"/>
      <c r="F142" s="56"/>
      <c r="G142" s="56"/>
      <c r="H142" s="56"/>
      <c r="I142" s="172">
        <f>SUM(J142:Q142)</f>
        <v>398783</v>
      </c>
      <c r="J142" s="57">
        <v>139836</v>
      </c>
      <c r="K142" s="57">
        <v>39897</v>
      </c>
      <c r="L142" s="57">
        <v>199502</v>
      </c>
      <c r="M142" s="57"/>
      <c r="N142" s="57">
        <v>148</v>
      </c>
      <c r="O142" s="57">
        <v>19400</v>
      </c>
      <c r="P142" s="57"/>
      <c r="Q142" s="58"/>
    </row>
    <row r="143" spans="1:17" ht="30">
      <c r="A143" s="115">
        <v>138</v>
      </c>
      <c r="B143" s="54"/>
      <c r="C143" s="59">
        <v>1</v>
      </c>
      <c r="D143" s="692" t="s">
        <v>514</v>
      </c>
      <c r="E143" s="678"/>
      <c r="F143" s="693">
        <v>30242</v>
      </c>
      <c r="G143" s="693"/>
      <c r="H143" s="97"/>
      <c r="I143" s="171"/>
      <c r="J143" s="76"/>
      <c r="K143" s="76"/>
      <c r="L143" s="76"/>
      <c r="M143" s="76"/>
      <c r="N143" s="76"/>
      <c r="O143" s="76"/>
      <c r="P143" s="76"/>
      <c r="Q143" s="129"/>
    </row>
    <row r="144" spans="1:17" ht="15">
      <c r="A144" s="115">
        <v>139</v>
      </c>
      <c r="B144" s="124"/>
      <c r="C144" s="125"/>
      <c r="D144" s="694" t="s">
        <v>580</v>
      </c>
      <c r="E144" s="690"/>
      <c r="F144" s="169"/>
      <c r="G144" s="169"/>
      <c r="H144" s="169"/>
      <c r="I144" s="175">
        <f>SUM(J144:Q144)</f>
        <v>0</v>
      </c>
      <c r="J144" s="176"/>
      <c r="K144" s="176"/>
      <c r="L144" s="176"/>
      <c r="M144" s="176"/>
      <c r="N144" s="176"/>
      <c r="O144" s="176"/>
      <c r="P144" s="176"/>
      <c r="Q144" s="177"/>
    </row>
    <row r="145" spans="1:17" ht="15">
      <c r="A145" s="115">
        <v>140</v>
      </c>
      <c r="B145" s="54"/>
      <c r="C145" s="59"/>
      <c r="D145" s="695" t="s">
        <v>581</v>
      </c>
      <c r="E145" s="688"/>
      <c r="F145" s="44"/>
      <c r="G145" s="44"/>
      <c r="H145" s="44"/>
      <c r="I145" s="178">
        <f>SUM(J145:Q145)</f>
        <v>0</v>
      </c>
      <c r="J145" s="62"/>
      <c r="K145" s="62"/>
      <c r="L145" s="62"/>
      <c r="M145" s="62"/>
      <c r="N145" s="62"/>
      <c r="O145" s="62"/>
      <c r="P145" s="62"/>
      <c r="Q145" s="162"/>
    </row>
    <row r="146" spans="1:17" ht="15">
      <c r="A146" s="115">
        <v>141</v>
      </c>
      <c r="B146" s="131"/>
      <c r="C146" s="55"/>
      <c r="D146" s="696" t="s">
        <v>579</v>
      </c>
      <c r="E146" s="691"/>
      <c r="F146" s="56"/>
      <c r="G146" s="56"/>
      <c r="H146" s="56"/>
      <c r="I146" s="179">
        <f>SUM(J146:Q146)</f>
        <v>0</v>
      </c>
      <c r="J146" s="57"/>
      <c r="K146" s="57"/>
      <c r="L146" s="57"/>
      <c r="M146" s="57"/>
      <c r="N146" s="57"/>
      <c r="O146" s="57"/>
      <c r="P146" s="57"/>
      <c r="Q146" s="58"/>
    </row>
    <row r="147" spans="1:17" ht="30">
      <c r="A147" s="115">
        <v>142</v>
      </c>
      <c r="B147" s="54"/>
      <c r="C147" s="59">
        <v>2</v>
      </c>
      <c r="D147" s="692" t="s">
        <v>515</v>
      </c>
      <c r="E147" s="678"/>
      <c r="F147" s="693">
        <v>15061</v>
      </c>
      <c r="G147" s="693"/>
      <c r="H147" s="97"/>
      <c r="I147" s="171"/>
      <c r="J147" s="76"/>
      <c r="K147" s="76"/>
      <c r="L147" s="76"/>
      <c r="M147" s="76"/>
      <c r="N147" s="76"/>
      <c r="O147" s="76"/>
      <c r="P147" s="76"/>
      <c r="Q147" s="129"/>
    </row>
    <row r="148" spans="1:17" ht="15">
      <c r="A148" s="115">
        <v>143</v>
      </c>
      <c r="B148" s="124"/>
      <c r="C148" s="125"/>
      <c r="D148" s="694" t="s">
        <v>580</v>
      </c>
      <c r="E148" s="690"/>
      <c r="F148" s="169"/>
      <c r="G148" s="169"/>
      <c r="H148" s="169"/>
      <c r="I148" s="175">
        <f>SUM(J148:Q148)</f>
        <v>0</v>
      </c>
      <c r="J148" s="176"/>
      <c r="K148" s="176"/>
      <c r="L148" s="176"/>
      <c r="M148" s="176"/>
      <c r="N148" s="176"/>
      <c r="O148" s="176"/>
      <c r="P148" s="176"/>
      <c r="Q148" s="177"/>
    </row>
    <row r="149" spans="1:17" ht="15">
      <c r="A149" s="115">
        <v>144</v>
      </c>
      <c r="B149" s="54"/>
      <c r="C149" s="59"/>
      <c r="D149" s="695" t="s">
        <v>581</v>
      </c>
      <c r="E149" s="688"/>
      <c r="F149" s="44"/>
      <c r="G149" s="44"/>
      <c r="H149" s="44"/>
      <c r="I149" s="178">
        <f>SUM(J149:Q149)</f>
        <v>0</v>
      </c>
      <c r="J149" s="62"/>
      <c r="K149" s="62"/>
      <c r="L149" s="62"/>
      <c r="M149" s="62"/>
      <c r="N149" s="62"/>
      <c r="O149" s="62"/>
      <c r="P149" s="62"/>
      <c r="Q149" s="162"/>
    </row>
    <row r="150" spans="1:17" ht="15">
      <c r="A150" s="115">
        <v>145</v>
      </c>
      <c r="B150" s="131"/>
      <c r="C150" s="55"/>
      <c r="D150" s="696" t="s">
        <v>579</v>
      </c>
      <c r="E150" s="691"/>
      <c r="F150" s="56"/>
      <c r="G150" s="56"/>
      <c r="H150" s="56"/>
      <c r="I150" s="179">
        <f>SUM(J150:Q150)</f>
        <v>0</v>
      </c>
      <c r="J150" s="57"/>
      <c r="K150" s="57"/>
      <c r="L150" s="57"/>
      <c r="M150" s="57"/>
      <c r="N150" s="57"/>
      <c r="O150" s="57"/>
      <c r="P150" s="57"/>
      <c r="Q150" s="58"/>
    </row>
    <row r="151" spans="1:17" ht="30">
      <c r="A151" s="115">
        <v>146</v>
      </c>
      <c r="B151" s="54"/>
      <c r="C151" s="59">
        <v>3</v>
      </c>
      <c r="D151" s="692" t="s">
        <v>516</v>
      </c>
      <c r="E151" s="678"/>
      <c r="F151" s="693">
        <v>4958</v>
      </c>
      <c r="G151" s="693">
        <v>2683</v>
      </c>
      <c r="H151" s="97">
        <v>5135</v>
      </c>
      <c r="I151" s="171"/>
      <c r="J151" s="76"/>
      <c r="K151" s="76"/>
      <c r="L151" s="76"/>
      <c r="M151" s="76"/>
      <c r="N151" s="76"/>
      <c r="O151" s="76"/>
      <c r="P151" s="76"/>
      <c r="Q151" s="129"/>
    </row>
    <row r="152" spans="1:17" ht="15">
      <c r="A152" s="115">
        <v>147</v>
      </c>
      <c r="B152" s="124"/>
      <c r="C152" s="125"/>
      <c r="D152" s="694" t="s">
        <v>580</v>
      </c>
      <c r="E152" s="690"/>
      <c r="F152" s="169"/>
      <c r="G152" s="169"/>
      <c r="H152" s="169"/>
      <c r="I152" s="175">
        <f>SUM(J152:Q152)</f>
        <v>0</v>
      </c>
      <c r="J152" s="176"/>
      <c r="K152" s="176"/>
      <c r="L152" s="176"/>
      <c r="M152" s="176"/>
      <c r="N152" s="176"/>
      <c r="O152" s="176"/>
      <c r="P152" s="176"/>
      <c r="Q152" s="177"/>
    </row>
    <row r="153" spans="1:17" ht="15">
      <c r="A153" s="115">
        <v>148</v>
      </c>
      <c r="B153" s="54"/>
      <c r="C153" s="59"/>
      <c r="D153" s="695" t="s">
        <v>581</v>
      </c>
      <c r="E153" s="688"/>
      <c r="F153" s="44"/>
      <c r="G153" s="44"/>
      <c r="H153" s="44"/>
      <c r="I153" s="178">
        <f>SUM(J153:Q153)</f>
        <v>0</v>
      </c>
      <c r="J153" s="62"/>
      <c r="K153" s="62"/>
      <c r="L153" s="62"/>
      <c r="M153" s="62"/>
      <c r="N153" s="62"/>
      <c r="O153" s="62"/>
      <c r="P153" s="62"/>
      <c r="Q153" s="162"/>
    </row>
    <row r="154" spans="1:17" ht="15">
      <c r="A154" s="115">
        <v>149</v>
      </c>
      <c r="B154" s="131"/>
      <c r="C154" s="55"/>
      <c r="D154" s="696" t="s">
        <v>579</v>
      </c>
      <c r="E154" s="691"/>
      <c r="F154" s="56"/>
      <c r="G154" s="56"/>
      <c r="H154" s="56"/>
      <c r="I154" s="179">
        <f>SUM(J154:Q154)</f>
        <v>0</v>
      </c>
      <c r="J154" s="57"/>
      <c r="K154" s="57"/>
      <c r="L154" s="57"/>
      <c r="M154" s="57"/>
      <c r="N154" s="57"/>
      <c r="O154" s="57"/>
      <c r="P154" s="57"/>
      <c r="Q154" s="58"/>
    </row>
    <row r="155" spans="1:17" ht="15">
      <c r="A155" s="115">
        <v>150</v>
      </c>
      <c r="B155" s="74"/>
      <c r="C155" s="75">
        <v>4</v>
      </c>
      <c r="D155" s="692" t="s">
        <v>813</v>
      </c>
      <c r="E155" s="678"/>
      <c r="F155" s="693"/>
      <c r="G155" s="693">
        <v>4054</v>
      </c>
      <c r="H155" s="97">
        <v>8869</v>
      </c>
      <c r="I155" s="171"/>
      <c r="J155" s="76"/>
      <c r="K155" s="76"/>
      <c r="L155" s="76"/>
      <c r="M155" s="76"/>
      <c r="N155" s="76"/>
      <c r="O155" s="76"/>
      <c r="P155" s="76"/>
      <c r="Q155" s="129"/>
    </row>
    <row r="156" spans="1:17" ht="15">
      <c r="A156" s="115">
        <v>151</v>
      </c>
      <c r="B156" s="124"/>
      <c r="C156" s="125"/>
      <c r="D156" s="694" t="s">
        <v>580</v>
      </c>
      <c r="E156" s="690"/>
      <c r="F156" s="169"/>
      <c r="G156" s="169"/>
      <c r="H156" s="169"/>
      <c r="I156" s="175">
        <f>SUM(J156:Q156)</f>
        <v>1258</v>
      </c>
      <c r="J156" s="176">
        <v>1108</v>
      </c>
      <c r="K156" s="176">
        <v>150</v>
      </c>
      <c r="L156" s="176"/>
      <c r="M156" s="176"/>
      <c r="N156" s="176"/>
      <c r="O156" s="176"/>
      <c r="P156" s="176"/>
      <c r="Q156" s="177"/>
    </row>
    <row r="157" spans="1:17" ht="15">
      <c r="A157" s="115">
        <v>152</v>
      </c>
      <c r="B157" s="54"/>
      <c r="C157" s="59"/>
      <c r="D157" s="695" t="s">
        <v>581</v>
      </c>
      <c r="E157" s="688"/>
      <c r="F157" s="44"/>
      <c r="G157" s="44"/>
      <c r="H157" s="44"/>
      <c r="I157" s="178">
        <f>SUM(J157:Q157)</f>
        <v>9297</v>
      </c>
      <c r="J157" s="62">
        <v>7807</v>
      </c>
      <c r="K157" s="62">
        <v>1490</v>
      </c>
      <c r="L157" s="62"/>
      <c r="M157" s="62"/>
      <c r="N157" s="62"/>
      <c r="O157" s="62"/>
      <c r="P157" s="62"/>
      <c r="Q157" s="162"/>
    </row>
    <row r="158" spans="1:17" ht="15">
      <c r="A158" s="115">
        <v>153</v>
      </c>
      <c r="B158" s="131"/>
      <c r="C158" s="55"/>
      <c r="D158" s="696" t="s">
        <v>579</v>
      </c>
      <c r="E158" s="691"/>
      <c r="F158" s="56"/>
      <c r="G158" s="56"/>
      <c r="H158" s="56"/>
      <c r="I158" s="179">
        <f>SUM(J158:Q158)</f>
        <v>7857</v>
      </c>
      <c r="J158" s="57">
        <v>6940</v>
      </c>
      <c r="K158" s="57">
        <v>917</v>
      </c>
      <c r="L158" s="57"/>
      <c r="M158" s="57"/>
      <c r="N158" s="57"/>
      <c r="O158" s="57"/>
      <c r="P158" s="57"/>
      <c r="Q158" s="58"/>
    </row>
    <row r="159" spans="1:17" s="61" customFormat="1" ht="21.75" customHeight="1">
      <c r="A159" s="115">
        <v>154</v>
      </c>
      <c r="B159" s="74">
        <v>13</v>
      </c>
      <c r="C159" s="75"/>
      <c r="D159" s="677" t="s">
        <v>810</v>
      </c>
      <c r="E159" s="698" t="s">
        <v>815</v>
      </c>
      <c r="F159" s="97">
        <v>249867</v>
      </c>
      <c r="G159" s="97">
        <v>237697</v>
      </c>
      <c r="H159" s="97">
        <v>359380</v>
      </c>
      <c r="I159" s="171"/>
      <c r="J159" s="76"/>
      <c r="K159" s="76"/>
      <c r="L159" s="76"/>
      <c r="M159" s="76"/>
      <c r="N159" s="76"/>
      <c r="O159" s="76"/>
      <c r="P159" s="76"/>
      <c r="Q159" s="129"/>
    </row>
    <row r="160" spans="1:17" ht="15">
      <c r="A160" s="115">
        <v>155</v>
      </c>
      <c r="B160" s="124"/>
      <c r="C160" s="125"/>
      <c r="D160" s="705" t="s">
        <v>580</v>
      </c>
      <c r="E160" s="690"/>
      <c r="F160" s="169"/>
      <c r="G160" s="169"/>
      <c r="H160" s="169"/>
      <c r="I160" s="170">
        <f>SUM(J160:Q160)</f>
        <v>314329</v>
      </c>
      <c r="J160" s="126">
        <v>120119</v>
      </c>
      <c r="K160" s="126">
        <v>29978</v>
      </c>
      <c r="L160" s="126">
        <v>161772</v>
      </c>
      <c r="M160" s="127"/>
      <c r="N160" s="126">
        <v>2100</v>
      </c>
      <c r="O160" s="126">
        <v>360</v>
      </c>
      <c r="P160" s="126"/>
      <c r="Q160" s="192"/>
    </row>
    <row r="161" spans="1:17" ht="15">
      <c r="A161" s="115">
        <v>156</v>
      </c>
      <c r="B161" s="54"/>
      <c r="C161" s="59"/>
      <c r="D161" s="673" t="s">
        <v>581</v>
      </c>
      <c r="E161" s="688"/>
      <c r="F161" s="44"/>
      <c r="G161" s="44"/>
      <c r="H161" s="44"/>
      <c r="I161" s="171">
        <f>SUM(J161:Q161)</f>
        <v>416685</v>
      </c>
      <c r="J161" s="76">
        <v>124978</v>
      </c>
      <c r="K161" s="76">
        <v>32617</v>
      </c>
      <c r="L161" s="76">
        <v>224779</v>
      </c>
      <c r="M161" s="77"/>
      <c r="N161" s="76">
        <v>4650</v>
      </c>
      <c r="O161" s="76">
        <v>27161</v>
      </c>
      <c r="P161" s="76">
        <v>2500</v>
      </c>
      <c r="Q161" s="130"/>
    </row>
    <row r="162" spans="1:17" ht="15">
      <c r="A162" s="115">
        <v>157</v>
      </c>
      <c r="B162" s="131"/>
      <c r="C162" s="55"/>
      <c r="D162" s="706" t="s">
        <v>579</v>
      </c>
      <c r="E162" s="691"/>
      <c r="F162" s="56"/>
      <c r="G162" s="56"/>
      <c r="H162" s="56"/>
      <c r="I162" s="172">
        <f>SUM(J162:Q162)</f>
        <v>327749</v>
      </c>
      <c r="J162" s="57">
        <v>121146</v>
      </c>
      <c r="K162" s="57">
        <v>32586</v>
      </c>
      <c r="L162" s="57">
        <v>153055</v>
      </c>
      <c r="M162" s="57"/>
      <c r="N162" s="57">
        <v>4412</v>
      </c>
      <c r="O162" s="57">
        <v>15578</v>
      </c>
      <c r="P162" s="57">
        <v>972</v>
      </c>
      <c r="Q162" s="58"/>
    </row>
    <row r="163" spans="1:17" ht="30">
      <c r="A163" s="115">
        <v>158</v>
      </c>
      <c r="B163" s="54"/>
      <c r="C163" s="59">
        <v>1</v>
      </c>
      <c r="D163" s="692" t="s">
        <v>517</v>
      </c>
      <c r="E163" s="678"/>
      <c r="F163" s="693">
        <v>11614</v>
      </c>
      <c r="G163" s="693">
        <v>10500</v>
      </c>
      <c r="H163" s="97">
        <v>15737</v>
      </c>
      <c r="I163" s="171"/>
      <c r="J163" s="76"/>
      <c r="K163" s="76"/>
      <c r="L163" s="76"/>
      <c r="M163" s="76"/>
      <c r="N163" s="76"/>
      <c r="O163" s="76"/>
      <c r="P163" s="76"/>
      <c r="Q163" s="129"/>
    </row>
    <row r="164" spans="1:17" ht="15">
      <c r="A164" s="115">
        <v>159</v>
      </c>
      <c r="B164" s="124"/>
      <c r="C164" s="125"/>
      <c r="D164" s="694" t="s">
        <v>580</v>
      </c>
      <c r="E164" s="690"/>
      <c r="F164" s="169"/>
      <c r="G164" s="169"/>
      <c r="H164" s="169"/>
      <c r="I164" s="175">
        <f>SUM(J164:Q164)</f>
        <v>0</v>
      </c>
      <c r="J164" s="176"/>
      <c r="K164" s="176"/>
      <c r="L164" s="176"/>
      <c r="M164" s="176"/>
      <c r="N164" s="176"/>
      <c r="O164" s="176"/>
      <c r="P164" s="176"/>
      <c r="Q164" s="177"/>
    </row>
    <row r="165" spans="1:17" ht="15">
      <c r="A165" s="115">
        <v>160</v>
      </c>
      <c r="B165" s="54"/>
      <c r="C165" s="59"/>
      <c r="D165" s="695" t="s">
        <v>581</v>
      </c>
      <c r="E165" s="688"/>
      <c r="F165" s="44"/>
      <c r="G165" s="44"/>
      <c r="H165" s="44"/>
      <c r="I165" s="178">
        <f>SUM(J165:Q165)</f>
        <v>0</v>
      </c>
      <c r="J165" s="62"/>
      <c r="K165" s="62"/>
      <c r="L165" s="62"/>
      <c r="M165" s="62"/>
      <c r="N165" s="62"/>
      <c r="O165" s="62"/>
      <c r="P165" s="62"/>
      <c r="Q165" s="162"/>
    </row>
    <row r="166" spans="1:17" ht="15">
      <c r="A166" s="115">
        <v>161</v>
      </c>
      <c r="B166" s="131"/>
      <c r="C166" s="55"/>
      <c r="D166" s="696" t="s">
        <v>579</v>
      </c>
      <c r="E166" s="691"/>
      <c r="F166" s="56"/>
      <c r="G166" s="56"/>
      <c r="H166" s="56"/>
      <c r="I166" s="179">
        <f>SUM(J166:Q166)</f>
        <v>0</v>
      </c>
      <c r="J166" s="57"/>
      <c r="K166" s="57"/>
      <c r="L166" s="57"/>
      <c r="M166" s="57"/>
      <c r="N166" s="57"/>
      <c r="O166" s="57"/>
      <c r="P166" s="57"/>
      <c r="Q166" s="58"/>
    </row>
    <row r="167" spans="1:17" ht="30">
      <c r="A167" s="115">
        <v>162</v>
      </c>
      <c r="B167" s="54"/>
      <c r="C167" s="59">
        <v>2</v>
      </c>
      <c r="D167" s="692" t="s">
        <v>518</v>
      </c>
      <c r="E167" s="678"/>
      <c r="F167" s="693">
        <v>14212</v>
      </c>
      <c r="G167" s="693"/>
      <c r="H167" s="97"/>
      <c r="I167" s="171"/>
      <c r="J167" s="76"/>
      <c r="K167" s="76"/>
      <c r="L167" s="76"/>
      <c r="M167" s="76"/>
      <c r="N167" s="76"/>
      <c r="O167" s="76"/>
      <c r="P167" s="76"/>
      <c r="Q167" s="129"/>
    </row>
    <row r="168" spans="1:17" ht="15">
      <c r="A168" s="115">
        <v>163</v>
      </c>
      <c r="B168" s="124"/>
      <c r="C168" s="125"/>
      <c r="D168" s="694" t="s">
        <v>580</v>
      </c>
      <c r="E168" s="690"/>
      <c r="F168" s="169"/>
      <c r="G168" s="169"/>
      <c r="H168" s="169"/>
      <c r="I168" s="175">
        <f>SUM(J168:Q168)</f>
        <v>0</v>
      </c>
      <c r="J168" s="176"/>
      <c r="K168" s="176"/>
      <c r="L168" s="176"/>
      <c r="M168" s="176"/>
      <c r="N168" s="176"/>
      <c r="O168" s="176"/>
      <c r="P168" s="176"/>
      <c r="Q168" s="177"/>
    </row>
    <row r="169" spans="1:17" ht="15">
      <c r="A169" s="115">
        <v>164</v>
      </c>
      <c r="B169" s="54"/>
      <c r="C169" s="59"/>
      <c r="D169" s="695" t="s">
        <v>581</v>
      </c>
      <c r="E169" s="688"/>
      <c r="F169" s="44"/>
      <c r="G169" s="44"/>
      <c r="H169" s="44"/>
      <c r="I169" s="178">
        <f>SUM(J169:Q169)</f>
        <v>0</v>
      </c>
      <c r="J169" s="62"/>
      <c r="K169" s="62"/>
      <c r="L169" s="62"/>
      <c r="M169" s="62"/>
      <c r="N169" s="62"/>
      <c r="O169" s="62"/>
      <c r="P169" s="62"/>
      <c r="Q169" s="162"/>
    </row>
    <row r="170" spans="1:17" ht="15">
      <c r="A170" s="115">
        <v>165</v>
      </c>
      <c r="B170" s="131"/>
      <c r="C170" s="55"/>
      <c r="D170" s="696" t="s">
        <v>579</v>
      </c>
      <c r="E170" s="691"/>
      <c r="F170" s="56"/>
      <c r="G170" s="56"/>
      <c r="H170" s="56"/>
      <c r="I170" s="179">
        <f>SUM(J170:Q170)</f>
        <v>0</v>
      </c>
      <c r="J170" s="57"/>
      <c r="K170" s="57"/>
      <c r="L170" s="57"/>
      <c r="M170" s="57"/>
      <c r="N170" s="57"/>
      <c r="O170" s="57"/>
      <c r="P170" s="57"/>
      <c r="Q170" s="58"/>
    </row>
    <row r="171" spans="1:17" ht="30">
      <c r="A171" s="115">
        <v>166</v>
      </c>
      <c r="B171" s="54"/>
      <c r="C171" s="59">
        <v>3</v>
      </c>
      <c r="D171" s="692" t="s">
        <v>519</v>
      </c>
      <c r="E171" s="678"/>
      <c r="F171" s="693"/>
      <c r="G171" s="693"/>
      <c r="H171" s="97"/>
      <c r="I171" s="171"/>
      <c r="J171" s="76"/>
      <c r="K171" s="76"/>
      <c r="L171" s="76"/>
      <c r="M171" s="76"/>
      <c r="N171" s="76"/>
      <c r="O171" s="76"/>
      <c r="P171" s="76"/>
      <c r="Q171" s="129"/>
    </row>
    <row r="172" spans="1:17" ht="15">
      <c r="A172" s="115">
        <v>167</v>
      </c>
      <c r="B172" s="124"/>
      <c r="C172" s="125"/>
      <c r="D172" s="694" t="s">
        <v>580</v>
      </c>
      <c r="E172" s="690"/>
      <c r="F172" s="169"/>
      <c r="G172" s="169"/>
      <c r="H172" s="169"/>
      <c r="I172" s="175">
        <f>SUM(J172:Q172)</f>
        <v>0</v>
      </c>
      <c r="J172" s="176"/>
      <c r="K172" s="176"/>
      <c r="L172" s="176"/>
      <c r="M172" s="176"/>
      <c r="N172" s="176"/>
      <c r="O172" s="176"/>
      <c r="P172" s="176"/>
      <c r="Q172" s="177"/>
    </row>
    <row r="173" spans="1:17" ht="15">
      <c r="A173" s="115">
        <v>168</v>
      </c>
      <c r="B173" s="54"/>
      <c r="C173" s="59"/>
      <c r="D173" s="695" t="s">
        <v>581</v>
      </c>
      <c r="E173" s="688"/>
      <c r="F173" s="44"/>
      <c r="G173" s="44"/>
      <c r="H173" s="44"/>
      <c r="I173" s="178">
        <f>SUM(J173:Q173)</f>
        <v>0</v>
      </c>
      <c r="J173" s="62"/>
      <c r="K173" s="62"/>
      <c r="L173" s="62"/>
      <c r="M173" s="62"/>
      <c r="N173" s="62"/>
      <c r="O173" s="62"/>
      <c r="P173" s="62"/>
      <c r="Q173" s="162"/>
    </row>
    <row r="174" spans="1:17" ht="15">
      <c r="A174" s="115">
        <v>169</v>
      </c>
      <c r="B174" s="131"/>
      <c r="C174" s="55"/>
      <c r="D174" s="696" t="s">
        <v>579</v>
      </c>
      <c r="E174" s="691"/>
      <c r="F174" s="56"/>
      <c r="G174" s="56"/>
      <c r="H174" s="56"/>
      <c r="I174" s="179">
        <f>SUM(J174:Q174)</f>
        <v>0</v>
      </c>
      <c r="J174" s="57"/>
      <c r="K174" s="57"/>
      <c r="L174" s="57"/>
      <c r="M174" s="57"/>
      <c r="N174" s="57"/>
      <c r="O174" s="57"/>
      <c r="P174" s="57"/>
      <c r="Q174" s="58"/>
    </row>
    <row r="175" spans="1:17" ht="15">
      <c r="A175" s="115">
        <v>170</v>
      </c>
      <c r="B175" s="74"/>
      <c r="C175" s="75">
        <v>4</v>
      </c>
      <c r="D175" s="692" t="s">
        <v>813</v>
      </c>
      <c r="E175" s="678"/>
      <c r="F175" s="693">
        <v>11120</v>
      </c>
      <c r="G175" s="693">
        <v>23403</v>
      </c>
      <c r="H175" s="97">
        <v>25709</v>
      </c>
      <c r="I175" s="171"/>
      <c r="J175" s="76"/>
      <c r="K175" s="76"/>
      <c r="L175" s="76"/>
      <c r="M175" s="76"/>
      <c r="N175" s="76"/>
      <c r="O175" s="76"/>
      <c r="P175" s="76"/>
      <c r="Q175" s="129"/>
    </row>
    <row r="176" spans="1:17" ht="15">
      <c r="A176" s="115">
        <v>171</v>
      </c>
      <c r="B176" s="124"/>
      <c r="C176" s="125"/>
      <c r="D176" s="694" t="s">
        <v>580</v>
      </c>
      <c r="E176" s="690"/>
      <c r="F176" s="169"/>
      <c r="G176" s="169"/>
      <c r="H176" s="169"/>
      <c r="I176" s="175">
        <f>SUM(J176:Q176)</f>
        <v>36011</v>
      </c>
      <c r="J176" s="176">
        <v>31728</v>
      </c>
      <c r="K176" s="176">
        <v>4283</v>
      </c>
      <c r="L176" s="176"/>
      <c r="M176" s="176"/>
      <c r="N176" s="176"/>
      <c r="O176" s="176"/>
      <c r="P176" s="176"/>
      <c r="Q176" s="177"/>
    </row>
    <row r="177" spans="1:17" ht="15">
      <c r="A177" s="115">
        <v>172</v>
      </c>
      <c r="B177" s="54"/>
      <c r="C177" s="59"/>
      <c r="D177" s="695" t="s">
        <v>581</v>
      </c>
      <c r="E177" s="688"/>
      <c r="F177" s="44"/>
      <c r="G177" s="44"/>
      <c r="H177" s="44"/>
      <c r="I177" s="178">
        <f>SUM(J177:Q177)</f>
        <v>36011</v>
      </c>
      <c r="J177" s="62">
        <v>31728</v>
      </c>
      <c r="K177" s="62">
        <v>4283</v>
      </c>
      <c r="L177" s="62"/>
      <c r="M177" s="62"/>
      <c r="N177" s="62"/>
      <c r="O177" s="62"/>
      <c r="P177" s="62"/>
      <c r="Q177" s="162"/>
    </row>
    <row r="178" spans="1:17" ht="15">
      <c r="A178" s="115">
        <v>173</v>
      </c>
      <c r="B178" s="131"/>
      <c r="C178" s="55"/>
      <c r="D178" s="696" t="s">
        <v>579</v>
      </c>
      <c r="E178" s="691"/>
      <c r="F178" s="56"/>
      <c r="G178" s="56"/>
      <c r="H178" s="56"/>
      <c r="I178" s="179">
        <f>SUM(J178:Q178)</f>
        <v>27197</v>
      </c>
      <c r="J178" s="57">
        <v>24601</v>
      </c>
      <c r="K178" s="57">
        <v>2596</v>
      </c>
      <c r="L178" s="57"/>
      <c r="M178" s="57"/>
      <c r="N178" s="57"/>
      <c r="O178" s="57"/>
      <c r="P178" s="57"/>
      <c r="Q178" s="58"/>
    </row>
    <row r="179" spans="1:17" ht="39.75" customHeight="1">
      <c r="A179" s="115">
        <v>174</v>
      </c>
      <c r="B179" s="74">
        <v>14</v>
      </c>
      <c r="C179" s="59"/>
      <c r="D179" s="678" t="s">
        <v>542</v>
      </c>
      <c r="E179" s="697" t="s">
        <v>781</v>
      </c>
      <c r="F179" s="97">
        <v>98683</v>
      </c>
      <c r="G179" s="97">
        <v>80499</v>
      </c>
      <c r="H179" s="97">
        <v>97804</v>
      </c>
      <c r="I179" s="174"/>
      <c r="J179" s="57"/>
      <c r="K179" s="57"/>
      <c r="L179" s="57"/>
      <c r="M179" s="57"/>
      <c r="N179" s="57"/>
      <c r="O179" s="57"/>
      <c r="P179" s="57"/>
      <c r="Q179" s="58"/>
    </row>
    <row r="180" spans="1:17" ht="15">
      <c r="A180" s="115">
        <v>175</v>
      </c>
      <c r="B180" s="124"/>
      <c r="C180" s="125"/>
      <c r="D180" s="705" t="s">
        <v>580</v>
      </c>
      <c r="E180" s="690"/>
      <c r="F180" s="169"/>
      <c r="G180" s="169"/>
      <c r="H180" s="169"/>
      <c r="I180" s="170">
        <f>SUM(J180:Q180)</f>
        <v>90645</v>
      </c>
      <c r="J180" s="126">
        <v>42877</v>
      </c>
      <c r="K180" s="126">
        <v>11253</v>
      </c>
      <c r="L180" s="126">
        <v>36085</v>
      </c>
      <c r="M180" s="127"/>
      <c r="N180" s="126">
        <v>180</v>
      </c>
      <c r="O180" s="126">
        <v>250</v>
      </c>
      <c r="P180" s="126"/>
      <c r="Q180" s="192"/>
    </row>
    <row r="181" spans="1:17" ht="15">
      <c r="A181" s="115">
        <v>176</v>
      </c>
      <c r="B181" s="54"/>
      <c r="C181" s="59"/>
      <c r="D181" s="673" t="s">
        <v>581</v>
      </c>
      <c r="E181" s="688"/>
      <c r="F181" s="44"/>
      <c r="G181" s="44"/>
      <c r="H181" s="44"/>
      <c r="I181" s="171">
        <f>SUM(J181:Q181)</f>
        <v>110385</v>
      </c>
      <c r="J181" s="76">
        <v>45985</v>
      </c>
      <c r="K181" s="76">
        <v>12298</v>
      </c>
      <c r="L181" s="76">
        <v>50685</v>
      </c>
      <c r="M181" s="77"/>
      <c r="N181" s="76"/>
      <c r="O181" s="76">
        <v>1417</v>
      </c>
      <c r="P181" s="76"/>
      <c r="Q181" s="130"/>
    </row>
    <row r="182" spans="1:17" ht="15">
      <c r="A182" s="115">
        <v>177</v>
      </c>
      <c r="B182" s="131"/>
      <c r="C182" s="55"/>
      <c r="D182" s="706" t="s">
        <v>579</v>
      </c>
      <c r="E182" s="688"/>
      <c r="F182" s="44"/>
      <c r="G182" s="44"/>
      <c r="H182" s="44"/>
      <c r="I182" s="172">
        <f>SUM(J182:Q182)</f>
        <v>106976</v>
      </c>
      <c r="J182" s="57">
        <v>45032</v>
      </c>
      <c r="K182" s="57">
        <v>11969</v>
      </c>
      <c r="L182" s="57">
        <v>48568</v>
      </c>
      <c r="M182" s="57"/>
      <c r="N182" s="57"/>
      <c r="O182" s="57">
        <v>1407</v>
      </c>
      <c r="P182" s="57"/>
      <c r="Q182" s="58"/>
    </row>
    <row r="183" spans="1:17" ht="45">
      <c r="A183" s="115">
        <v>178</v>
      </c>
      <c r="B183" s="131"/>
      <c r="C183" s="59">
        <v>1</v>
      </c>
      <c r="D183" s="692" t="s">
        <v>534</v>
      </c>
      <c r="E183" s="688"/>
      <c r="F183" s="44"/>
      <c r="G183" s="44"/>
      <c r="H183" s="44">
        <v>1235</v>
      </c>
      <c r="I183" s="172"/>
      <c r="J183" s="57"/>
      <c r="K183" s="57"/>
      <c r="L183" s="57"/>
      <c r="M183" s="57"/>
      <c r="N183" s="57"/>
      <c r="O183" s="57"/>
      <c r="P183" s="57"/>
      <c r="Q183" s="58"/>
    </row>
    <row r="184" spans="1:17" ht="15">
      <c r="A184" s="115">
        <v>179</v>
      </c>
      <c r="B184" s="54"/>
      <c r="C184" s="59"/>
      <c r="D184" s="695" t="s">
        <v>581</v>
      </c>
      <c r="E184" s="688"/>
      <c r="F184" s="44"/>
      <c r="G184" s="44"/>
      <c r="H184" s="44"/>
      <c r="I184" s="171">
        <f>SUM(J184:Q184)</f>
        <v>0</v>
      </c>
      <c r="J184" s="76"/>
      <c r="K184" s="76"/>
      <c r="L184" s="76"/>
      <c r="M184" s="77"/>
      <c r="N184" s="76"/>
      <c r="O184" s="76"/>
      <c r="P184" s="76"/>
      <c r="Q184" s="130"/>
    </row>
    <row r="185" spans="1:17" ht="15">
      <c r="A185" s="115">
        <v>180</v>
      </c>
      <c r="B185" s="131"/>
      <c r="C185" s="59"/>
      <c r="D185" s="696" t="s">
        <v>579</v>
      </c>
      <c r="E185" s="688"/>
      <c r="F185" s="44"/>
      <c r="G185" s="44"/>
      <c r="H185" s="44"/>
      <c r="I185" s="197">
        <f>SUM(J185:Q185)</f>
        <v>0</v>
      </c>
      <c r="J185" s="57"/>
      <c r="K185" s="57"/>
      <c r="L185" s="57"/>
      <c r="M185" s="57"/>
      <c r="N185" s="57"/>
      <c r="O185" s="57"/>
      <c r="P185" s="57"/>
      <c r="Q185" s="58"/>
    </row>
    <row r="186" spans="1:17" ht="30">
      <c r="A186" s="115">
        <v>181</v>
      </c>
      <c r="B186" s="131"/>
      <c r="C186" s="59">
        <v>2</v>
      </c>
      <c r="D186" s="692" t="s">
        <v>8</v>
      </c>
      <c r="E186" s="688"/>
      <c r="F186" s="44"/>
      <c r="G186" s="44"/>
      <c r="H186" s="44">
        <v>2636</v>
      </c>
      <c r="I186" s="172"/>
      <c r="J186" s="57"/>
      <c r="K186" s="57"/>
      <c r="L186" s="57"/>
      <c r="M186" s="57"/>
      <c r="N186" s="57"/>
      <c r="O186" s="57"/>
      <c r="P186" s="57"/>
      <c r="Q186" s="58"/>
    </row>
    <row r="187" spans="1:17" ht="15">
      <c r="A187" s="115">
        <v>182</v>
      </c>
      <c r="B187" s="54"/>
      <c r="C187" s="59"/>
      <c r="D187" s="695" t="s">
        <v>581</v>
      </c>
      <c r="E187" s="688"/>
      <c r="F187" s="44"/>
      <c r="G187" s="44"/>
      <c r="H187" s="44"/>
      <c r="I187" s="171">
        <f>SUM(J187:Q187)</f>
        <v>0</v>
      </c>
      <c r="J187" s="76"/>
      <c r="K187" s="76"/>
      <c r="L187" s="76"/>
      <c r="M187" s="77"/>
      <c r="N187" s="76"/>
      <c r="O187" s="76"/>
      <c r="P187" s="76"/>
      <c r="Q187" s="130"/>
    </row>
    <row r="188" spans="1:17" ht="15">
      <c r="A188" s="115">
        <v>183</v>
      </c>
      <c r="B188" s="131"/>
      <c r="C188" s="55"/>
      <c r="D188" s="696" t="s">
        <v>579</v>
      </c>
      <c r="E188" s="688"/>
      <c r="F188" s="44"/>
      <c r="G188" s="44"/>
      <c r="H188" s="44"/>
      <c r="I188" s="197">
        <f>SUM(J188:Q188)</f>
        <v>0</v>
      </c>
      <c r="J188" s="57"/>
      <c r="K188" s="57"/>
      <c r="L188" s="57"/>
      <c r="M188" s="57"/>
      <c r="N188" s="57"/>
      <c r="O188" s="57"/>
      <c r="P188" s="57"/>
      <c r="Q188" s="58"/>
    </row>
    <row r="189" spans="1:17" ht="15">
      <c r="A189" s="115">
        <v>184</v>
      </c>
      <c r="B189" s="74"/>
      <c r="C189" s="75">
        <v>3</v>
      </c>
      <c r="D189" s="692" t="s">
        <v>813</v>
      </c>
      <c r="E189" s="678"/>
      <c r="F189" s="693"/>
      <c r="G189" s="693">
        <v>1350</v>
      </c>
      <c r="H189" s="97">
        <v>2575</v>
      </c>
      <c r="I189" s="171"/>
      <c r="J189" s="76"/>
      <c r="K189" s="76"/>
      <c r="L189" s="76"/>
      <c r="M189" s="76"/>
      <c r="N189" s="76"/>
      <c r="O189" s="76"/>
      <c r="P189" s="76"/>
      <c r="Q189" s="129"/>
    </row>
    <row r="190" spans="1:17" ht="15">
      <c r="A190" s="115">
        <v>185</v>
      </c>
      <c r="B190" s="124"/>
      <c r="C190" s="125"/>
      <c r="D190" s="694" t="s">
        <v>580</v>
      </c>
      <c r="E190" s="690"/>
      <c r="F190" s="169"/>
      <c r="G190" s="169"/>
      <c r="H190" s="169"/>
      <c r="I190" s="175">
        <f>SUM(J190:Q190)</f>
        <v>535</v>
      </c>
      <c r="J190" s="176">
        <v>471</v>
      </c>
      <c r="K190" s="176">
        <v>64</v>
      </c>
      <c r="L190" s="176"/>
      <c r="M190" s="176"/>
      <c r="N190" s="176"/>
      <c r="O190" s="176"/>
      <c r="P190" s="176"/>
      <c r="Q190" s="177"/>
    </row>
    <row r="191" spans="1:17" ht="15">
      <c r="A191" s="115">
        <v>186</v>
      </c>
      <c r="B191" s="54"/>
      <c r="C191" s="59"/>
      <c r="D191" s="695" t="s">
        <v>581</v>
      </c>
      <c r="E191" s="688"/>
      <c r="F191" s="44"/>
      <c r="G191" s="44"/>
      <c r="H191" s="44"/>
      <c r="I191" s="178">
        <f>SUM(J191:Q191)</f>
        <v>1524</v>
      </c>
      <c r="J191" s="62">
        <v>1400</v>
      </c>
      <c r="K191" s="62">
        <v>124</v>
      </c>
      <c r="L191" s="62"/>
      <c r="M191" s="62"/>
      <c r="N191" s="62"/>
      <c r="O191" s="62"/>
      <c r="P191" s="62"/>
      <c r="Q191" s="162"/>
    </row>
    <row r="192" spans="1:17" ht="15">
      <c r="A192" s="115">
        <v>187</v>
      </c>
      <c r="B192" s="131"/>
      <c r="C192" s="55"/>
      <c r="D192" s="696" t="s">
        <v>579</v>
      </c>
      <c r="E192" s="691"/>
      <c r="F192" s="56"/>
      <c r="G192" s="56"/>
      <c r="H192" s="56"/>
      <c r="I192" s="179">
        <f>SUM(J192:Q192)</f>
        <v>963</v>
      </c>
      <c r="J192" s="57">
        <v>839</v>
      </c>
      <c r="K192" s="57">
        <v>124</v>
      </c>
      <c r="L192" s="57"/>
      <c r="M192" s="57"/>
      <c r="N192" s="57"/>
      <c r="O192" s="57"/>
      <c r="P192" s="57"/>
      <c r="Q192" s="58"/>
    </row>
    <row r="193" spans="1:17" s="61" customFormat="1" ht="19.5" customHeight="1">
      <c r="A193" s="115">
        <v>188</v>
      </c>
      <c r="B193" s="74">
        <v>15</v>
      </c>
      <c r="C193" s="75"/>
      <c r="D193" s="677" t="s">
        <v>562</v>
      </c>
      <c r="E193" s="698" t="s">
        <v>781</v>
      </c>
      <c r="F193" s="97">
        <v>764223</v>
      </c>
      <c r="G193" s="97">
        <v>697889</v>
      </c>
      <c r="H193" s="97">
        <v>785679</v>
      </c>
      <c r="I193" s="171"/>
      <c r="J193" s="76"/>
      <c r="K193" s="76"/>
      <c r="L193" s="76"/>
      <c r="M193" s="76"/>
      <c r="N193" s="76"/>
      <c r="O193" s="76"/>
      <c r="P193" s="76"/>
      <c r="Q193" s="129"/>
    </row>
    <row r="194" spans="1:17" ht="15">
      <c r="A194" s="115">
        <v>189</v>
      </c>
      <c r="B194" s="124"/>
      <c r="C194" s="125"/>
      <c r="D194" s="705" t="s">
        <v>580</v>
      </c>
      <c r="E194" s="690"/>
      <c r="F194" s="169"/>
      <c r="G194" s="169"/>
      <c r="H194" s="169"/>
      <c r="I194" s="170">
        <f>SUM(J194:Q194)</f>
        <v>723529</v>
      </c>
      <c r="J194" s="126">
        <v>288592</v>
      </c>
      <c r="K194" s="126">
        <v>72005</v>
      </c>
      <c r="L194" s="126">
        <v>355000</v>
      </c>
      <c r="M194" s="127"/>
      <c r="N194" s="126">
        <v>1800</v>
      </c>
      <c r="O194" s="126"/>
      <c r="P194" s="126">
        <v>6132</v>
      </c>
      <c r="Q194" s="192"/>
    </row>
    <row r="195" spans="1:17" ht="15">
      <c r="A195" s="115">
        <v>190</v>
      </c>
      <c r="B195" s="54"/>
      <c r="C195" s="59"/>
      <c r="D195" s="673" t="s">
        <v>581</v>
      </c>
      <c r="E195" s="688"/>
      <c r="F195" s="44"/>
      <c r="G195" s="44"/>
      <c r="H195" s="44"/>
      <c r="I195" s="171">
        <f>SUM(J195:Q195)</f>
        <v>726405</v>
      </c>
      <c r="J195" s="76">
        <v>244586</v>
      </c>
      <c r="K195" s="76">
        <v>69346</v>
      </c>
      <c r="L195" s="76">
        <v>376831</v>
      </c>
      <c r="M195" s="77"/>
      <c r="N195" s="76">
        <v>785</v>
      </c>
      <c r="O195" s="76">
        <v>29302</v>
      </c>
      <c r="P195" s="76">
        <v>5555</v>
      </c>
      <c r="Q195" s="130"/>
    </row>
    <row r="196" spans="1:17" ht="15">
      <c r="A196" s="115">
        <v>191</v>
      </c>
      <c r="B196" s="131"/>
      <c r="C196" s="55"/>
      <c r="D196" s="706" t="s">
        <v>579</v>
      </c>
      <c r="E196" s="691"/>
      <c r="F196" s="56"/>
      <c r="G196" s="56"/>
      <c r="H196" s="56"/>
      <c r="I196" s="172">
        <f>SUM(J196:Q196)</f>
        <v>681861</v>
      </c>
      <c r="J196" s="57">
        <v>241955</v>
      </c>
      <c r="K196" s="57">
        <v>64496</v>
      </c>
      <c r="L196" s="57">
        <v>340073</v>
      </c>
      <c r="M196" s="57"/>
      <c r="N196" s="57">
        <v>785</v>
      </c>
      <c r="O196" s="57">
        <v>29024</v>
      </c>
      <c r="P196" s="57">
        <v>5528</v>
      </c>
      <c r="Q196" s="58"/>
    </row>
    <row r="197" spans="1:17" ht="15">
      <c r="A197" s="115">
        <v>192</v>
      </c>
      <c r="B197" s="74"/>
      <c r="C197" s="75">
        <v>1</v>
      </c>
      <c r="D197" s="692" t="s">
        <v>813</v>
      </c>
      <c r="E197" s="678"/>
      <c r="F197" s="693"/>
      <c r="G197" s="693">
        <v>1251</v>
      </c>
      <c r="H197" s="97">
        <v>2237</v>
      </c>
      <c r="I197" s="171"/>
      <c r="J197" s="76"/>
      <c r="K197" s="76"/>
      <c r="L197" s="76"/>
      <c r="M197" s="76"/>
      <c r="N197" s="76"/>
      <c r="O197" s="76"/>
      <c r="P197" s="76"/>
      <c r="Q197" s="129"/>
    </row>
    <row r="198" spans="1:17" ht="15">
      <c r="A198" s="115">
        <v>194</v>
      </c>
      <c r="B198" s="54"/>
      <c r="C198" s="59"/>
      <c r="D198" s="695" t="s">
        <v>581</v>
      </c>
      <c r="E198" s="688"/>
      <c r="F198" s="44"/>
      <c r="G198" s="44"/>
      <c r="H198" s="44"/>
      <c r="I198" s="178">
        <f>SUM(J198:Q198)</f>
        <v>213</v>
      </c>
      <c r="J198" s="62">
        <v>188</v>
      </c>
      <c r="K198" s="62">
        <v>25</v>
      </c>
      <c r="L198" s="62"/>
      <c r="M198" s="62"/>
      <c r="N198" s="62"/>
      <c r="O198" s="62"/>
      <c r="P198" s="62"/>
      <c r="Q198" s="162"/>
    </row>
    <row r="199" spans="1:17" ht="19.5" customHeight="1">
      <c r="A199" s="115">
        <v>195</v>
      </c>
      <c r="B199" s="132"/>
      <c r="C199" s="133"/>
      <c r="D199" s="701" t="s">
        <v>579</v>
      </c>
      <c r="E199" s="702"/>
      <c r="F199" s="183"/>
      <c r="G199" s="183"/>
      <c r="H199" s="183"/>
      <c r="I199" s="179">
        <f>SUM(J199:Q199)</f>
        <v>213</v>
      </c>
      <c r="J199" s="134">
        <v>188</v>
      </c>
      <c r="K199" s="134">
        <v>25</v>
      </c>
      <c r="L199" s="134"/>
      <c r="M199" s="134"/>
      <c r="N199" s="134"/>
      <c r="O199" s="134"/>
      <c r="P199" s="134"/>
      <c r="Q199" s="64"/>
    </row>
    <row r="200" spans="1:17" ht="15">
      <c r="A200" s="115">
        <v>196</v>
      </c>
      <c r="B200" s="184"/>
      <c r="C200" s="186"/>
      <c r="D200" s="708" t="s">
        <v>778</v>
      </c>
      <c r="E200" s="193"/>
      <c r="F200" s="193">
        <f>SUM(F193,F179,F175,F171,F189,F167,F163,F159,F155,F151,F147,F143,F139,F131,F127,F117,F113)+F197+F186+F183+F135+F124+F121</f>
        <v>1829058</v>
      </c>
      <c r="G200" s="193">
        <f>SUM(G193,G179,G175,G171,G189,G167,G163,G159,G155,G151,G147,G143,G139,G131,G127,G117,G113)+G197+G186+G183+G135+G124+G121</f>
        <v>1680884</v>
      </c>
      <c r="H200" s="193">
        <f>SUM(H193,H179,H175,H171,H189,H167,H163,H159,H155,H151,H147,H143,H139,H131,H127,H117,H113)+H197+H186+H183+H135+H124+H121</f>
        <v>1981443</v>
      </c>
      <c r="I200" s="194"/>
      <c r="J200" s="195"/>
      <c r="K200" s="195"/>
      <c r="L200" s="195"/>
      <c r="M200" s="195"/>
      <c r="N200" s="195"/>
      <c r="O200" s="195"/>
      <c r="P200" s="195"/>
      <c r="Q200" s="144"/>
    </row>
    <row r="201" spans="1:17" ht="15">
      <c r="A201" s="115">
        <v>197</v>
      </c>
      <c r="B201" s="124"/>
      <c r="C201" s="125"/>
      <c r="D201" s="710" t="s">
        <v>580</v>
      </c>
      <c r="E201" s="690"/>
      <c r="F201" s="169"/>
      <c r="G201" s="169"/>
      <c r="H201" s="169"/>
      <c r="I201" s="173">
        <f>SUM(J201:Q201)</f>
        <v>1797299</v>
      </c>
      <c r="J201" s="139">
        <f>SUM(J194,J190,J180,J176,J172,J168,J164,J160,J156,J152,J148,J144,J140,J132,J128,J118,J114)</f>
        <v>725031</v>
      </c>
      <c r="K201" s="139">
        <f aca="true" t="shared" si="4" ref="K201:Q201">SUM(K194,K190,K180,K176,K172,K168,K164,K160,K156,K152,K148,K144,K140,K132,K128,K118,K114)</f>
        <v>182825</v>
      </c>
      <c r="L201" s="139">
        <f t="shared" si="4"/>
        <v>846088</v>
      </c>
      <c r="M201" s="139">
        <f t="shared" si="4"/>
        <v>0</v>
      </c>
      <c r="N201" s="139">
        <f t="shared" si="4"/>
        <v>6172</v>
      </c>
      <c r="O201" s="139">
        <f t="shared" si="4"/>
        <v>31051</v>
      </c>
      <c r="P201" s="139">
        <f t="shared" si="4"/>
        <v>6132</v>
      </c>
      <c r="Q201" s="140">
        <f t="shared" si="4"/>
        <v>0</v>
      </c>
    </row>
    <row r="202" spans="1:17" ht="15">
      <c r="A202" s="115">
        <v>198</v>
      </c>
      <c r="B202" s="54"/>
      <c r="C202" s="59"/>
      <c r="D202" s="711" t="s">
        <v>581</v>
      </c>
      <c r="E202" s="688"/>
      <c r="F202" s="44"/>
      <c r="G202" s="44"/>
      <c r="H202" s="44"/>
      <c r="I202" s="168">
        <f>SUM(J202:Q202)</f>
        <v>2128018</v>
      </c>
      <c r="J202" s="52">
        <f>SUM(J198,J195,J191,J181,J177,J173,J169,J165,J161,J157,J153,J149,J145,J141,J133,J129,J119,J115)+J184+J122+J137+J187+J125</f>
        <v>738421</v>
      </c>
      <c r="K202" s="52">
        <f aca="true" t="shared" si="5" ref="K202:Q202">SUM(K198,K195,K191,K181,K177,K173,K169,K165,K161,K157,K153,K149,K145,K141,K133,K129,K119,K115)+K184+K122+K137+K187+K125</f>
        <v>194874</v>
      </c>
      <c r="L202" s="52">
        <f t="shared" si="5"/>
        <v>1021434</v>
      </c>
      <c r="M202" s="52">
        <f t="shared" si="5"/>
        <v>0</v>
      </c>
      <c r="N202" s="52">
        <f t="shared" si="5"/>
        <v>5667</v>
      </c>
      <c r="O202" s="52">
        <f t="shared" si="5"/>
        <v>109458</v>
      </c>
      <c r="P202" s="52">
        <f t="shared" si="5"/>
        <v>58164</v>
      </c>
      <c r="Q202" s="60">
        <f t="shared" si="5"/>
        <v>0</v>
      </c>
    </row>
    <row r="203" spans="1:17" ht="15.75" thickBot="1">
      <c r="A203" s="115">
        <v>199</v>
      </c>
      <c r="B203" s="188"/>
      <c r="C203" s="189"/>
      <c r="D203" s="712" t="s">
        <v>579</v>
      </c>
      <c r="E203" s="704"/>
      <c r="F203" s="190"/>
      <c r="G203" s="190"/>
      <c r="H203" s="190"/>
      <c r="I203" s="196">
        <f>SUM(J203:Q203)</f>
        <v>1915818</v>
      </c>
      <c r="J203" s="191">
        <f>SUM(J199,J196,J192,J182,J178,J174,J170,J166,J162,J158,J154,J150,J146,J142,J134,J130,J120,J116)+J185+J123+J138+J126</f>
        <v>694851</v>
      </c>
      <c r="K203" s="191">
        <f aca="true" t="shared" si="6" ref="K203:Q203">SUM(K199,K196,K192,K182,K178,K174,K170,K166,K162,K158,K154,K150,K146,K142,K134,K130,K120,K116)+K185+K123+K138+K126</f>
        <v>183594</v>
      </c>
      <c r="L203" s="191">
        <f t="shared" si="6"/>
        <v>884739</v>
      </c>
      <c r="M203" s="191">
        <f t="shared" si="6"/>
        <v>0</v>
      </c>
      <c r="N203" s="191">
        <f t="shared" si="6"/>
        <v>5402</v>
      </c>
      <c r="O203" s="191">
        <f t="shared" si="6"/>
        <v>90623</v>
      </c>
      <c r="P203" s="191">
        <f t="shared" si="6"/>
        <v>56609</v>
      </c>
      <c r="Q203" s="395">
        <f t="shared" si="6"/>
        <v>0</v>
      </c>
    </row>
    <row r="204" spans="1:17" ht="19.5" customHeight="1" thickTop="1">
      <c r="A204" s="115">
        <v>200</v>
      </c>
      <c r="B204" s="74">
        <v>16</v>
      </c>
      <c r="C204" s="77"/>
      <c r="D204" s="198" t="s">
        <v>808</v>
      </c>
      <c r="E204" s="697" t="s">
        <v>815</v>
      </c>
      <c r="F204" s="97">
        <v>1093476</v>
      </c>
      <c r="G204" s="97">
        <v>1021405</v>
      </c>
      <c r="H204" s="97">
        <v>1164814</v>
      </c>
      <c r="I204" s="172"/>
      <c r="J204" s="118"/>
      <c r="K204" s="118"/>
      <c r="L204" s="118"/>
      <c r="M204" s="118"/>
      <c r="N204" s="118"/>
      <c r="O204" s="118"/>
      <c r="P204" s="118"/>
      <c r="Q204" s="65"/>
    </row>
    <row r="205" spans="1:17" ht="15">
      <c r="A205" s="115">
        <v>201</v>
      </c>
      <c r="B205" s="124"/>
      <c r="C205" s="125"/>
      <c r="D205" s="710" t="s">
        <v>580</v>
      </c>
      <c r="E205" s="690"/>
      <c r="F205" s="169"/>
      <c r="G205" s="169"/>
      <c r="H205" s="169"/>
      <c r="I205" s="173">
        <f>SUM(J205:Q205)</f>
        <v>1123075</v>
      </c>
      <c r="J205" s="139">
        <v>260544</v>
      </c>
      <c r="K205" s="139">
        <v>70565</v>
      </c>
      <c r="L205" s="139">
        <v>779346</v>
      </c>
      <c r="M205" s="138"/>
      <c r="N205" s="139">
        <v>5000</v>
      </c>
      <c r="O205" s="139">
        <v>7620</v>
      </c>
      <c r="P205" s="139"/>
      <c r="Q205" s="199"/>
    </row>
    <row r="206" spans="1:17" ht="15">
      <c r="A206" s="115">
        <v>202</v>
      </c>
      <c r="B206" s="54"/>
      <c r="C206" s="59"/>
      <c r="D206" s="711" t="s">
        <v>581</v>
      </c>
      <c r="E206" s="688"/>
      <c r="F206" s="44"/>
      <c r="G206" s="44"/>
      <c r="H206" s="44"/>
      <c r="I206" s="168">
        <f>SUM(J206:Q206)</f>
        <v>1140447</v>
      </c>
      <c r="J206" s="52">
        <v>271151</v>
      </c>
      <c r="K206" s="52">
        <v>75897</v>
      </c>
      <c r="L206" s="52">
        <v>780123</v>
      </c>
      <c r="M206" s="53"/>
      <c r="N206" s="52">
        <v>404</v>
      </c>
      <c r="O206" s="52">
        <v>12872</v>
      </c>
      <c r="P206" s="52"/>
      <c r="Q206" s="67"/>
    </row>
    <row r="207" spans="1:17" ht="19.5" customHeight="1" thickBot="1">
      <c r="A207" s="115">
        <v>203</v>
      </c>
      <c r="B207" s="132"/>
      <c r="C207" s="133"/>
      <c r="D207" s="707" t="s">
        <v>579</v>
      </c>
      <c r="E207" s="702"/>
      <c r="F207" s="183"/>
      <c r="G207" s="183"/>
      <c r="H207" s="183"/>
      <c r="I207" s="179">
        <f>SUM(J207:Q207)</f>
        <v>1109088</v>
      </c>
      <c r="J207" s="134">
        <v>262710</v>
      </c>
      <c r="K207" s="134">
        <v>75864</v>
      </c>
      <c r="L207" s="134">
        <v>757805</v>
      </c>
      <c r="M207" s="134"/>
      <c r="N207" s="134">
        <v>403</v>
      </c>
      <c r="O207" s="134">
        <v>12306</v>
      </c>
      <c r="P207" s="134"/>
      <c r="Q207" s="64"/>
    </row>
    <row r="208" spans="1:17" ht="15">
      <c r="A208" s="115">
        <v>204</v>
      </c>
      <c r="B208" s="151"/>
      <c r="C208" s="109"/>
      <c r="D208" s="713" t="s">
        <v>779</v>
      </c>
      <c r="E208" s="714"/>
      <c r="F208" s="165">
        <f>SUM(F86,F109,F200,F204)</f>
        <v>4785013</v>
      </c>
      <c r="G208" s="165">
        <f>SUM(G86,G109,G200,G204)</f>
        <v>4798951</v>
      </c>
      <c r="H208" s="165">
        <f>SUM(H86,H109,H200,H204)</f>
        <v>5332819</v>
      </c>
      <c r="I208" s="200"/>
      <c r="J208" s="152"/>
      <c r="K208" s="152"/>
      <c r="L208" s="152"/>
      <c r="M208" s="152"/>
      <c r="N208" s="152"/>
      <c r="O208" s="152"/>
      <c r="P208" s="152"/>
      <c r="Q208" s="154"/>
    </row>
    <row r="209" spans="1:17" ht="15">
      <c r="A209" s="115">
        <v>205</v>
      </c>
      <c r="B209" s="124"/>
      <c r="C209" s="125"/>
      <c r="D209" s="710" t="s">
        <v>580</v>
      </c>
      <c r="E209" s="690"/>
      <c r="F209" s="169"/>
      <c r="G209" s="169"/>
      <c r="H209" s="169"/>
      <c r="I209" s="173">
        <f>SUM(J209:Q209)</f>
        <v>5031537</v>
      </c>
      <c r="J209" s="139">
        <f aca="true" t="shared" si="7" ref="J209:Q209">SUM(J87,J110,J201,J205)</f>
        <v>2303744</v>
      </c>
      <c r="K209" s="139">
        <f t="shared" si="7"/>
        <v>619855</v>
      </c>
      <c r="L209" s="139">
        <f t="shared" si="7"/>
        <v>2031452</v>
      </c>
      <c r="M209" s="138">
        <f t="shared" si="7"/>
        <v>0</v>
      </c>
      <c r="N209" s="139">
        <f t="shared" si="7"/>
        <v>23755</v>
      </c>
      <c r="O209" s="139">
        <f t="shared" si="7"/>
        <v>46599</v>
      </c>
      <c r="P209" s="139">
        <f t="shared" si="7"/>
        <v>6132</v>
      </c>
      <c r="Q209" s="199">
        <f t="shared" si="7"/>
        <v>0</v>
      </c>
    </row>
    <row r="210" spans="1:17" ht="15">
      <c r="A210" s="115">
        <v>206</v>
      </c>
      <c r="B210" s="54"/>
      <c r="C210" s="59"/>
      <c r="D210" s="711" t="s">
        <v>581</v>
      </c>
      <c r="E210" s="688"/>
      <c r="F210" s="44"/>
      <c r="G210" s="44"/>
      <c r="H210" s="44"/>
      <c r="I210" s="168">
        <f>SUM(J210:Q210)</f>
        <v>5663769</v>
      </c>
      <c r="J210" s="52">
        <f aca="true" t="shared" si="8" ref="J210:Q211">SUM(J206,J202,J111,J88)</f>
        <v>2459183</v>
      </c>
      <c r="K210" s="52">
        <f t="shared" si="8"/>
        <v>693166</v>
      </c>
      <c r="L210" s="52">
        <f t="shared" si="8"/>
        <v>2246940</v>
      </c>
      <c r="M210" s="52">
        <f t="shared" si="8"/>
        <v>0</v>
      </c>
      <c r="N210" s="52">
        <f t="shared" si="8"/>
        <v>8464</v>
      </c>
      <c r="O210" s="52">
        <f t="shared" si="8"/>
        <v>197722</v>
      </c>
      <c r="P210" s="52">
        <f t="shared" si="8"/>
        <v>58294</v>
      </c>
      <c r="Q210" s="60">
        <f t="shared" si="8"/>
        <v>0</v>
      </c>
    </row>
    <row r="211" spans="1:17" ht="15.75" thickBot="1">
      <c r="A211" s="115">
        <v>207</v>
      </c>
      <c r="B211" s="201"/>
      <c r="C211" s="202"/>
      <c r="D211" s="715" t="s">
        <v>579</v>
      </c>
      <c r="E211" s="716"/>
      <c r="F211" s="203"/>
      <c r="G211" s="203"/>
      <c r="H211" s="203"/>
      <c r="I211" s="204">
        <f>SUM(J211:Q211)</f>
        <v>5260547</v>
      </c>
      <c r="J211" s="7">
        <f t="shared" si="8"/>
        <v>2352289</v>
      </c>
      <c r="K211" s="7">
        <f t="shared" si="8"/>
        <v>663986</v>
      </c>
      <c r="L211" s="7">
        <f t="shared" si="8"/>
        <v>2012990</v>
      </c>
      <c r="M211" s="7">
        <f t="shared" si="8"/>
        <v>0</v>
      </c>
      <c r="N211" s="7">
        <f t="shared" si="8"/>
        <v>6558</v>
      </c>
      <c r="O211" s="7">
        <f t="shared" si="8"/>
        <v>167985</v>
      </c>
      <c r="P211" s="7">
        <f t="shared" si="8"/>
        <v>56739</v>
      </c>
      <c r="Q211" s="40">
        <f t="shared" si="8"/>
        <v>0</v>
      </c>
    </row>
    <row r="212" spans="1:17" ht="24" customHeight="1">
      <c r="A212" s="115">
        <v>208</v>
      </c>
      <c r="B212" s="74">
        <v>17</v>
      </c>
      <c r="C212" s="1489" t="s">
        <v>563</v>
      </c>
      <c r="D212" s="1489"/>
      <c r="E212" s="205" t="s">
        <v>815</v>
      </c>
      <c r="F212" s="98"/>
      <c r="G212" s="98"/>
      <c r="H212" s="98"/>
      <c r="I212" s="171"/>
      <c r="J212" s="118"/>
      <c r="K212" s="118"/>
      <c r="L212" s="118"/>
      <c r="M212" s="118"/>
      <c r="N212" s="118"/>
      <c r="O212" s="118"/>
      <c r="P212" s="118"/>
      <c r="Q212" s="65"/>
    </row>
    <row r="213" spans="1:17" ht="15">
      <c r="A213" s="115">
        <v>209</v>
      </c>
      <c r="B213" s="74"/>
      <c r="C213" s="75">
        <v>1</v>
      </c>
      <c r="D213" s="679" t="s">
        <v>631</v>
      </c>
      <c r="E213" s="697"/>
      <c r="F213" s="97">
        <v>1061858</v>
      </c>
      <c r="G213" s="97">
        <v>1093581</v>
      </c>
      <c r="H213" s="97">
        <v>1075957</v>
      </c>
      <c r="I213" s="171"/>
      <c r="J213" s="118"/>
      <c r="K213" s="118"/>
      <c r="L213" s="118"/>
      <c r="M213" s="118"/>
      <c r="N213" s="118"/>
      <c r="O213" s="118"/>
      <c r="P213" s="118"/>
      <c r="Q213" s="65"/>
    </row>
    <row r="214" spans="1:17" ht="15">
      <c r="A214" s="115">
        <v>210</v>
      </c>
      <c r="B214" s="124"/>
      <c r="C214" s="125"/>
      <c r="D214" s="705" t="s">
        <v>580</v>
      </c>
      <c r="E214" s="690"/>
      <c r="F214" s="169"/>
      <c r="G214" s="169"/>
      <c r="H214" s="169"/>
      <c r="I214" s="170">
        <f>SUM(J214:Q214)</f>
        <v>1145082</v>
      </c>
      <c r="J214" s="126">
        <v>857468</v>
      </c>
      <c r="K214" s="126">
        <v>241100</v>
      </c>
      <c r="L214" s="126">
        <v>46514</v>
      </c>
      <c r="M214" s="127"/>
      <c r="N214" s="126"/>
      <c r="O214" s="126"/>
      <c r="P214" s="126"/>
      <c r="Q214" s="192"/>
    </row>
    <row r="215" spans="1:17" ht="15">
      <c r="A215" s="115">
        <v>211</v>
      </c>
      <c r="B215" s="54"/>
      <c r="C215" s="59"/>
      <c r="D215" s="673" t="s">
        <v>581</v>
      </c>
      <c r="E215" s="688"/>
      <c r="F215" s="44"/>
      <c r="G215" s="44"/>
      <c r="H215" s="44"/>
      <c r="I215" s="171">
        <f>SUM(J215:Q215)</f>
        <v>1228863</v>
      </c>
      <c r="J215" s="76">
        <v>923320</v>
      </c>
      <c r="K215" s="76">
        <v>259029</v>
      </c>
      <c r="L215" s="76">
        <v>46514</v>
      </c>
      <c r="M215" s="77"/>
      <c r="N215" s="76"/>
      <c r="O215" s="76"/>
      <c r="P215" s="76"/>
      <c r="Q215" s="130"/>
    </row>
    <row r="216" spans="1:17" ht="15">
      <c r="A216" s="115">
        <v>212</v>
      </c>
      <c r="B216" s="131"/>
      <c r="C216" s="55"/>
      <c r="D216" s="706" t="s">
        <v>579</v>
      </c>
      <c r="E216" s="691"/>
      <c r="F216" s="56"/>
      <c r="G216" s="56"/>
      <c r="H216" s="56"/>
      <c r="I216" s="172">
        <f>SUM(J216:Q216)</f>
        <v>1099353</v>
      </c>
      <c r="J216" s="57">
        <v>840335</v>
      </c>
      <c r="K216" s="57">
        <v>237673</v>
      </c>
      <c r="L216" s="57">
        <v>21345</v>
      </c>
      <c r="M216" s="57"/>
      <c r="N216" s="57"/>
      <c r="O216" s="57"/>
      <c r="P216" s="57"/>
      <c r="Q216" s="58"/>
    </row>
    <row r="217" spans="1:17" ht="15">
      <c r="A217" s="115">
        <v>213</v>
      </c>
      <c r="B217" s="74"/>
      <c r="C217" s="75">
        <v>2</v>
      </c>
      <c r="D217" s="679" t="s">
        <v>9</v>
      </c>
      <c r="E217" s="697"/>
      <c r="F217" s="97"/>
      <c r="G217" s="97">
        <v>9173</v>
      </c>
      <c r="H217" s="97">
        <v>11753</v>
      </c>
      <c r="I217" s="171"/>
      <c r="J217" s="118"/>
      <c r="K217" s="118"/>
      <c r="L217" s="118"/>
      <c r="M217" s="118"/>
      <c r="N217" s="118"/>
      <c r="O217" s="118"/>
      <c r="P217" s="118"/>
      <c r="Q217" s="65"/>
    </row>
    <row r="218" spans="1:17" ht="15">
      <c r="A218" s="115">
        <v>214</v>
      </c>
      <c r="B218" s="54"/>
      <c r="C218" s="59"/>
      <c r="D218" s="673" t="s">
        <v>581</v>
      </c>
      <c r="E218" s="688"/>
      <c r="F218" s="44"/>
      <c r="G218" s="44"/>
      <c r="H218" s="44"/>
      <c r="I218" s="171">
        <f>SUM(J218:Q218)</f>
        <v>0</v>
      </c>
      <c r="J218" s="76"/>
      <c r="K218" s="76"/>
      <c r="L218" s="76"/>
      <c r="M218" s="77"/>
      <c r="N218" s="76"/>
      <c r="O218" s="76"/>
      <c r="P218" s="76"/>
      <c r="Q218" s="130"/>
    </row>
    <row r="219" spans="1:17" ht="15">
      <c r="A219" s="115">
        <v>215</v>
      </c>
      <c r="B219" s="131"/>
      <c r="C219" s="55"/>
      <c r="D219" s="706" t="s">
        <v>579</v>
      </c>
      <c r="E219" s="691"/>
      <c r="F219" s="56"/>
      <c r="G219" s="56"/>
      <c r="H219" s="56"/>
      <c r="I219" s="172">
        <f>SUM(J219:Q219)</f>
        <v>0</v>
      </c>
      <c r="J219" s="57"/>
      <c r="K219" s="57"/>
      <c r="L219" s="57"/>
      <c r="M219" s="57"/>
      <c r="N219" s="57"/>
      <c r="O219" s="57"/>
      <c r="P219" s="57"/>
      <c r="Q219" s="58"/>
    </row>
    <row r="220" spans="1:17" ht="30">
      <c r="A220" s="1221">
        <v>216</v>
      </c>
      <c r="B220" s="74"/>
      <c r="C220" s="6">
        <v>3</v>
      </c>
      <c r="D220" s="679" t="s">
        <v>10</v>
      </c>
      <c r="E220" s="697"/>
      <c r="F220" s="97"/>
      <c r="G220" s="97"/>
      <c r="H220" s="97">
        <v>10933</v>
      </c>
      <c r="I220" s="171"/>
      <c r="J220" s="118"/>
      <c r="K220" s="118"/>
      <c r="L220" s="118"/>
      <c r="M220" s="118"/>
      <c r="N220" s="118"/>
      <c r="O220" s="118"/>
      <c r="P220" s="118"/>
      <c r="Q220" s="65"/>
    </row>
    <row r="221" spans="1:17" ht="15">
      <c r="A221" s="115">
        <v>217</v>
      </c>
      <c r="B221" s="54"/>
      <c r="C221" s="59"/>
      <c r="D221" s="673" t="s">
        <v>581</v>
      </c>
      <c r="E221" s="688"/>
      <c r="F221" s="44"/>
      <c r="G221" s="44"/>
      <c r="H221" s="44"/>
      <c r="I221" s="171">
        <f>SUM(J221:Q221)</f>
        <v>0</v>
      </c>
      <c r="J221" s="76"/>
      <c r="K221" s="76"/>
      <c r="L221" s="76"/>
      <c r="M221" s="77"/>
      <c r="N221" s="76"/>
      <c r="O221" s="76"/>
      <c r="P221" s="76"/>
      <c r="Q221" s="130"/>
    </row>
    <row r="222" spans="1:17" ht="15">
      <c r="A222" s="115">
        <v>218</v>
      </c>
      <c r="B222" s="131"/>
      <c r="C222" s="55"/>
      <c r="D222" s="706" t="s">
        <v>579</v>
      </c>
      <c r="E222" s="691"/>
      <c r="F222" s="56"/>
      <c r="G222" s="56"/>
      <c r="H222" s="56"/>
      <c r="I222" s="172">
        <f>SUM(J222:Q222)</f>
        <v>0</v>
      </c>
      <c r="J222" s="57"/>
      <c r="K222" s="57"/>
      <c r="L222" s="57"/>
      <c r="M222" s="57"/>
      <c r="N222" s="57"/>
      <c r="O222" s="57"/>
      <c r="P222" s="57"/>
      <c r="Q222" s="58"/>
    </row>
    <row r="223" spans="1:17" ht="15">
      <c r="A223" s="115">
        <v>219</v>
      </c>
      <c r="B223" s="74"/>
      <c r="C223" s="75">
        <v>4</v>
      </c>
      <c r="D223" s="679" t="s">
        <v>11</v>
      </c>
      <c r="E223" s="697"/>
      <c r="F223" s="97"/>
      <c r="G223" s="97"/>
      <c r="H223" s="97">
        <v>10350</v>
      </c>
      <c r="I223" s="171"/>
      <c r="J223" s="118"/>
      <c r="K223" s="118"/>
      <c r="L223" s="118"/>
      <c r="M223" s="118"/>
      <c r="N223" s="118"/>
      <c r="O223" s="118"/>
      <c r="P223" s="118"/>
      <c r="Q223" s="65"/>
    </row>
    <row r="224" spans="1:17" ht="15">
      <c r="A224" s="115">
        <v>220</v>
      </c>
      <c r="B224" s="54"/>
      <c r="C224" s="59"/>
      <c r="D224" s="673" t="s">
        <v>581</v>
      </c>
      <c r="E224" s="688"/>
      <c r="F224" s="44"/>
      <c r="G224" s="44"/>
      <c r="H224" s="44"/>
      <c r="I224" s="171">
        <f>SUM(J224:Q224)</f>
        <v>0</v>
      </c>
      <c r="J224" s="76"/>
      <c r="K224" s="76"/>
      <c r="L224" s="76"/>
      <c r="M224" s="77"/>
      <c r="N224" s="76"/>
      <c r="O224" s="76"/>
      <c r="P224" s="76"/>
      <c r="Q224" s="130"/>
    </row>
    <row r="225" spans="1:17" ht="15">
      <c r="A225" s="115">
        <v>221</v>
      </c>
      <c r="B225" s="131"/>
      <c r="C225" s="55"/>
      <c r="D225" s="706" t="s">
        <v>579</v>
      </c>
      <c r="E225" s="691"/>
      <c r="F225" s="56"/>
      <c r="G225" s="56"/>
      <c r="H225" s="56"/>
      <c r="I225" s="172">
        <f>SUM(J225:Q225)</f>
        <v>0</v>
      </c>
      <c r="J225" s="57"/>
      <c r="K225" s="57"/>
      <c r="L225" s="57"/>
      <c r="M225" s="57"/>
      <c r="N225" s="57"/>
      <c r="O225" s="57"/>
      <c r="P225" s="57"/>
      <c r="Q225" s="58"/>
    </row>
    <row r="226" spans="1:17" ht="15">
      <c r="A226" s="115">
        <v>222</v>
      </c>
      <c r="B226" s="74"/>
      <c r="C226" s="75">
        <v>5</v>
      </c>
      <c r="D226" s="679" t="s">
        <v>6</v>
      </c>
      <c r="E226" s="697"/>
      <c r="F226" s="97"/>
      <c r="G226" s="97"/>
      <c r="H226" s="97"/>
      <c r="I226" s="172"/>
      <c r="J226" s="118"/>
      <c r="K226" s="118"/>
      <c r="L226" s="118"/>
      <c r="M226" s="118"/>
      <c r="N226" s="118"/>
      <c r="O226" s="118"/>
      <c r="P226" s="118"/>
      <c r="Q226" s="65"/>
    </row>
    <row r="227" spans="1:17" ht="15">
      <c r="A227" s="115">
        <v>223</v>
      </c>
      <c r="B227" s="124"/>
      <c r="C227" s="125"/>
      <c r="D227" s="705" t="s">
        <v>580</v>
      </c>
      <c r="E227" s="690"/>
      <c r="F227" s="169"/>
      <c r="G227" s="169"/>
      <c r="H227" s="169"/>
      <c r="I227" s="170">
        <f>SUM(J227:Q227)</f>
        <v>9170</v>
      </c>
      <c r="J227" s="126">
        <v>6379</v>
      </c>
      <c r="K227" s="126">
        <v>1855</v>
      </c>
      <c r="L227" s="126">
        <v>936</v>
      </c>
      <c r="M227" s="127"/>
      <c r="N227" s="126"/>
      <c r="O227" s="126"/>
      <c r="P227" s="126"/>
      <c r="Q227" s="192"/>
    </row>
    <row r="228" spans="1:17" ht="15">
      <c r="A228" s="115">
        <v>224</v>
      </c>
      <c r="B228" s="54"/>
      <c r="C228" s="59"/>
      <c r="D228" s="679" t="s">
        <v>581</v>
      </c>
      <c r="E228" s="688"/>
      <c r="F228" s="44"/>
      <c r="G228" s="44"/>
      <c r="H228" s="44"/>
      <c r="I228" s="171">
        <f>SUM(J228:Q228)</f>
        <v>9770</v>
      </c>
      <c r="J228" s="76">
        <v>6647</v>
      </c>
      <c r="K228" s="76">
        <v>1927</v>
      </c>
      <c r="L228" s="76">
        <v>1196</v>
      </c>
      <c r="M228" s="77"/>
      <c r="N228" s="76"/>
      <c r="O228" s="76"/>
      <c r="P228" s="76"/>
      <c r="Q228" s="130"/>
    </row>
    <row r="229" spans="1:17" ht="15">
      <c r="A229" s="115">
        <v>225</v>
      </c>
      <c r="B229" s="131"/>
      <c r="C229" s="55"/>
      <c r="D229" s="706" t="s">
        <v>579</v>
      </c>
      <c r="E229" s="691"/>
      <c r="F229" s="56"/>
      <c r="G229" s="56"/>
      <c r="H229" s="56"/>
      <c r="I229" s="172">
        <f>SUM(J229:Q229)</f>
        <v>9770</v>
      </c>
      <c r="J229" s="57">
        <v>6647</v>
      </c>
      <c r="K229" s="57">
        <v>1927</v>
      </c>
      <c r="L229" s="57">
        <v>1196</v>
      </c>
      <c r="M229" s="57"/>
      <c r="N229" s="57"/>
      <c r="O229" s="57"/>
      <c r="P229" s="57"/>
      <c r="Q229" s="58"/>
    </row>
    <row r="230" spans="1:17" ht="15">
      <c r="A230" s="115">
        <v>226</v>
      </c>
      <c r="B230" s="74"/>
      <c r="C230" s="75">
        <v>6</v>
      </c>
      <c r="D230" s="679" t="s">
        <v>632</v>
      </c>
      <c r="E230" s="697"/>
      <c r="F230" s="97">
        <v>109284</v>
      </c>
      <c r="G230" s="97">
        <v>148400</v>
      </c>
      <c r="H230" s="97">
        <v>130574</v>
      </c>
      <c r="I230" s="171"/>
      <c r="J230" s="118"/>
      <c r="K230" s="118"/>
      <c r="L230" s="118"/>
      <c r="M230" s="118"/>
      <c r="N230" s="118"/>
      <c r="O230" s="118"/>
      <c r="P230" s="118"/>
      <c r="Q230" s="65"/>
    </row>
    <row r="231" spans="1:17" ht="15">
      <c r="A231" s="115">
        <v>227</v>
      </c>
      <c r="B231" s="124"/>
      <c r="C231" s="125"/>
      <c r="D231" s="705" t="s">
        <v>580</v>
      </c>
      <c r="E231" s="690"/>
      <c r="F231" s="169"/>
      <c r="G231" s="169"/>
      <c r="H231" s="169"/>
      <c r="I231" s="170">
        <f>SUM(J231:Q231)</f>
        <v>148618</v>
      </c>
      <c r="J231" s="126">
        <v>3000</v>
      </c>
      <c r="K231" s="126">
        <v>1535</v>
      </c>
      <c r="L231" s="126">
        <v>144083</v>
      </c>
      <c r="M231" s="127"/>
      <c r="N231" s="126"/>
      <c r="O231" s="126"/>
      <c r="P231" s="126"/>
      <c r="Q231" s="192"/>
    </row>
    <row r="232" spans="1:17" ht="15">
      <c r="A232" s="115">
        <v>228</v>
      </c>
      <c r="B232" s="54"/>
      <c r="C232" s="59"/>
      <c r="D232" s="679" t="s">
        <v>581</v>
      </c>
      <c r="E232" s="688"/>
      <c r="F232" s="44"/>
      <c r="G232" s="44"/>
      <c r="H232" s="44"/>
      <c r="I232" s="171">
        <f>SUM(J232:Q232)</f>
        <v>178163</v>
      </c>
      <c r="J232" s="76">
        <v>3000</v>
      </c>
      <c r="K232" s="76">
        <v>2135</v>
      </c>
      <c r="L232" s="76">
        <v>154577</v>
      </c>
      <c r="M232" s="77"/>
      <c r="N232" s="76"/>
      <c r="O232" s="76">
        <v>18451</v>
      </c>
      <c r="P232" s="76"/>
      <c r="Q232" s="130"/>
    </row>
    <row r="233" spans="1:17" ht="15">
      <c r="A233" s="115">
        <v>229</v>
      </c>
      <c r="B233" s="131"/>
      <c r="C233" s="55"/>
      <c r="D233" s="706" t="s">
        <v>579</v>
      </c>
      <c r="E233" s="691"/>
      <c r="F233" s="56"/>
      <c r="G233" s="56"/>
      <c r="H233" s="56"/>
      <c r="I233" s="172">
        <f>SUM(J233:Q233)</f>
        <v>137886</v>
      </c>
      <c r="J233" s="57">
        <v>2684</v>
      </c>
      <c r="K233" s="57">
        <v>2079</v>
      </c>
      <c r="L233" s="57">
        <v>116746</v>
      </c>
      <c r="M233" s="57"/>
      <c r="N233" s="57"/>
      <c r="O233" s="57">
        <v>16377</v>
      </c>
      <c r="P233" s="57"/>
      <c r="Q233" s="58"/>
    </row>
    <row r="234" spans="1:17" ht="15">
      <c r="A234" s="115">
        <v>230</v>
      </c>
      <c r="B234" s="74"/>
      <c r="C234" s="75">
        <v>7</v>
      </c>
      <c r="D234" s="679" t="s">
        <v>633</v>
      </c>
      <c r="E234" s="697"/>
      <c r="F234" s="97">
        <v>72032</v>
      </c>
      <c r="G234" s="97">
        <v>73216</v>
      </c>
      <c r="H234" s="97">
        <v>68988</v>
      </c>
      <c r="I234" s="171"/>
      <c r="J234" s="118"/>
      <c r="K234" s="118"/>
      <c r="L234" s="118"/>
      <c r="M234" s="118"/>
      <c r="N234" s="118"/>
      <c r="O234" s="118"/>
      <c r="P234" s="118"/>
      <c r="Q234" s="65"/>
    </row>
    <row r="235" spans="1:17" ht="15">
      <c r="A235" s="115">
        <v>231</v>
      </c>
      <c r="B235" s="124"/>
      <c r="C235" s="125"/>
      <c r="D235" s="705" t="s">
        <v>580</v>
      </c>
      <c r="E235" s="690"/>
      <c r="F235" s="169"/>
      <c r="G235" s="169"/>
      <c r="H235" s="169"/>
      <c r="I235" s="170">
        <f>SUM(J235:Q235)</f>
        <v>79557</v>
      </c>
      <c r="J235" s="126"/>
      <c r="K235" s="126"/>
      <c r="L235" s="126">
        <v>62007</v>
      </c>
      <c r="M235" s="127"/>
      <c r="N235" s="126"/>
      <c r="O235" s="126">
        <v>17550</v>
      </c>
      <c r="P235" s="126"/>
      <c r="Q235" s="192"/>
    </row>
    <row r="236" spans="1:17" ht="15">
      <c r="A236" s="115">
        <v>232</v>
      </c>
      <c r="B236" s="54"/>
      <c r="C236" s="59"/>
      <c r="D236" s="679" t="s">
        <v>581</v>
      </c>
      <c r="E236" s="688"/>
      <c r="F236" s="44"/>
      <c r="G236" s="44"/>
      <c r="H236" s="44"/>
      <c r="I236" s="171">
        <f>SUM(J236:Q236)</f>
        <v>84524</v>
      </c>
      <c r="J236" s="76"/>
      <c r="K236" s="76"/>
      <c r="L236" s="76">
        <v>49709</v>
      </c>
      <c r="M236" s="77"/>
      <c r="N236" s="76"/>
      <c r="O236" s="76">
        <v>34815</v>
      </c>
      <c r="P236" s="76"/>
      <c r="Q236" s="130"/>
    </row>
    <row r="237" spans="1:17" ht="15">
      <c r="A237" s="115">
        <v>233</v>
      </c>
      <c r="B237" s="131"/>
      <c r="C237" s="55"/>
      <c r="D237" s="706" t="s">
        <v>579</v>
      </c>
      <c r="E237" s="691"/>
      <c r="F237" s="56"/>
      <c r="G237" s="56"/>
      <c r="H237" s="56"/>
      <c r="I237" s="172">
        <f>SUM(J237:Q237)</f>
        <v>60133</v>
      </c>
      <c r="J237" s="57"/>
      <c r="K237" s="57"/>
      <c r="L237" s="57">
        <v>38987</v>
      </c>
      <c r="M237" s="57"/>
      <c r="N237" s="57"/>
      <c r="O237" s="57">
        <v>21146</v>
      </c>
      <c r="P237" s="57"/>
      <c r="Q237" s="58"/>
    </row>
    <row r="238" spans="1:17" ht="15">
      <c r="A238" s="115">
        <v>234</v>
      </c>
      <c r="B238" s="74"/>
      <c r="C238" s="75">
        <v>8</v>
      </c>
      <c r="D238" s="679" t="s">
        <v>564</v>
      </c>
      <c r="E238" s="697"/>
      <c r="F238" s="97">
        <v>1906</v>
      </c>
      <c r="G238" s="97">
        <v>4200</v>
      </c>
      <c r="H238" s="97">
        <v>509</v>
      </c>
      <c r="I238" s="171"/>
      <c r="J238" s="118"/>
      <c r="K238" s="118"/>
      <c r="L238" s="118"/>
      <c r="M238" s="118"/>
      <c r="N238" s="118"/>
      <c r="O238" s="118"/>
      <c r="P238" s="118"/>
      <c r="Q238" s="65"/>
    </row>
    <row r="239" spans="1:17" ht="15">
      <c r="A239" s="115">
        <v>235</v>
      </c>
      <c r="B239" s="124"/>
      <c r="C239" s="125"/>
      <c r="D239" s="705" t="s">
        <v>580</v>
      </c>
      <c r="E239" s="690"/>
      <c r="F239" s="169"/>
      <c r="G239" s="169"/>
      <c r="H239" s="169"/>
      <c r="I239" s="170">
        <f>SUM(J239:Q239)</f>
        <v>4150</v>
      </c>
      <c r="J239" s="126"/>
      <c r="K239" s="126"/>
      <c r="L239" s="126">
        <v>4150</v>
      </c>
      <c r="M239" s="127"/>
      <c r="N239" s="126"/>
      <c r="O239" s="126"/>
      <c r="P239" s="126"/>
      <c r="Q239" s="192"/>
    </row>
    <row r="240" spans="1:17" ht="15">
      <c r="A240" s="115">
        <v>236</v>
      </c>
      <c r="B240" s="54"/>
      <c r="C240" s="59"/>
      <c r="D240" s="679" t="s">
        <v>581</v>
      </c>
      <c r="E240" s="688"/>
      <c r="F240" s="44"/>
      <c r="G240" s="44"/>
      <c r="H240" s="44"/>
      <c r="I240" s="171">
        <f>SUM(J240:Q240)</f>
        <v>6742</v>
      </c>
      <c r="J240" s="76"/>
      <c r="K240" s="76"/>
      <c r="L240" s="76">
        <v>6742</v>
      </c>
      <c r="M240" s="77"/>
      <c r="N240" s="76"/>
      <c r="O240" s="76"/>
      <c r="P240" s="76"/>
      <c r="Q240" s="130"/>
    </row>
    <row r="241" spans="1:17" ht="15">
      <c r="A241" s="115">
        <v>237</v>
      </c>
      <c r="B241" s="131"/>
      <c r="C241" s="55"/>
      <c r="D241" s="706" t="s">
        <v>579</v>
      </c>
      <c r="E241" s="691"/>
      <c r="F241" s="56"/>
      <c r="G241" s="56"/>
      <c r="H241" s="56"/>
      <c r="I241" s="172">
        <f>SUM(J241:Q241)</f>
        <v>6715</v>
      </c>
      <c r="J241" s="57"/>
      <c r="K241" s="57"/>
      <c r="L241" s="57">
        <v>6715</v>
      </c>
      <c r="M241" s="57"/>
      <c r="N241" s="57"/>
      <c r="O241" s="57"/>
      <c r="P241" s="57"/>
      <c r="Q241" s="58"/>
    </row>
    <row r="242" spans="1:17" ht="15">
      <c r="A242" s="115">
        <v>238</v>
      </c>
      <c r="B242" s="74"/>
      <c r="C242" s="75">
        <v>9</v>
      </c>
      <c r="D242" s="679" t="s">
        <v>813</v>
      </c>
      <c r="E242" s="697"/>
      <c r="F242" s="97">
        <v>417</v>
      </c>
      <c r="G242" s="97"/>
      <c r="H242" s="97"/>
      <c r="I242" s="171"/>
      <c r="J242" s="118"/>
      <c r="K242" s="118"/>
      <c r="L242" s="118"/>
      <c r="M242" s="118"/>
      <c r="N242" s="118"/>
      <c r="O242" s="118"/>
      <c r="P242" s="118"/>
      <c r="Q242" s="65"/>
    </row>
    <row r="243" spans="1:17" ht="15">
      <c r="A243" s="115">
        <v>239</v>
      </c>
      <c r="B243" s="124"/>
      <c r="C243" s="125"/>
      <c r="D243" s="705" t="s">
        <v>580</v>
      </c>
      <c r="E243" s="690"/>
      <c r="F243" s="169"/>
      <c r="G243" s="169"/>
      <c r="H243" s="169"/>
      <c r="I243" s="170">
        <f>SUM(J243:Q243)</f>
        <v>0</v>
      </c>
      <c r="J243" s="126"/>
      <c r="K243" s="126"/>
      <c r="L243" s="126"/>
      <c r="M243" s="127"/>
      <c r="N243" s="126"/>
      <c r="O243" s="126"/>
      <c r="P243" s="126"/>
      <c r="Q243" s="192"/>
    </row>
    <row r="244" spans="1:17" ht="15">
      <c r="A244" s="115">
        <v>240</v>
      </c>
      <c r="B244" s="54"/>
      <c r="C244" s="59"/>
      <c r="D244" s="679" t="s">
        <v>581</v>
      </c>
      <c r="E244" s="688"/>
      <c r="F244" s="44"/>
      <c r="G244" s="44"/>
      <c r="H244" s="44"/>
      <c r="I244" s="171">
        <f>SUM(J244:Q244)</f>
        <v>0</v>
      </c>
      <c r="J244" s="76"/>
      <c r="K244" s="76"/>
      <c r="L244" s="76"/>
      <c r="M244" s="77"/>
      <c r="N244" s="76"/>
      <c r="O244" s="76"/>
      <c r="P244" s="76"/>
      <c r="Q244" s="130"/>
    </row>
    <row r="245" spans="1:17" ht="15">
      <c r="A245" s="115">
        <v>241</v>
      </c>
      <c r="B245" s="131"/>
      <c r="C245" s="55"/>
      <c r="D245" s="706" t="s">
        <v>579</v>
      </c>
      <c r="E245" s="691"/>
      <c r="F245" s="56"/>
      <c r="G245" s="56"/>
      <c r="H245" s="56"/>
      <c r="I245" s="172">
        <f>SUM(J245:Q245)</f>
        <v>0</v>
      </c>
      <c r="J245" s="57"/>
      <c r="K245" s="57"/>
      <c r="L245" s="57"/>
      <c r="M245" s="57"/>
      <c r="N245" s="57"/>
      <c r="O245" s="57"/>
      <c r="P245" s="57"/>
      <c r="Q245" s="58"/>
    </row>
    <row r="246" spans="1:17" ht="30">
      <c r="A246" s="116">
        <v>242</v>
      </c>
      <c r="B246" s="54"/>
      <c r="C246" s="59">
        <v>10</v>
      </c>
      <c r="D246" s="679" t="s">
        <v>391</v>
      </c>
      <c r="E246" s="697"/>
      <c r="F246" s="97">
        <v>3247</v>
      </c>
      <c r="G246" s="97"/>
      <c r="H246" s="97"/>
      <c r="I246" s="171"/>
      <c r="J246" s="118"/>
      <c r="K246" s="118"/>
      <c r="L246" s="118"/>
      <c r="M246" s="118"/>
      <c r="N246" s="118"/>
      <c r="O246" s="118"/>
      <c r="P246" s="118"/>
      <c r="Q246" s="65"/>
    </row>
    <row r="247" spans="1:17" ht="15">
      <c r="A247" s="115">
        <v>243</v>
      </c>
      <c r="B247" s="124"/>
      <c r="C247" s="125"/>
      <c r="D247" s="705" t="s">
        <v>580</v>
      </c>
      <c r="E247" s="690"/>
      <c r="F247" s="169"/>
      <c r="G247" s="169"/>
      <c r="H247" s="169"/>
      <c r="I247" s="170">
        <f>SUM(J247:Q247)</f>
        <v>0</v>
      </c>
      <c r="J247" s="126"/>
      <c r="K247" s="126"/>
      <c r="L247" s="126"/>
      <c r="M247" s="127"/>
      <c r="N247" s="126"/>
      <c r="O247" s="126"/>
      <c r="P247" s="126"/>
      <c r="Q247" s="192"/>
    </row>
    <row r="248" spans="1:17" ht="15">
      <c r="A248" s="115">
        <v>244</v>
      </c>
      <c r="B248" s="54"/>
      <c r="C248" s="59"/>
      <c r="D248" s="679" t="s">
        <v>581</v>
      </c>
      <c r="E248" s="688"/>
      <c r="F248" s="44"/>
      <c r="G248" s="44"/>
      <c r="H248" s="44"/>
      <c r="I248" s="171">
        <f>SUM(J248:Q248)</f>
        <v>0</v>
      </c>
      <c r="J248" s="76"/>
      <c r="K248" s="76"/>
      <c r="L248" s="76"/>
      <c r="M248" s="77"/>
      <c r="N248" s="76"/>
      <c r="O248" s="76"/>
      <c r="P248" s="76"/>
      <c r="Q248" s="130"/>
    </row>
    <row r="249" spans="1:17" ht="15">
      <c r="A249" s="115">
        <v>245</v>
      </c>
      <c r="B249" s="131"/>
      <c r="C249" s="55"/>
      <c r="D249" s="706" t="s">
        <v>579</v>
      </c>
      <c r="E249" s="691"/>
      <c r="F249" s="56"/>
      <c r="G249" s="56"/>
      <c r="H249" s="56"/>
      <c r="I249" s="172">
        <f>SUM(J249:Q249)</f>
        <v>0</v>
      </c>
      <c r="J249" s="57"/>
      <c r="K249" s="57"/>
      <c r="L249" s="57"/>
      <c r="M249" s="57"/>
      <c r="N249" s="57"/>
      <c r="O249" s="57"/>
      <c r="P249" s="57"/>
      <c r="Q249" s="58"/>
    </row>
    <row r="250" spans="1:17" ht="15" customHeight="1">
      <c r="A250" s="116">
        <v>246</v>
      </c>
      <c r="B250" s="54"/>
      <c r="C250" s="59">
        <v>11</v>
      </c>
      <c r="D250" s="1485" t="s">
        <v>392</v>
      </c>
      <c r="E250" s="1485"/>
      <c r="F250" s="1485"/>
      <c r="G250" s="1485"/>
      <c r="H250" s="97"/>
      <c r="I250" s="171"/>
      <c r="J250" s="118"/>
      <c r="K250" s="118"/>
      <c r="L250" s="118"/>
      <c r="M250" s="118"/>
      <c r="N250" s="118"/>
      <c r="O250" s="118"/>
      <c r="P250" s="118"/>
      <c r="Q250" s="65"/>
    </row>
    <row r="251" spans="1:17" ht="15">
      <c r="A251" s="115">
        <v>247</v>
      </c>
      <c r="B251" s="124"/>
      <c r="C251" s="125"/>
      <c r="D251" s="705" t="s">
        <v>580</v>
      </c>
      <c r="E251" s="690"/>
      <c r="F251" s="169"/>
      <c r="G251" s="169"/>
      <c r="H251" s="169"/>
      <c r="I251" s="170">
        <f>SUM(J251:Q251)</f>
        <v>0</v>
      </c>
      <c r="J251" s="126"/>
      <c r="K251" s="126"/>
      <c r="L251" s="126"/>
      <c r="M251" s="127"/>
      <c r="N251" s="126"/>
      <c r="O251" s="126"/>
      <c r="P251" s="126"/>
      <c r="Q251" s="192"/>
    </row>
    <row r="252" spans="1:17" ht="15">
      <c r="A252" s="115">
        <v>248</v>
      </c>
      <c r="B252" s="54"/>
      <c r="C252" s="59"/>
      <c r="D252" s="679" t="s">
        <v>581</v>
      </c>
      <c r="E252" s="688"/>
      <c r="F252" s="44"/>
      <c r="G252" s="44"/>
      <c r="H252" s="44"/>
      <c r="I252" s="171">
        <f>SUM(J252:Q252)</f>
        <v>0</v>
      </c>
      <c r="J252" s="76"/>
      <c r="K252" s="76"/>
      <c r="L252" s="76"/>
      <c r="M252" s="77"/>
      <c r="N252" s="76"/>
      <c r="O252" s="76"/>
      <c r="P252" s="76"/>
      <c r="Q252" s="130"/>
    </row>
    <row r="253" spans="1:17" ht="15">
      <c r="A253" s="115">
        <v>249</v>
      </c>
      <c r="B253" s="131"/>
      <c r="C253" s="55"/>
      <c r="D253" s="706" t="s">
        <v>579</v>
      </c>
      <c r="E253" s="691"/>
      <c r="F253" s="56"/>
      <c r="G253" s="56"/>
      <c r="H253" s="56"/>
      <c r="I253" s="172">
        <f>SUM(J253:Q253)</f>
        <v>0</v>
      </c>
      <c r="J253" s="57"/>
      <c r="K253" s="57"/>
      <c r="L253" s="57"/>
      <c r="M253" s="57"/>
      <c r="N253" s="57"/>
      <c r="O253" s="57"/>
      <c r="P253" s="57"/>
      <c r="Q253" s="58"/>
    </row>
    <row r="254" spans="1:17" ht="30">
      <c r="A254" s="116">
        <v>250</v>
      </c>
      <c r="B254" s="54"/>
      <c r="C254" s="59">
        <v>12</v>
      </c>
      <c r="D254" s="679" t="s">
        <v>429</v>
      </c>
      <c r="E254" s="697"/>
      <c r="F254" s="97">
        <v>3560</v>
      </c>
      <c r="G254" s="97"/>
      <c r="H254" s="97">
        <v>4458</v>
      </c>
      <c r="I254" s="171"/>
      <c r="J254" s="118"/>
      <c r="K254" s="118"/>
      <c r="L254" s="118"/>
      <c r="M254" s="118"/>
      <c r="N254" s="118"/>
      <c r="O254" s="118"/>
      <c r="P254" s="118"/>
      <c r="Q254" s="65"/>
    </row>
    <row r="255" spans="1:17" ht="15">
      <c r="A255" s="115">
        <v>251</v>
      </c>
      <c r="B255" s="124"/>
      <c r="C255" s="125"/>
      <c r="D255" s="705" t="s">
        <v>580</v>
      </c>
      <c r="E255" s="690"/>
      <c r="F255" s="169"/>
      <c r="G255" s="169"/>
      <c r="H255" s="169"/>
      <c r="I255" s="170">
        <f>SUM(J255:Q255)</f>
        <v>0</v>
      </c>
      <c r="J255" s="126"/>
      <c r="K255" s="126"/>
      <c r="L255" s="126"/>
      <c r="M255" s="127"/>
      <c r="N255" s="126"/>
      <c r="O255" s="126"/>
      <c r="P255" s="126"/>
      <c r="Q255" s="192"/>
    </row>
    <row r="256" spans="1:17" ht="15">
      <c r="A256" s="115">
        <v>252</v>
      </c>
      <c r="B256" s="54"/>
      <c r="C256" s="59"/>
      <c r="D256" s="679" t="s">
        <v>581</v>
      </c>
      <c r="E256" s="688"/>
      <c r="F256" s="44"/>
      <c r="G256" s="44"/>
      <c r="H256" s="44"/>
      <c r="I256" s="171">
        <f>SUM(J256:Q256)</f>
        <v>2732</v>
      </c>
      <c r="J256" s="76">
        <v>1896</v>
      </c>
      <c r="K256" s="76">
        <v>507</v>
      </c>
      <c r="L256" s="76">
        <v>329</v>
      </c>
      <c r="M256" s="77"/>
      <c r="N256" s="76"/>
      <c r="O256" s="76"/>
      <c r="P256" s="76"/>
      <c r="Q256" s="130"/>
    </row>
    <row r="257" spans="1:17" ht="15">
      <c r="A257" s="115">
        <v>253</v>
      </c>
      <c r="B257" s="131"/>
      <c r="C257" s="55"/>
      <c r="D257" s="706" t="s">
        <v>579</v>
      </c>
      <c r="E257" s="691"/>
      <c r="F257" s="56"/>
      <c r="G257" s="56"/>
      <c r="H257" s="56"/>
      <c r="I257" s="172">
        <f>SUM(J257:Q257)</f>
        <v>2690</v>
      </c>
      <c r="J257" s="57">
        <v>1904</v>
      </c>
      <c r="K257" s="57">
        <v>506</v>
      </c>
      <c r="L257" s="57">
        <v>280</v>
      </c>
      <c r="M257" s="57"/>
      <c r="N257" s="57"/>
      <c r="O257" s="57"/>
      <c r="P257" s="57"/>
      <c r="Q257" s="58"/>
    </row>
    <row r="258" spans="1:17" ht="30">
      <c r="A258" s="116">
        <v>254</v>
      </c>
      <c r="B258" s="54"/>
      <c r="C258" s="59">
        <v>13</v>
      </c>
      <c r="D258" s="679" t="s">
        <v>481</v>
      </c>
      <c r="E258" s="697"/>
      <c r="F258" s="97">
        <v>584</v>
      </c>
      <c r="G258" s="97"/>
      <c r="H258" s="97">
        <v>146</v>
      </c>
      <c r="I258" s="171"/>
      <c r="J258" s="118"/>
      <c r="K258" s="118"/>
      <c r="L258" s="118"/>
      <c r="M258" s="118"/>
      <c r="N258" s="118"/>
      <c r="O258" s="118"/>
      <c r="P258" s="118"/>
      <c r="Q258" s="65"/>
    </row>
    <row r="259" spans="1:17" ht="15">
      <c r="A259" s="115">
        <v>255</v>
      </c>
      <c r="B259" s="124"/>
      <c r="C259" s="125"/>
      <c r="D259" s="705" t="s">
        <v>580</v>
      </c>
      <c r="E259" s="690"/>
      <c r="F259" s="169"/>
      <c r="G259" s="169"/>
      <c r="H259" s="169"/>
      <c r="I259" s="170">
        <f>SUM(J259:Q259)</f>
        <v>0</v>
      </c>
      <c r="J259" s="126"/>
      <c r="K259" s="126"/>
      <c r="L259" s="126"/>
      <c r="M259" s="127"/>
      <c r="N259" s="126"/>
      <c r="O259" s="126"/>
      <c r="P259" s="126"/>
      <c r="Q259" s="192"/>
    </row>
    <row r="260" spans="1:17" ht="15">
      <c r="A260" s="115">
        <v>256</v>
      </c>
      <c r="B260" s="54"/>
      <c r="C260" s="59"/>
      <c r="D260" s="679" t="s">
        <v>581</v>
      </c>
      <c r="E260" s="688"/>
      <c r="F260" s="44"/>
      <c r="G260" s="44"/>
      <c r="H260" s="44"/>
      <c r="I260" s="171">
        <f>SUM(J260:Q260)</f>
        <v>0</v>
      </c>
      <c r="J260" s="76"/>
      <c r="K260" s="76"/>
      <c r="L260" s="76"/>
      <c r="M260" s="77"/>
      <c r="N260" s="76"/>
      <c r="O260" s="76"/>
      <c r="P260" s="76"/>
      <c r="Q260" s="130"/>
    </row>
    <row r="261" spans="1:17" ht="15">
      <c r="A261" s="115">
        <v>257</v>
      </c>
      <c r="B261" s="131"/>
      <c r="C261" s="55"/>
      <c r="D261" s="706" t="s">
        <v>579</v>
      </c>
      <c r="E261" s="691"/>
      <c r="F261" s="56"/>
      <c r="G261" s="56"/>
      <c r="H261" s="56"/>
      <c r="I261" s="172">
        <f>SUM(J261:Q261)</f>
        <v>0</v>
      </c>
      <c r="J261" s="57"/>
      <c r="K261" s="57"/>
      <c r="L261" s="57"/>
      <c r="M261" s="57"/>
      <c r="N261" s="57"/>
      <c r="O261" s="57"/>
      <c r="P261" s="57"/>
      <c r="Q261" s="58"/>
    </row>
    <row r="262" spans="1:17" ht="30">
      <c r="A262" s="116">
        <v>258</v>
      </c>
      <c r="B262" s="54"/>
      <c r="C262" s="59">
        <v>14</v>
      </c>
      <c r="D262" s="679" t="s">
        <v>480</v>
      </c>
      <c r="E262" s="697"/>
      <c r="F262" s="97">
        <v>999</v>
      </c>
      <c r="G262" s="97"/>
      <c r="H262" s="97">
        <v>1086</v>
      </c>
      <c r="I262" s="171"/>
      <c r="J262" s="118"/>
      <c r="K262" s="118"/>
      <c r="L262" s="118"/>
      <c r="M262" s="118"/>
      <c r="N262" s="118"/>
      <c r="O262" s="118"/>
      <c r="P262" s="118"/>
      <c r="Q262" s="65"/>
    </row>
    <row r="263" spans="1:17" ht="15">
      <c r="A263" s="115">
        <v>259</v>
      </c>
      <c r="B263" s="124"/>
      <c r="C263" s="125"/>
      <c r="D263" s="705" t="s">
        <v>580</v>
      </c>
      <c r="E263" s="690"/>
      <c r="F263" s="169"/>
      <c r="G263" s="169"/>
      <c r="H263" s="169"/>
      <c r="I263" s="170">
        <f>SUM(J263:Q263)</f>
        <v>0</v>
      </c>
      <c r="J263" s="126"/>
      <c r="K263" s="126"/>
      <c r="L263" s="126"/>
      <c r="M263" s="127"/>
      <c r="N263" s="126"/>
      <c r="O263" s="126"/>
      <c r="P263" s="126"/>
      <c r="Q263" s="192"/>
    </row>
    <row r="264" spans="1:17" ht="15">
      <c r="A264" s="115">
        <v>260</v>
      </c>
      <c r="B264" s="54"/>
      <c r="C264" s="59"/>
      <c r="D264" s="679" t="s">
        <v>581</v>
      </c>
      <c r="E264" s="688"/>
      <c r="F264" s="44"/>
      <c r="G264" s="44"/>
      <c r="H264" s="44"/>
      <c r="I264" s="171">
        <f>SUM(J264:Q264)</f>
        <v>34</v>
      </c>
      <c r="J264" s="76">
        <v>27</v>
      </c>
      <c r="K264" s="76">
        <v>7</v>
      </c>
      <c r="L264" s="76"/>
      <c r="M264" s="77"/>
      <c r="N264" s="76"/>
      <c r="O264" s="76"/>
      <c r="P264" s="76"/>
      <c r="Q264" s="130"/>
    </row>
    <row r="265" spans="1:17" ht="15">
      <c r="A265" s="115">
        <v>261</v>
      </c>
      <c r="B265" s="131"/>
      <c r="C265" s="55"/>
      <c r="D265" s="706" t="s">
        <v>579</v>
      </c>
      <c r="E265" s="691"/>
      <c r="F265" s="56"/>
      <c r="G265" s="56"/>
      <c r="H265" s="56"/>
      <c r="I265" s="172">
        <f>SUM(J265:Q265)</f>
        <v>34</v>
      </c>
      <c r="J265" s="57">
        <v>27</v>
      </c>
      <c r="K265" s="57">
        <v>7</v>
      </c>
      <c r="L265" s="57"/>
      <c r="M265" s="57"/>
      <c r="N265" s="57"/>
      <c r="O265" s="57"/>
      <c r="P265" s="57"/>
      <c r="Q265" s="58"/>
    </row>
    <row r="266" spans="1:17" ht="45">
      <c r="A266" s="116">
        <v>262</v>
      </c>
      <c r="B266" s="54"/>
      <c r="C266" s="59">
        <v>15</v>
      </c>
      <c r="D266" s="679" t="s">
        <v>482</v>
      </c>
      <c r="E266" s="697"/>
      <c r="F266" s="97">
        <v>909</v>
      </c>
      <c r="G266" s="97"/>
      <c r="H266" s="97">
        <v>2071</v>
      </c>
      <c r="I266" s="171"/>
      <c r="J266" s="118"/>
      <c r="K266" s="118"/>
      <c r="L266" s="118"/>
      <c r="M266" s="118"/>
      <c r="N266" s="118"/>
      <c r="O266" s="118"/>
      <c r="P266" s="118"/>
      <c r="Q266" s="65"/>
    </row>
    <row r="267" spans="1:17" ht="15">
      <c r="A267" s="115">
        <v>263</v>
      </c>
      <c r="B267" s="124"/>
      <c r="C267" s="125"/>
      <c r="D267" s="705" t="s">
        <v>580</v>
      </c>
      <c r="E267" s="690"/>
      <c r="F267" s="169"/>
      <c r="G267" s="169"/>
      <c r="H267" s="169"/>
      <c r="I267" s="170">
        <f>SUM(J267:Q267)</f>
        <v>0</v>
      </c>
      <c r="J267" s="126"/>
      <c r="K267" s="126"/>
      <c r="L267" s="126"/>
      <c r="M267" s="127"/>
      <c r="N267" s="126"/>
      <c r="O267" s="126"/>
      <c r="P267" s="126"/>
      <c r="Q267" s="192"/>
    </row>
    <row r="268" spans="1:17" ht="15">
      <c r="A268" s="115">
        <v>264</v>
      </c>
      <c r="B268" s="54"/>
      <c r="C268" s="59"/>
      <c r="D268" s="679" t="s">
        <v>581</v>
      </c>
      <c r="E268" s="688"/>
      <c r="F268" s="44"/>
      <c r="G268" s="44"/>
      <c r="H268" s="44"/>
      <c r="I268" s="171">
        <f>SUM(J268:Q268)</f>
        <v>635</v>
      </c>
      <c r="J268" s="76">
        <v>500</v>
      </c>
      <c r="K268" s="76">
        <v>135</v>
      </c>
      <c r="L268" s="76"/>
      <c r="M268" s="77"/>
      <c r="N268" s="76"/>
      <c r="O268" s="76"/>
      <c r="P268" s="76"/>
      <c r="Q268" s="130"/>
    </row>
    <row r="269" spans="1:17" ht="15">
      <c r="A269" s="115">
        <v>265</v>
      </c>
      <c r="B269" s="131"/>
      <c r="C269" s="55"/>
      <c r="D269" s="706" t="s">
        <v>579</v>
      </c>
      <c r="E269" s="691"/>
      <c r="F269" s="56"/>
      <c r="G269" s="56"/>
      <c r="H269" s="56"/>
      <c r="I269" s="172">
        <f>SUM(J269:Q269)</f>
        <v>635</v>
      </c>
      <c r="J269" s="57">
        <v>500</v>
      </c>
      <c r="K269" s="57">
        <v>135</v>
      </c>
      <c r="L269" s="57"/>
      <c r="M269" s="57"/>
      <c r="N269" s="57"/>
      <c r="O269" s="57"/>
      <c r="P269" s="57"/>
      <c r="Q269" s="58"/>
    </row>
    <row r="270" spans="1:17" ht="30">
      <c r="A270" s="116">
        <v>266</v>
      </c>
      <c r="B270" s="54"/>
      <c r="C270" s="59">
        <v>16</v>
      </c>
      <c r="D270" s="679" t="s">
        <v>584</v>
      </c>
      <c r="E270" s="697"/>
      <c r="F270" s="97">
        <v>2105</v>
      </c>
      <c r="G270" s="97"/>
      <c r="H270" s="97">
        <v>5263</v>
      </c>
      <c r="I270" s="171"/>
      <c r="J270" s="118"/>
      <c r="K270" s="118"/>
      <c r="L270" s="118"/>
      <c r="M270" s="118"/>
      <c r="N270" s="118"/>
      <c r="O270" s="118"/>
      <c r="P270" s="118"/>
      <c r="Q270" s="65"/>
    </row>
    <row r="271" spans="1:17" ht="15">
      <c r="A271" s="115">
        <v>267</v>
      </c>
      <c r="B271" s="74"/>
      <c r="C271" s="75"/>
      <c r="D271" s="679" t="s">
        <v>581</v>
      </c>
      <c r="E271" s="679"/>
      <c r="F271" s="717"/>
      <c r="G271" s="717"/>
      <c r="H271" s="717"/>
      <c r="I271" s="171">
        <f>SUM(J271:Q271)</f>
        <v>0</v>
      </c>
      <c r="J271" s="76"/>
      <c r="K271" s="76"/>
      <c r="L271" s="118"/>
      <c r="M271" s="118"/>
      <c r="N271" s="118"/>
      <c r="O271" s="118"/>
      <c r="P271" s="118"/>
      <c r="Q271" s="65"/>
    </row>
    <row r="272" spans="1:17" ht="15">
      <c r="A272" s="115">
        <v>268</v>
      </c>
      <c r="B272" s="131"/>
      <c r="C272" s="55"/>
      <c r="D272" s="706" t="s">
        <v>579</v>
      </c>
      <c r="E272" s="691"/>
      <c r="F272" s="56"/>
      <c r="G272" s="56"/>
      <c r="H272" s="56"/>
      <c r="I272" s="172">
        <f>SUM(J272:Q272)</f>
        <v>0</v>
      </c>
      <c r="J272" s="57"/>
      <c r="K272" s="57"/>
      <c r="L272" s="57"/>
      <c r="M272" s="57"/>
      <c r="N272" s="57"/>
      <c r="O272" s="57"/>
      <c r="P272" s="57"/>
      <c r="Q272" s="58"/>
    </row>
    <row r="273" spans="1:17" ht="30">
      <c r="A273" s="116">
        <v>269</v>
      </c>
      <c r="B273" s="54"/>
      <c r="C273" s="59">
        <v>17</v>
      </c>
      <c r="D273" s="679" t="s">
        <v>692</v>
      </c>
      <c r="E273" s="697"/>
      <c r="F273" s="97">
        <v>1712</v>
      </c>
      <c r="G273" s="97"/>
      <c r="H273" s="97">
        <v>1617</v>
      </c>
      <c r="I273" s="171"/>
      <c r="J273" s="118"/>
      <c r="K273" s="118"/>
      <c r="L273" s="118"/>
      <c r="M273" s="118"/>
      <c r="N273" s="118"/>
      <c r="O273" s="118"/>
      <c r="P273" s="118"/>
      <c r="Q273" s="65"/>
    </row>
    <row r="274" spans="1:17" ht="15">
      <c r="A274" s="115">
        <v>270</v>
      </c>
      <c r="B274" s="124"/>
      <c r="C274" s="125"/>
      <c r="D274" s="705" t="s">
        <v>580</v>
      </c>
      <c r="E274" s="690"/>
      <c r="F274" s="169"/>
      <c r="G274" s="169"/>
      <c r="H274" s="169"/>
      <c r="I274" s="170">
        <f>SUM(J274:Q274)</f>
        <v>0</v>
      </c>
      <c r="J274" s="126"/>
      <c r="K274" s="126"/>
      <c r="L274" s="126"/>
      <c r="M274" s="127"/>
      <c r="N274" s="126"/>
      <c r="O274" s="126"/>
      <c r="P274" s="126"/>
      <c r="Q274" s="192"/>
    </row>
    <row r="275" spans="1:17" ht="15">
      <c r="A275" s="115">
        <v>271</v>
      </c>
      <c r="B275" s="54"/>
      <c r="C275" s="59"/>
      <c r="D275" s="679" t="s">
        <v>581</v>
      </c>
      <c r="E275" s="688"/>
      <c r="F275" s="44"/>
      <c r="G275" s="44"/>
      <c r="H275" s="44"/>
      <c r="I275" s="171">
        <f>SUM(J275:Q275)</f>
        <v>0</v>
      </c>
      <c r="J275" s="76"/>
      <c r="K275" s="76"/>
      <c r="L275" s="76"/>
      <c r="M275" s="77"/>
      <c r="N275" s="76"/>
      <c r="O275" s="76"/>
      <c r="P275" s="76"/>
      <c r="Q275" s="130"/>
    </row>
    <row r="276" spans="1:17" ht="15">
      <c r="A276" s="115">
        <v>272</v>
      </c>
      <c r="B276" s="131"/>
      <c r="C276" s="55"/>
      <c r="D276" s="706" t="s">
        <v>579</v>
      </c>
      <c r="E276" s="691"/>
      <c r="F276" s="56"/>
      <c r="G276" s="56"/>
      <c r="H276" s="56"/>
      <c r="I276" s="172">
        <f>SUM(J276:Q276)</f>
        <v>0</v>
      </c>
      <c r="J276" s="57"/>
      <c r="K276" s="57"/>
      <c r="L276" s="57"/>
      <c r="M276" s="57"/>
      <c r="N276" s="57"/>
      <c r="O276" s="57"/>
      <c r="P276" s="57"/>
      <c r="Q276" s="58"/>
    </row>
    <row r="277" spans="1:17" ht="45">
      <c r="A277" s="116">
        <v>273</v>
      </c>
      <c r="B277" s="54"/>
      <c r="C277" s="59">
        <v>18</v>
      </c>
      <c r="D277" s="679" t="s">
        <v>693</v>
      </c>
      <c r="E277" s="697"/>
      <c r="F277" s="97">
        <v>864</v>
      </c>
      <c r="G277" s="97"/>
      <c r="H277" s="97">
        <v>1522</v>
      </c>
      <c r="I277" s="171"/>
      <c r="J277" s="118"/>
      <c r="K277" s="118"/>
      <c r="L277" s="118"/>
      <c r="M277" s="118"/>
      <c r="N277" s="118"/>
      <c r="O277" s="118"/>
      <c r="P277" s="118"/>
      <c r="Q277" s="65"/>
    </row>
    <row r="278" spans="1:17" ht="15">
      <c r="A278" s="115">
        <v>274</v>
      </c>
      <c r="B278" s="124"/>
      <c r="C278" s="125"/>
      <c r="D278" s="705" t="s">
        <v>580</v>
      </c>
      <c r="E278" s="690"/>
      <c r="F278" s="169"/>
      <c r="G278" s="169"/>
      <c r="H278" s="169"/>
      <c r="I278" s="170">
        <f>SUM(J278:Q278)</f>
        <v>0</v>
      </c>
      <c r="J278" s="126"/>
      <c r="K278" s="126"/>
      <c r="L278" s="126"/>
      <c r="M278" s="127"/>
      <c r="N278" s="126"/>
      <c r="O278" s="126"/>
      <c r="P278" s="126"/>
      <c r="Q278" s="192"/>
    </row>
    <row r="279" spans="1:17" ht="15">
      <c r="A279" s="115">
        <v>275</v>
      </c>
      <c r="B279" s="54"/>
      <c r="C279" s="59"/>
      <c r="D279" s="679" t="s">
        <v>581</v>
      </c>
      <c r="E279" s="688"/>
      <c r="F279" s="44"/>
      <c r="G279" s="44"/>
      <c r="H279" s="44"/>
      <c r="I279" s="171">
        <f>SUM(J279:Q279)</f>
        <v>1395</v>
      </c>
      <c r="J279" s="76">
        <v>1098</v>
      </c>
      <c r="K279" s="76">
        <v>297</v>
      </c>
      <c r="L279" s="76"/>
      <c r="M279" s="77"/>
      <c r="N279" s="76"/>
      <c r="O279" s="76"/>
      <c r="P279" s="76"/>
      <c r="Q279" s="130"/>
    </row>
    <row r="280" spans="1:17" ht="15">
      <c r="A280" s="115">
        <v>276</v>
      </c>
      <c r="B280" s="131"/>
      <c r="C280" s="55"/>
      <c r="D280" s="706" t="s">
        <v>579</v>
      </c>
      <c r="E280" s="691"/>
      <c r="F280" s="56"/>
      <c r="G280" s="56"/>
      <c r="H280" s="56"/>
      <c r="I280" s="172">
        <f>SUM(J280:Q280)</f>
        <v>1395</v>
      </c>
      <c r="J280" s="57">
        <v>1098</v>
      </c>
      <c r="K280" s="57">
        <v>297</v>
      </c>
      <c r="L280" s="57"/>
      <c r="M280" s="57"/>
      <c r="N280" s="57"/>
      <c r="O280" s="57"/>
      <c r="P280" s="57"/>
      <c r="Q280" s="58"/>
    </row>
    <row r="281" spans="1:17" ht="45">
      <c r="A281" s="116">
        <v>277</v>
      </c>
      <c r="B281" s="54"/>
      <c r="C281" s="59">
        <v>19</v>
      </c>
      <c r="D281" s="679" t="s">
        <v>430</v>
      </c>
      <c r="E281" s="697"/>
      <c r="F281" s="97">
        <v>2869</v>
      </c>
      <c r="G281" s="97"/>
      <c r="H281" s="97">
        <v>9957</v>
      </c>
      <c r="I281" s="171"/>
      <c r="J281" s="118"/>
      <c r="K281" s="118"/>
      <c r="L281" s="118"/>
      <c r="M281" s="118"/>
      <c r="N281" s="118"/>
      <c r="O281" s="118"/>
      <c r="P281" s="118"/>
      <c r="Q281" s="65"/>
    </row>
    <row r="282" spans="1:17" ht="15">
      <c r="A282" s="115">
        <v>278</v>
      </c>
      <c r="B282" s="124"/>
      <c r="C282" s="125"/>
      <c r="D282" s="705" t="s">
        <v>580</v>
      </c>
      <c r="E282" s="690"/>
      <c r="F282" s="169"/>
      <c r="G282" s="169"/>
      <c r="H282" s="169"/>
      <c r="I282" s="170">
        <f>SUM(J282:Q282)</f>
        <v>0</v>
      </c>
      <c r="J282" s="126"/>
      <c r="K282" s="126"/>
      <c r="L282" s="126"/>
      <c r="M282" s="127"/>
      <c r="N282" s="126"/>
      <c r="O282" s="126"/>
      <c r="P282" s="126"/>
      <c r="Q282" s="192"/>
    </row>
    <row r="283" spans="1:17" ht="15">
      <c r="A283" s="115">
        <v>279</v>
      </c>
      <c r="B283" s="54"/>
      <c r="C283" s="59"/>
      <c r="D283" s="679" t="s">
        <v>581</v>
      </c>
      <c r="E283" s="688"/>
      <c r="F283" s="44"/>
      <c r="G283" s="44"/>
      <c r="H283" s="44"/>
      <c r="I283" s="171">
        <f>SUM(J283:Q283)</f>
        <v>0</v>
      </c>
      <c r="J283" s="76"/>
      <c r="K283" s="76"/>
      <c r="L283" s="76"/>
      <c r="M283" s="77"/>
      <c r="N283" s="76"/>
      <c r="O283" s="76"/>
      <c r="P283" s="76"/>
      <c r="Q283" s="130"/>
    </row>
    <row r="284" spans="1:17" ht="15">
      <c r="A284" s="115">
        <v>280</v>
      </c>
      <c r="B284" s="131"/>
      <c r="C284" s="55"/>
      <c r="D284" s="706" t="s">
        <v>579</v>
      </c>
      <c r="E284" s="691"/>
      <c r="F284" s="56"/>
      <c r="G284" s="56"/>
      <c r="H284" s="56"/>
      <c r="I284" s="174">
        <f>SUM(J284:Q284)</f>
        <v>0</v>
      </c>
      <c r="J284" s="57"/>
      <c r="K284" s="57"/>
      <c r="L284" s="57"/>
      <c r="M284" s="57"/>
      <c r="N284" s="57"/>
      <c r="O284" s="57"/>
      <c r="P284" s="57"/>
      <c r="Q284" s="58"/>
    </row>
    <row r="285" spans="1:17" ht="15">
      <c r="A285" s="115">
        <v>281</v>
      </c>
      <c r="B285" s="54"/>
      <c r="C285" s="59">
        <v>20</v>
      </c>
      <c r="D285" s="679" t="s">
        <v>1235</v>
      </c>
      <c r="E285" s="697"/>
      <c r="F285" s="97"/>
      <c r="G285" s="97"/>
      <c r="H285" s="97"/>
      <c r="I285" s="174"/>
      <c r="J285" s="118"/>
      <c r="K285" s="118"/>
      <c r="L285" s="118"/>
      <c r="M285" s="118"/>
      <c r="N285" s="118"/>
      <c r="O285" s="118"/>
      <c r="P285" s="118"/>
      <c r="Q285" s="65"/>
    </row>
    <row r="286" spans="1:17" ht="15">
      <c r="A286" s="115">
        <v>282</v>
      </c>
      <c r="B286" s="54"/>
      <c r="C286" s="59"/>
      <c r="D286" s="679" t="s">
        <v>581</v>
      </c>
      <c r="E286" s="688"/>
      <c r="F286" s="44"/>
      <c r="G286" s="44"/>
      <c r="H286" s="44"/>
      <c r="I286" s="171">
        <f>SUM(J286:Q286)</f>
        <v>14224</v>
      </c>
      <c r="J286" s="76">
        <v>11200</v>
      </c>
      <c r="K286" s="76">
        <v>3024</v>
      </c>
      <c r="L286" s="76"/>
      <c r="M286" s="77"/>
      <c r="N286" s="76"/>
      <c r="O286" s="76"/>
      <c r="P286" s="76"/>
      <c r="Q286" s="130"/>
    </row>
    <row r="287" spans="1:17" ht="15">
      <c r="A287" s="115">
        <v>283</v>
      </c>
      <c r="B287" s="131"/>
      <c r="C287" s="55"/>
      <c r="D287" s="706" t="s">
        <v>579</v>
      </c>
      <c r="E287" s="691"/>
      <c r="F287" s="56"/>
      <c r="G287" s="56"/>
      <c r="H287" s="56"/>
      <c r="I287" s="174">
        <f>SUM(J287:Q287)</f>
        <v>13463</v>
      </c>
      <c r="J287" s="57">
        <v>10603</v>
      </c>
      <c r="K287" s="57">
        <v>2860</v>
      </c>
      <c r="L287" s="57"/>
      <c r="M287" s="57"/>
      <c r="N287" s="57"/>
      <c r="O287" s="57"/>
      <c r="P287" s="57"/>
      <c r="Q287" s="58"/>
    </row>
    <row r="288" spans="1:17" ht="15">
      <c r="A288" s="115">
        <v>284</v>
      </c>
      <c r="B288" s="54"/>
      <c r="C288" s="59">
        <v>21</v>
      </c>
      <c r="D288" s="1485" t="s">
        <v>24</v>
      </c>
      <c r="E288" s="1485"/>
      <c r="F288" s="1485"/>
      <c r="G288" s="97"/>
      <c r="H288" s="97"/>
      <c r="I288" s="174"/>
      <c r="J288" s="118"/>
      <c r="K288" s="118"/>
      <c r="L288" s="118"/>
      <c r="M288" s="118"/>
      <c r="N288" s="118"/>
      <c r="O288" s="118"/>
      <c r="P288" s="118"/>
      <c r="Q288" s="65"/>
    </row>
    <row r="289" spans="1:17" ht="15">
      <c r="A289" s="115">
        <v>285</v>
      </c>
      <c r="B289" s="54"/>
      <c r="C289" s="59"/>
      <c r="D289" s="679" t="s">
        <v>581</v>
      </c>
      <c r="E289" s="688"/>
      <c r="F289" s="44"/>
      <c r="G289" s="44"/>
      <c r="H289" s="44"/>
      <c r="I289" s="171">
        <f>SUM(J289:Q289)</f>
        <v>1989</v>
      </c>
      <c r="J289" s="76">
        <v>1566</v>
      </c>
      <c r="K289" s="76">
        <v>423</v>
      </c>
      <c r="L289" s="76"/>
      <c r="M289" s="77"/>
      <c r="N289" s="76"/>
      <c r="O289" s="76"/>
      <c r="P289" s="76"/>
      <c r="Q289" s="130"/>
    </row>
    <row r="290" spans="1:17" ht="15">
      <c r="A290" s="115">
        <v>286</v>
      </c>
      <c r="B290" s="131"/>
      <c r="C290" s="55"/>
      <c r="D290" s="706" t="s">
        <v>579</v>
      </c>
      <c r="E290" s="691"/>
      <c r="F290" s="56"/>
      <c r="G290" s="56"/>
      <c r="H290" s="56"/>
      <c r="I290" s="174">
        <f>SUM(J290:Q290)</f>
        <v>1811</v>
      </c>
      <c r="J290" s="57">
        <v>1426</v>
      </c>
      <c r="K290" s="57">
        <v>385</v>
      </c>
      <c r="L290" s="57"/>
      <c r="M290" s="57"/>
      <c r="N290" s="57"/>
      <c r="O290" s="57"/>
      <c r="P290" s="57"/>
      <c r="Q290" s="58"/>
    </row>
    <row r="291" spans="1:17" ht="30" customHeight="1">
      <c r="A291" s="115">
        <v>287</v>
      </c>
      <c r="B291" s="54"/>
      <c r="C291" s="59">
        <v>22</v>
      </c>
      <c r="D291" s="679" t="s">
        <v>27</v>
      </c>
      <c r="E291" s="697"/>
      <c r="F291" s="97"/>
      <c r="G291" s="97"/>
      <c r="H291" s="97"/>
      <c r="I291" s="174"/>
      <c r="J291" s="118"/>
      <c r="K291" s="118"/>
      <c r="L291" s="118"/>
      <c r="M291" s="118"/>
      <c r="N291" s="118"/>
      <c r="O291" s="118"/>
      <c r="P291" s="118"/>
      <c r="Q291" s="65"/>
    </row>
    <row r="292" spans="1:17" ht="15">
      <c r="A292" s="115">
        <v>288</v>
      </c>
      <c r="B292" s="54"/>
      <c r="C292" s="59"/>
      <c r="D292" s="679" t="s">
        <v>581</v>
      </c>
      <c r="E292" s="688"/>
      <c r="F292" s="44"/>
      <c r="G292" s="44"/>
      <c r="H292" s="44"/>
      <c r="I292" s="171">
        <f>SUM(J292:Q292)</f>
        <v>3150</v>
      </c>
      <c r="J292" s="76">
        <v>2480</v>
      </c>
      <c r="K292" s="76">
        <v>670</v>
      </c>
      <c r="L292" s="76"/>
      <c r="M292" s="77"/>
      <c r="N292" s="76"/>
      <c r="O292" s="76"/>
      <c r="P292" s="76"/>
      <c r="Q292" s="130"/>
    </row>
    <row r="293" spans="1:17" ht="15">
      <c r="A293" s="115">
        <v>289</v>
      </c>
      <c r="B293" s="131"/>
      <c r="C293" s="55"/>
      <c r="D293" s="706" t="s">
        <v>579</v>
      </c>
      <c r="E293" s="691"/>
      <c r="F293" s="56"/>
      <c r="G293" s="56"/>
      <c r="H293" s="56"/>
      <c r="I293" s="174">
        <f>SUM(J293:Q293)</f>
        <v>3150</v>
      </c>
      <c r="J293" s="57">
        <v>2480</v>
      </c>
      <c r="K293" s="57">
        <v>670</v>
      </c>
      <c r="L293" s="57"/>
      <c r="M293" s="57"/>
      <c r="N293" s="57"/>
      <c r="O293" s="57"/>
      <c r="P293" s="57"/>
      <c r="Q293" s="58"/>
    </row>
    <row r="294" spans="1:17" ht="15">
      <c r="A294" s="115">
        <v>290</v>
      </c>
      <c r="B294" s="184"/>
      <c r="C294" s="1499" t="s">
        <v>780</v>
      </c>
      <c r="D294" s="1499"/>
      <c r="E294" s="206"/>
      <c r="F294" s="193">
        <f>SUM(F213:F281)</f>
        <v>1262346</v>
      </c>
      <c r="G294" s="193">
        <f>SUM(G213:G281)</f>
        <v>1328570</v>
      </c>
      <c r="H294" s="193">
        <f>SUM(H213:H281)</f>
        <v>1335184</v>
      </c>
      <c r="I294" s="187"/>
      <c r="J294" s="185"/>
      <c r="K294" s="185"/>
      <c r="L294" s="185"/>
      <c r="M294" s="185"/>
      <c r="N294" s="185"/>
      <c r="O294" s="185"/>
      <c r="P294" s="185"/>
      <c r="Q294" s="136"/>
    </row>
    <row r="295" spans="1:17" ht="15">
      <c r="A295" s="115">
        <v>291</v>
      </c>
      <c r="B295" s="124"/>
      <c r="C295" s="207"/>
      <c r="D295" s="710" t="s">
        <v>580</v>
      </c>
      <c r="E295" s="208"/>
      <c r="F295" s="169"/>
      <c r="G295" s="169"/>
      <c r="H295" s="169"/>
      <c r="I295" s="173">
        <f>SUM(J295:Q295)</f>
        <v>1386577</v>
      </c>
      <c r="J295" s="139">
        <f>SUM(J282,J278,J274,J267,J263,J259,J255,J251,J247,J243,J239,J235,J231,J214)+J227</f>
        <v>866847</v>
      </c>
      <c r="K295" s="139">
        <f aca="true" t="shared" si="9" ref="K295:Q295">SUM(K282,K278,K274,K267,K263,K259,K255,K251,K247,K243,K239,K235,K231,K214)+K227</f>
        <v>244490</v>
      </c>
      <c r="L295" s="139">
        <f t="shared" si="9"/>
        <v>257690</v>
      </c>
      <c r="M295" s="139">
        <f t="shared" si="9"/>
        <v>0</v>
      </c>
      <c r="N295" s="139">
        <f t="shared" si="9"/>
        <v>0</v>
      </c>
      <c r="O295" s="139">
        <f t="shared" si="9"/>
        <v>17550</v>
      </c>
      <c r="P295" s="139">
        <f t="shared" si="9"/>
        <v>0</v>
      </c>
      <c r="Q295" s="140">
        <f t="shared" si="9"/>
        <v>0</v>
      </c>
    </row>
    <row r="296" spans="1:17" ht="15">
      <c r="A296" s="115">
        <v>292</v>
      </c>
      <c r="B296" s="54"/>
      <c r="C296" s="209"/>
      <c r="D296" s="711" t="s">
        <v>581</v>
      </c>
      <c r="E296" s="210"/>
      <c r="F296" s="44"/>
      <c r="G296" s="44"/>
      <c r="H296" s="44"/>
      <c r="I296" s="168">
        <f>SUM(J296:Q296)</f>
        <v>1532221</v>
      </c>
      <c r="J296" s="52">
        <f>SUM(J283,J279,J275,J271,J268,J264,J260,J256,J252,J248,J244,J240,J236,J232,J224,J218,J215)+J228+J221+J286+J289+J292</f>
        <v>951734</v>
      </c>
      <c r="K296" s="52">
        <f aca="true" t="shared" si="10" ref="K296:Q296">SUM(K283,K279,K275,K271,K268,K264,K260,K256,K252,K248,K244,K240,K236,K232,K224,K218,K215)+K228+K221+K286+K289+K292</f>
        <v>268154</v>
      </c>
      <c r="L296" s="52">
        <f t="shared" si="10"/>
        <v>259067</v>
      </c>
      <c r="M296" s="52">
        <f t="shared" si="10"/>
        <v>0</v>
      </c>
      <c r="N296" s="52">
        <f t="shared" si="10"/>
        <v>0</v>
      </c>
      <c r="O296" s="52">
        <f t="shared" si="10"/>
        <v>53266</v>
      </c>
      <c r="P296" s="52">
        <f t="shared" si="10"/>
        <v>0</v>
      </c>
      <c r="Q296" s="60">
        <f t="shared" si="10"/>
        <v>0</v>
      </c>
    </row>
    <row r="297" spans="1:17" ht="15.75" thickBot="1">
      <c r="A297" s="115">
        <v>293</v>
      </c>
      <c r="B297" s="188"/>
      <c r="C297" s="211"/>
      <c r="D297" s="712" t="s">
        <v>579</v>
      </c>
      <c r="E297" s="212"/>
      <c r="F297" s="190"/>
      <c r="G297" s="190"/>
      <c r="H297" s="190"/>
      <c r="I297" s="196">
        <f>SUM(J297:Q297)</f>
        <v>1337035</v>
      </c>
      <c r="J297" s="191">
        <f>SUM(J284,J280,J276,J272,J269,J265,J261,J257,J253,J249,J245,J241,J237,J233,J225,J219,J216)+J229+J287+J290+J293</f>
        <v>867704</v>
      </c>
      <c r="K297" s="191">
        <f aca="true" t="shared" si="11" ref="K297:Q297">SUM(K284,K280,K276,K272,K269,K265,K261,K257,K253,K249,K245,K241,K237,K233,K225,K219,K216)+K229+K287+K290+K293</f>
        <v>246539</v>
      </c>
      <c r="L297" s="191">
        <f t="shared" si="11"/>
        <v>185269</v>
      </c>
      <c r="M297" s="191">
        <f t="shared" si="11"/>
        <v>0</v>
      </c>
      <c r="N297" s="191">
        <f t="shared" si="11"/>
        <v>0</v>
      </c>
      <c r="O297" s="191">
        <f t="shared" si="11"/>
        <v>37523</v>
      </c>
      <c r="P297" s="191">
        <f t="shared" si="11"/>
        <v>0</v>
      </c>
      <c r="Q297" s="395">
        <f t="shared" si="11"/>
        <v>0</v>
      </c>
    </row>
    <row r="298" spans="1:17" ht="15.75" thickTop="1">
      <c r="A298" s="115">
        <v>294</v>
      </c>
      <c r="B298" s="1514" t="s">
        <v>661</v>
      </c>
      <c r="C298" s="1515"/>
      <c r="D298" s="1515"/>
      <c r="E298" s="389"/>
      <c r="F298" s="390">
        <f>SUM(F208,F294)</f>
        <v>6047359</v>
      </c>
      <c r="G298" s="390">
        <f>SUM(G208,G294)</f>
        <v>6127521</v>
      </c>
      <c r="H298" s="390">
        <f>SUM(H208,H294)</f>
        <v>6668003</v>
      </c>
      <c r="I298" s="391"/>
      <c r="J298" s="392"/>
      <c r="K298" s="392"/>
      <c r="L298" s="392"/>
      <c r="M298" s="392"/>
      <c r="N298" s="392"/>
      <c r="O298" s="392"/>
      <c r="P298" s="392"/>
      <c r="Q298" s="393"/>
    </row>
    <row r="299" spans="1:17" ht="15">
      <c r="A299" s="115">
        <v>295</v>
      </c>
      <c r="B299" s="124"/>
      <c r="C299" s="125"/>
      <c r="D299" s="710" t="s">
        <v>580</v>
      </c>
      <c r="E299" s="125"/>
      <c r="F299" s="169"/>
      <c r="G299" s="169"/>
      <c r="H299" s="169"/>
      <c r="I299" s="173">
        <f>SUM(J299:Q299)</f>
        <v>6418114</v>
      </c>
      <c r="J299" s="139">
        <f aca="true" t="shared" si="12" ref="J299:Q299">SUM(J209,J295)</f>
        <v>3170591</v>
      </c>
      <c r="K299" s="139">
        <f t="shared" si="12"/>
        <v>864345</v>
      </c>
      <c r="L299" s="139">
        <f t="shared" si="12"/>
        <v>2289142</v>
      </c>
      <c r="M299" s="139">
        <f t="shared" si="12"/>
        <v>0</v>
      </c>
      <c r="N299" s="139">
        <f t="shared" si="12"/>
        <v>23755</v>
      </c>
      <c r="O299" s="139">
        <f t="shared" si="12"/>
        <v>64149</v>
      </c>
      <c r="P299" s="139">
        <f t="shared" si="12"/>
        <v>6132</v>
      </c>
      <c r="Q299" s="140">
        <f t="shared" si="12"/>
        <v>0</v>
      </c>
    </row>
    <row r="300" spans="1:17" ht="15">
      <c r="A300" s="115">
        <v>296</v>
      </c>
      <c r="B300" s="54"/>
      <c r="C300" s="59"/>
      <c r="D300" s="711" t="s">
        <v>581</v>
      </c>
      <c r="E300" s="59"/>
      <c r="F300" s="44"/>
      <c r="G300" s="44"/>
      <c r="H300" s="44"/>
      <c r="I300" s="168">
        <f>SUM(J300:Q300)</f>
        <v>7195990</v>
      </c>
      <c r="J300" s="52">
        <f aca="true" t="shared" si="13" ref="J300:Q301">SUM(J296,J210)</f>
        <v>3410917</v>
      </c>
      <c r="K300" s="52">
        <f t="shared" si="13"/>
        <v>961320</v>
      </c>
      <c r="L300" s="52">
        <f t="shared" si="13"/>
        <v>2506007</v>
      </c>
      <c r="M300" s="52">
        <f t="shared" si="13"/>
        <v>0</v>
      </c>
      <c r="N300" s="52">
        <f t="shared" si="13"/>
        <v>8464</v>
      </c>
      <c r="O300" s="52">
        <f t="shared" si="13"/>
        <v>250988</v>
      </c>
      <c r="P300" s="52">
        <f t="shared" si="13"/>
        <v>58294</v>
      </c>
      <c r="Q300" s="60">
        <f t="shared" si="13"/>
        <v>0</v>
      </c>
    </row>
    <row r="301" spans="1:17" ht="15.75" thickBot="1">
      <c r="A301" s="115">
        <v>297</v>
      </c>
      <c r="B301" s="213"/>
      <c r="C301" s="214"/>
      <c r="D301" s="718" t="s">
        <v>579</v>
      </c>
      <c r="E301" s="214"/>
      <c r="F301" s="45"/>
      <c r="G301" s="45"/>
      <c r="H301" s="45"/>
      <c r="I301" s="394">
        <f>SUM(J301:Q301)</f>
        <v>6597582</v>
      </c>
      <c r="J301" s="7">
        <f t="shared" si="13"/>
        <v>3219993</v>
      </c>
      <c r="K301" s="7">
        <f t="shared" si="13"/>
        <v>910525</v>
      </c>
      <c r="L301" s="7">
        <f t="shared" si="13"/>
        <v>2198259</v>
      </c>
      <c r="M301" s="7">
        <f t="shared" si="13"/>
        <v>0</v>
      </c>
      <c r="N301" s="7">
        <f t="shared" si="13"/>
        <v>6558</v>
      </c>
      <c r="O301" s="7">
        <f t="shared" si="13"/>
        <v>205508</v>
      </c>
      <c r="P301" s="7">
        <f t="shared" si="13"/>
        <v>56739</v>
      </c>
      <c r="Q301" s="40">
        <f t="shared" si="13"/>
        <v>0</v>
      </c>
    </row>
    <row r="302" spans="1:17" s="215" customFormat="1" ht="14.25">
      <c r="A302" s="115">
        <v>298</v>
      </c>
      <c r="B302" s="1516" t="s">
        <v>750</v>
      </c>
      <c r="C302" s="1517"/>
      <c r="D302" s="1517"/>
      <c r="E302" s="354"/>
      <c r="F302" s="56"/>
      <c r="G302" s="56"/>
      <c r="H302" s="56"/>
      <c r="I302" s="356"/>
      <c r="J302" s="355"/>
      <c r="K302" s="355"/>
      <c r="L302" s="355"/>
      <c r="M302" s="355"/>
      <c r="N302" s="355"/>
      <c r="O302" s="355"/>
      <c r="P302" s="355"/>
      <c r="Q302" s="357"/>
    </row>
    <row r="303" spans="1:17" s="215" customFormat="1" ht="14.25">
      <c r="A303" s="115">
        <v>299</v>
      </c>
      <c r="B303" s="1493" t="s">
        <v>769</v>
      </c>
      <c r="C303" s="1494"/>
      <c r="D303" s="1494"/>
      <c r="E303" s="1494"/>
      <c r="F303" s="44">
        <f>SUM(F113:F175,F109,F86,F204)</f>
        <v>3922107</v>
      </c>
      <c r="G303" s="44">
        <f>SUM(G113:G175,G109,G86,G204)</f>
        <v>4017962</v>
      </c>
      <c r="H303" s="44">
        <f>SUM(H113:H175,H109,H86,H204)</f>
        <v>4440653</v>
      </c>
      <c r="I303" s="356"/>
      <c r="J303" s="355"/>
      <c r="K303" s="355"/>
      <c r="L303" s="355"/>
      <c r="M303" s="355"/>
      <c r="N303" s="355"/>
      <c r="O303" s="355"/>
      <c r="P303" s="355"/>
      <c r="Q303" s="357"/>
    </row>
    <row r="304" spans="1:17" s="215" customFormat="1" ht="14.25">
      <c r="A304" s="115">
        <v>300</v>
      </c>
      <c r="B304" s="359"/>
      <c r="C304" s="360"/>
      <c r="D304" s="719" t="s">
        <v>580</v>
      </c>
      <c r="E304" s="720"/>
      <c r="F304" s="169"/>
      <c r="G304" s="169"/>
      <c r="H304" s="169"/>
      <c r="I304" s="361">
        <f aca="true" t="shared" si="14" ref="I304:Q304">SUM(I205+I176+I172+I168+I164+I160+I156+I152+I148+I144+I140+I132+I128+I118+I114+I110+I87)</f>
        <v>4216828</v>
      </c>
      <c r="J304" s="362">
        <f t="shared" si="14"/>
        <v>1971804</v>
      </c>
      <c r="K304" s="362">
        <f t="shared" si="14"/>
        <v>536533</v>
      </c>
      <c r="L304" s="362">
        <f t="shared" si="14"/>
        <v>1640367</v>
      </c>
      <c r="M304" s="362">
        <f t="shared" si="14"/>
        <v>0</v>
      </c>
      <c r="N304" s="362">
        <f t="shared" si="14"/>
        <v>21775</v>
      </c>
      <c r="O304" s="362">
        <f t="shared" si="14"/>
        <v>46349</v>
      </c>
      <c r="P304" s="362">
        <f t="shared" si="14"/>
        <v>0</v>
      </c>
      <c r="Q304" s="363">
        <f t="shared" si="14"/>
        <v>0</v>
      </c>
    </row>
    <row r="305" spans="1:17" s="215" customFormat="1" ht="14.25">
      <c r="A305" s="115">
        <v>301</v>
      </c>
      <c r="B305" s="364"/>
      <c r="C305" s="116"/>
      <c r="D305" s="721" t="s">
        <v>581</v>
      </c>
      <c r="E305" s="722"/>
      <c r="F305" s="44"/>
      <c r="G305" s="44"/>
      <c r="H305" s="44"/>
      <c r="I305" s="365">
        <f>SUM(J305:Q305)</f>
        <v>4825242</v>
      </c>
      <c r="J305" s="226">
        <f aca="true" t="shared" si="15" ref="J305:Q305">SUM(J88+J111+J115+J119+J129+J133+J141+J145+J149+J153+J157+J161+J165+J169+J173+J177+J206)+J122+J137+J125</f>
        <v>2167024</v>
      </c>
      <c r="K305" s="226">
        <f t="shared" si="15"/>
        <v>611373</v>
      </c>
      <c r="L305" s="226">
        <f t="shared" si="15"/>
        <v>1819424</v>
      </c>
      <c r="M305" s="226">
        <f t="shared" si="15"/>
        <v>0</v>
      </c>
      <c r="N305" s="226">
        <f t="shared" si="15"/>
        <v>7679</v>
      </c>
      <c r="O305" s="226">
        <f t="shared" si="15"/>
        <v>167003</v>
      </c>
      <c r="P305" s="226">
        <f t="shared" si="15"/>
        <v>52739</v>
      </c>
      <c r="Q305" s="366">
        <f t="shared" si="15"/>
        <v>0</v>
      </c>
    </row>
    <row r="306" spans="1:17" s="215" customFormat="1" ht="14.25">
      <c r="A306" s="115">
        <v>302</v>
      </c>
      <c r="B306" s="367"/>
      <c r="C306" s="354"/>
      <c r="D306" s="723" t="s">
        <v>579</v>
      </c>
      <c r="E306" s="724"/>
      <c r="F306" s="56"/>
      <c r="G306" s="56"/>
      <c r="H306" s="56"/>
      <c r="I306" s="368">
        <f>SUM(J306:Q306)</f>
        <v>4470534</v>
      </c>
      <c r="J306" s="226">
        <f aca="true" t="shared" si="16" ref="J306:Q306">SUM(J89+J112+J116+J120+J130+J134+J142+J146+J150+J154+J158+J162+J166+J170+J174+J178+J207)+J138+J126</f>
        <v>2064275</v>
      </c>
      <c r="K306" s="226">
        <f t="shared" si="16"/>
        <v>587372</v>
      </c>
      <c r="L306" s="226">
        <f t="shared" si="16"/>
        <v>1624349</v>
      </c>
      <c r="M306" s="226">
        <f t="shared" si="16"/>
        <v>0</v>
      </c>
      <c r="N306" s="226">
        <f t="shared" si="16"/>
        <v>5773</v>
      </c>
      <c r="O306" s="226">
        <f t="shared" si="16"/>
        <v>137554</v>
      </c>
      <c r="P306" s="226">
        <f t="shared" si="16"/>
        <v>51211</v>
      </c>
      <c r="Q306" s="366">
        <f t="shared" si="16"/>
        <v>0</v>
      </c>
    </row>
    <row r="307" spans="1:17" s="215" customFormat="1" ht="14.25">
      <c r="A307" s="115">
        <v>303</v>
      </c>
      <c r="B307" s="1493" t="s">
        <v>750</v>
      </c>
      <c r="C307" s="1494"/>
      <c r="D307" s="1494"/>
      <c r="E307" s="369"/>
      <c r="F307" s="44"/>
      <c r="G307" s="44"/>
      <c r="H307" s="44"/>
      <c r="I307" s="356"/>
      <c r="J307" s="358"/>
      <c r="K307" s="358"/>
      <c r="L307" s="358"/>
      <c r="M307" s="358"/>
      <c r="N307" s="358"/>
      <c r="O307" s="358"/>
      <c r="P307" s="358"/>
      <c r="Q307" s="370"/>
    </row>
    <row r="308" spans="1:17" s="215" customFormat="1" ht="14.25">
      <c r="A308" s="115">
        <v>304</v>
      </c>
      <c r="B308" s="1493" t="s">
        <v>751</v>
      </c>
      <c r="C308" s="1494"/>
      <c r="D308" s="1494"/>
      <c r="E308" s="1494"/>
      <c r="F308" s="44">
        <f>SUM(F179:F193)+F197</f>
        <v>862906</v>
      </c>
      <c r="G308" s="44">
        <f>SUM(G179:G193)+G197</f>
        <v>780989</v>
      </c>
      <c r="H308" s="44">
        <f>SUM(H179:H193)+H197</f>
        <v>892166</v>
      </c>
      <c r="I308" s="356"/>
      <c r="J308" s="358"/>
      <c r="K308" s="358"/>
      <c r="L308" s="358"/>
      <c r="M308" s="358"/>
      <c r="N308" s="358"/>
      <c r="O308" s="358"/>
      <c r="P308" s="358"/>
      <c r="Q308" s="370"/>
    </row>
    <row r="309" spans="1:17" s="215" customFormat="1" ht="14.25">
      <c r="A309" s="115">
        <v>305</v>
      </c>
      <c r="B309" s="359"/>
      <c r="C309" s="360"/>
      <c r="D309" s="719" t="s">
        <v>580</v>
      </c>
      <c r="E309" s="720"/>
      <c r="F309" s="169"/>
      <c r="G309" s="169"/>
      <c r="H309" s="169"/>
      <c r="I309" s="361">
        <f>SUM(J309:Q309)</f>
        <v>814709</v>
      </c>
      <c r="J309" s="362">
        <f aca="true" t="shared" si="17" ref="J309:Q309">SUM(J180,J190,J194)</f>
        <v>331940</v>
      </c>
      <c r="K309" s="362">
        <f t="shared" si="17"/>
        <v>83322</v>
      </c>
      <c r="L309" s="362">
        <f t="shared" si="17"/>
        <v>391085</v>
      </c>
      <c r="M309" s="362">
        <f t="shared" si="17"/>
        <v>0</v>
      </c>
      <c r="N309" s="362">
        <f t="shared" si="17"/>
        <v>1980</v>
      </c>
      <c r="O309" s="362">
        <f t="shared" si="17"/>
        <v>250</v>
      </c>
      <c r="P309" s="362">
        <f t="shared" si="17"/>
        <v>6132</v>
      </c>
      <c r="Q309" s="363">
        <f t="shared" si="17"/>
        <v>0</v>
      </c>
    </row>
    <row r="310" spans="1:17" s="215" customFormat="1" ht="14.25">
      <c r="A310" s="115">
        <v>306</v>
      </c>
      <c r="B310" s="364"/>
      <c r="C310" s="116"/>
      <c r="D310" s="721" t="s">
        <v>581</v>
      </c>
      <c r="E310" s="722"/>
      <c r="F310" s="44"/>
      <c r="G310" s="44"/>
      <c r="H310" s="44"/>
      <c r="I310" s="365">
        <f>SUM(J310:Q310)</f>
        <v>838527</v>
      </c>
      <c r="J310" s="226">
        <f aca="true" t="shared" si="18" ref="J310:Q310">SUM(J181+J191+J195+J198)+J184</f>
        <v>292159</v>
      </c>
      <c r="K310" s="226">
        <f t="shared" si="18"/>
        <v>81793</v>
      </c>
      <c r="L310" s="226">
        <f t="shared" si="18"/>
        <v>427516</v>
      </c>
      <c r="M310" s="226">
        <f t="shared" si="18"/>
        <v>0</v>
      </c>
      <c r="N310" s="226">
        <f t="shared" si="18"/>
        <v>785</v>
      </c>
      <c r="O310" s="226">
        <f t="shared" si="18"/>
        <v>30719</v>
      </c>
      <c r="P310" s="226">
        <f t="shared" si="18"/>
        <v>5555</v>
      </c>
      <c r="Q310" s="366">
        <f t="shared" si="18"/>
        <v>0</v>
      </c>
    </row>
    <row r="311" spans="1:17" s="215" customFormat="1" ht="14.25">
      <c r="A311" s="115">
        <v>307</v>
      </c>
      <c r="B311" s="367"/>
      <c r="C311" s="354"/>
      <c r="D311" s="723" t="s">
        <v>579</v>
      </c>
      <c r="E311" s="724"/>
      <c r="F311" s="56"/>
      <c r="G311" s="56"/>
      <c r="H311" s="56"/>
      <c r="I311" s="368">
        <f>SUM(J311:Q311)</f>
        <v>790013</v>
      </c>
      <c r="J311" s="226">
        <f aca="true" t="shared" si="19" ref="J311:Q311">SUM(J182+J192+J196+J199)</f>
        <v>288014</v>
      </c>
      <c r="K311" s="226">
        <f t="shared" si="19"/>
        <v>76614</v>
      </c>
      <c r="L311" s="226">
        <f t="shared" si="19"/>
        <v>388641</v>
      </c>
      <c r="M311" s="226">
        <f t="shared" si="19"/>
        <v>0</v>
      </c>
      <c r="N311" s="226">
        <f t="shared" si="19"/>
        <v>785</v>
      </c>
      <c r="O311" s="226">
        <f t="shared" si="19"/>
        <v>30431</v>
      </c>
      <c r="P311" s="226">
        <f t="shared" si="19"/>
        <v>5528</v>
      </c>
      <c r="Q311" s="366">
        <f t="shared" si="19"/>
        <v>0</v>
      </c>
    </row>
    <row r="312" spans="1:17" s="215" customFormat="1" ht="14.25">
      <c r="A312" s="115">
        <v>308</v>
      </c>
      <c r="B312" s="1493" t="s">
        <v>750</v>
      </c>
      <c r="C312" s="1494"/>
      <c r="D312" s="1494"/>
      <c r="E312" s="369"/>
      <c r="F312" s="44"/>
      <c r="G312" s="44"/>
      <c r="H312" s="44"/>
      <c r="I312" s="356"/>
      <c r="J312" s="355"/>
      <c r="K312" s="355"/>
      <c r="L312" s="355"/>
      <c r="M312" s="355"/>
      <c r="N312" s="355"/>
      <c r="O312" s="355"/>
      <c r="P312" s="355"/>
      <c r="Q312" s="357"/>
    </row>
    <row r="313" spans="1:17" s="215" customFormat="1" ht="14.25">
      <c r="A313" s="115">
        <v>309</v>
      </c>
      <c r="B313" s="1500" t="s">
        <v>752</v>
      </c>
      <c r="C313" s="1501"/>
      <c r="D313" s="1501"/>
      <c r="E313" s="1501"/>
      <c r="F313" s="388">
        <f>SUM(F294)</f>
        <v>1262346</v>
      </c>
      <c r="G313" s="388">
        <f>SUM(G294)</f>
        <v>1328570</v>
      </c>
      <c r="H313" s="388">
        <f>SUM(H294)</f>
        <v>1335184</v>
      </c>
      <c r="I313" s="356"/>
      <c r="J313" s="358"/>
      <c r="K313" s="358"/>
      <c r="L313" s="358"/>
      <c r="M313" s="358"/>
      <c r="N313" s="358"/>
      <c r="O313" s="358"/>
      <c r="P313" s="358"/>
      <c r="Q313" s="370"/>
    </row>
    <row r="314" spans="1:17" s="215" customFormat="1" ht="14.25">
      <c r="A314" s="115">
        <v>310</v>
      </c>
      <c r="B314" s="359"/>
      <c r="C314" s="360"/>
      <c r="D314" s="719" t="s">
        <v>580</v>
      </c>
      <c r="E314" s="720"/>
      <c r="F314" s="169"/>
      <c r="G314" s="169"/>
      <c r="H314" s="169"/>
      <c r="I314" s="361">
        <f aca="true" t="shared" si="20" ref="I314:Q314">SUM(I295)</f>
        <v>1386577</v>
      </c>
      <c r="J314" s="362">
        <f t="shared" si="20"/>
        <v>866847</v>
      </c>
      <c r="K314" s="362">
        <f t="shared" si="20"/>
        <v>244490</v>
      </c>
      <c r="L314" s="362">
        <f t="shared" si="20"/>
        <v>257690</v>
      </c>
      <c r="M314" s="371">
        <f t="shared" si="20"/>
        <v>0</v>
      </c>
      <c r="N314" s="362">
        <f t="shared" si="20"/>
        <v>0</v>
      </c>
      <c r="O314" s="362">
        <f t="shared" si="20"/>
        <v>17550</v>
      </c>
      <c r="P314" s="362">
        <f t="shared" si="20"/>
        <v>0</v>
      </c>
      <c r="Q314" s="372">
        <f t="shared" si="20"/>
        <v>0</v>
      </c>
    </row>
    <row r="315" spans="1:17" s="215" customFormat="1" ht="14.25">
      <c r="A315" s="115">
        <v>311</v>
      </c>
      <c r="B315" s="364"/>
      <c r="C315" s="116"/>
      <c r="D315" s="721" t="s">
        <v>581</v>
      </c>
      <c r="E315" s="722"/>
      <c r="F315" s="44"/>
      <c r="G315" s="44"/>
      <c r="H315" s="44"/>
      <c r="I315" s="365">
        <f>SUM(J315:Q315)</f>
        <v>1532221</v>
      </c>
      <c r="J315" s="226">
        <f aca="true" t="shared" si="21" ref="J315:Q316">SUM(J296)</f>
        <v>951734</v>
      </c>
      <c r="K315" s="226">
        <f t="shared" si="21"/>
        <v>268154</v>
      </c>
      <c r="L315" s="226">
        <f t="shared" si="21"/>
        <v>259067</v>
      </c>
      <c r="M315" s="226">
        <f t="shared" si="21"/>
        <v>0</v>
      </c>
      <c r="N315" s="226">
        <f t="shared" si="21"/>
        <v>0</v>
      </c>
      <c r="O315" s="226">
        <f t="shared" si="21"/>
        <v>53266</v>
      </c>
      <c r="P315" s="226">
        <f t="shared" si="21"/>
        <v>0</v>
      </c>
      <c r="Q315" s="366">
        <f t="shared" si="21"/>
        <v>0</v>
      </c>
    </row>
    <row r="316" spans="1:17" s="215" customFormat="1" ht="15" thickBot="1">
      <c r="A316" s="115">
        <v>312</v>
      </c>
      <c r="B316" s="373"/>
      <c r="C316" s="374"/>
      <c r="D316" s="725" t="s">
        <v>579</v>
      </c>
      <c r="E316" s="726"/>
      <c r="F316" s="45"/>
      <c r="G316" s="45"/>
      <c r="H316" s="45"/>
      <c r="I316" s="375">
        <f>SUM(J316:Q316)</f>
        <v>1337035</v>
      </c>
      <c r="J316" s="376">
        <f t="shared" si="21"/>
        <v>867704</v>
      </c>
      <c r="K316" s="376">
        <f t="shared" si="21"/>
        <v>246539</v>
      </c>
      <c r="L316" s="376">
        <f t="shared" si="21"/>
        <v>185269</v>
      </c>
      <c r="M316" s="376">
        <f t="shared" si="21"/>
        <v>0</v>
      </c>
      <c r="N316" s="376">
        <f t="shared" si="21"/>
        <v>0</v>
      </c>
      <c r="O316" s="376">
        <f t="shared" si="21"/>
        <v>37523</v>
      </c>
      <c r="P316" s="376">
        <f t="shared" si="21"/>
        <v>0</v>
      </c>
      <c r="Q316" s="396">
        <f t="shared" si="21"/>
        <v>0</v>
      </c>
    </row>
    <row r="317" spans="1:17" ht="15">
      <c r="A317" s="117"/>
      <c r="B317" s="1512" t="s">
        <v>783</v>
      </c>
      <c r="C317" s="1512"/>
      <c r="D317" s="1512"/>
      <c r="E317" s="117"/>
      <c r="I317" s="215"/>
      <c r="J317" s="215"/>
      <c r="K317" s="215"/>
      <c r="L317" s="215"/>
      <c r="M317" s="215"/>
      <c r="N317" s="215"/>
      <c r="O317" s="215"/>
      <c r="P317" s="215"/>
      <c r="Q317" s="215"/>
    </row>
    <row r="318" spans="1:17" ht="15">
      <c r="A318" s="117"/>
      <c r="B318" s="1513" t="s">
        <v>368</v>
      </c>
      <c r="C318" s="1513"/>
      <c r="D318" s="1513"/>
      <c r="E318" s="1513"/>
      <c r="F318" s="1513"/>
      <c r="G318" s="1513"/>
      <c r="H318" s="1513"/>
      <c r="I318" s="1513"/>
      <c r="J318" s="215"/>
      <c r="K318" s="215"/>
      <c r="L318" s="215"/>
      <c r="M318" s="215"/>
      <c r="N318" s="215"/>
      <c r="O318" s="215"/>
      <c r="P318" s="215"/>
      <c r="Q318" s="215"/>
    </row>
    <row r="319" spans="1:17" ht="15">
      <c r="A319" s="117"/>
      <c r="B319" s="1513" t="s">
        <v>369</v>
      </c>
      <c r="C319" s="1513"/>
      <c r="D319" s="1513"/>
      <c r="E319" s="117"/>
      <c r="I319" s="215"/>
      <c r="J319" s="215"/>
      <c r="K319" s="215"/>
      <c r="L319" s="215"/>
      <c r="M319" s="215"/>
      <c r="N319" s="215"/>
      <c r="O319" s="215"/>
      <c r="P319" s="215"/>
      <c r="Q319" s="215"/>
    </row>
    <row r="320" spans="6:8" ht="15">
      <c r="F320" s="96">
        <f>SUM(F298-F303-F308-F313)</f>
        <v>0</v>
      </c>
      <c r="G320" s="96">
        <f>SUM(G298-G303-G308-G313)</f>
        <v>0</v>
      </c>
      <c r="H320" s="96">
        <f>SUM(H298-H303-H308-H313)</f>
        <v>0</v>
      </c>
    </row>
    <row r="321" spans="9:17" ht="15">
      <c r="I321" s="801">
        <f>SUM(I299-I304-I309-I314)</f>
        <v>0</v>
      </c>
      <c r="J321" s="801">
        <f aca="true" t="shared" si="22" ref="J321:Q323">SUM(J299-J304-J309-J314)</f>
        <v>0</v>
      </c>
      <c r="K321" s="801">
        <f t="shared" si="22"/>
        <v>0</v>
      </c>
      <c r="L321" s="801">
        <f t="shared" si="22"/>
        <v>0</v>
      </c>
      <c r="M321" s="801">
        <f t="shared" si="22"/>
        <v>0</v>
      </c>
      <c r="N321" s="801">
        <f t="shared" si="22"/>
        <v>0</v>
      </c>
      <c r="O321" s="801">
        <f t="shared" si="22"/>
        <v>0</v>
      </c>
      <c r="P321" s="801">
        <f t="shared" si="22"/>
        <v>0</v>
      </c>
      <c r="Q321" s="801">
        <f t="shared" si="22"/>
        <v>0</v>
      </c>
    </row>
    <row r="322" spans="9:17" ht="15">
      <c r="I322" s="113">
        <f>SUM(I300-I305-I310-I315)</f>
        <v>0</v>
      </c>
      <c r="J322" s="113">
        <f t="shared" si="22"/>
        <v>0</v>
      </c>
      <c r="K322" s="113">
        <f t="shared" si="22"/>
        <v>0</v>
      </c>
      <c r="L322" s="113">
        <f t="shared" si="22"/>
        <v>0</v>
      </c>
      <c r="M322" s="113">
        <f t="shared" si="22"/>
        <v>0</v>
      </c>
      <c r="N322" s="113">
        <f t="shared" si="22"/>
        <v>0</v>
      </c>
      <c r="O322" s="113">
        <f t="shared" si="22"/>
        <v>0</v>
      </c>
      <c r="P322" s="113">
        <f t="shared" si="22"/>
        <v>0</v>
      </c>
      <c r="Q322" s="113">
        <f t="shared" si="22"/>
        <v>0</v>
      </c>
    </row>
    <row r="323" spans="9:17" ht="15">
      <c r="I323" s="799">
        <f>SUM(I301-I306-I311-I316)</f>
        <v>0</v>
      </c>
      <c r="J323" s="799">
        <f t="shared" si="22"/>
        <v>0</v>
      </c>
      <c r="K323" s="799">
        <f t="shared" si="22"/>
        <v>0</v>
      </c>
      <c r="L323" s="799">
        <f t="shared" si="22"/>
        <v>0</v>
      </c>
      <c r="M323" s="799">
        <f t="shared" si="22"/>
        <v>0</v>
      </c>
      <c r="N323" s="799">
        <f t="shared" si="22"/>
        <v>0</v>
      </c>
      <c r="O323" s="799">
        <f t="shared" si="22"/>
        <v>0</v>
      </c>
      <c r="P323" s="799">
        <f t="shared" si="22"/>
        <v>0</v>
      </c>
      <c r="Q323" s="799">
        <f t="shared" si="22"/>
        <v>0</v>
      </c>
    </row>
  </sheetData>
  <sheetProtection/>
  <mergeCells count="28">
    <mergeCell ref="B317:D317"/>
    <mergeCell ref="B318:I318"/>
    <mergeCell ref="B319:D319"/>
    <mergeCell ref="B308:E308"/>
    <mergeCell ref="B312:D312"/>
    <mergeCell ref="B6:B7"/>
    <mergeCell ref="B298:D298"/>
    <mergeCell ref="B302:D302"/>
    <mergeCell ref="B303:E303"/>
    <mergeCell ref="G6:G7"/>
    <mergeCell ref="B313:E313"/>
    <mergeCell ref="C6:C7"/>
    <mergeCell ref="D6:D7"/>
    <mergeCell ref="E6:E7"/>
    <mergeCell ref="F6:F7"/>
    <mergeCell ref="H6:H7"/>
    <mergeCell ref="D288:F288"/>
    <mergeCell ref="D250:G250"/>
    <mergeCell ref="I6:I7"/>
    <mergeCell ref="B1:F1"/>
    <mergeCell ref="B2:Q2"/>
    <mergeCell ref="B3:Q3"/>
    <mergeCell ref="P4:Q4"/>
    <mergeCell ref="B307:D307"/>
    <mergeCell ref="J6:N6"/>
    <mergeCell ref="O6:Q6"/>
    <mergeCell ref="C212:D212"/>
    <mergeCell ref="C294:D294"/>
  </mergeCells>
  <printOptions horizontalCentered="1"/>
  <pageMargins left="0.1968503937007874" right="0.1968503937007874" top="0.5905511811023623" bottom="0.5905511811023623" header="0.5118110236220472" footer="0.5118110236220472"/>
  <pageSetup fitToHeight="4"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O901"/>
  <sheetViews>
    <sheetView view="pageBreakPreview" zoomScale="85" zoomScaleNormal="75" zoomScaleSheetLayoutView="85" zoomScalePageLayoutView="0" workbookViewId="0" topLeftCell="A1">
      <selection activeCell="B1" sqref="B1:D1"/>
    </sheetView>
  </sheetViews>
  <sheetFormatPr defaultColWidth="9.00390625" defaultRowHeight="12.75"/>
  <cols>
    <col min="1" max="1" width="4.00390625" style="347" bestFit="1" customWidth="1"/>
    <col min="2" max="2" width="4.75390625" style="249" bestFit="1" customWidth="1"/>
    <col min="3" max="3" width="5.00390625" style="348" bestFit="1" customWidth="1"/>
    <col min="4" max="4" width="57.25390625" style="349" customWidth="1"/>
    <col min="5" max="5" width="5.375" style="243" customWidth="1"/>
    <col min="6" max="6" width="11.75390625" style="247" customWidth="1"/>
    <col min="7" max="7" width="11.75390625" style="306" customWidth="1"/>
    <col min="8" max="8" width="11.75390625" style="247" customWidth="1"/>
    <col min="9" max="14" width="12.75390625" style="350" customWidth="1"/>
    <col min="15" max="16384" width="9.125" style="247" customWidth="1"/>
  </cols>
  <sheetData>
    <row r="1" spans="1:14" ht="17.25">
      <c r="A1" s="242"/>
      <c r="B1" s="1467" t="s">
        <v>1637</v>
      </c>
      <c r="C1" s="1467"/>
      <c r="D1" s="1467"/>
      <c r="F1" s="244"/>
      <c r="G1" s="245"/>
      <c r="H1" s="1521"/>
      <c r="I1" s="1521"/>
      <c r="J1" s="246"/>
      <c r="K1" s="246"/>
      <c r="L1" s="246"/>
      <c r="M1" s="246"/>
      <c r="N1" s="246"/>
    </row>
    <row r="2" spans="1:14" s="248" customFormat="1" ht="17.25">
      <c r="A2" s="242"/>
      <c r="B2" s="1522" t="s">
        <v>1195</v>
      </c>
      <c r="C2" s="1522"/>
      <c r="D2" s="1522"/>
      <c r="E2" s="1522"/>
      <c r="F2" s="1522"/>
      <c r="G2" s="1522"/>
      <c r="H2" s="1522"/>
      <c r="I2" s="1522"/>
      <c r="J2" s="1522"/>
      <c r="K2" s="1522"/>
      <c r="L2" s="1522"/>
      <c r="M2" s="1522"/>
      <c r="N2" s="1522"/>
    </row>
    <row r="3" spans="1:14" ht="17.25">
      <c r="A3" s="242"/>
      <c r="C3" s="249"/>
      <c r="D3" s="1207"/>
      <c r="E3" s="250"/>
      <c r="F3" s="244"/>
      <c r="G3" s="245"/>
      <c r="H3" s="244"/>
      <c r="I3" s="244"/>
      <c r="J3" s="246"/>
      <c r="K3" s="246"/>
      <c r="L3" s="246"/>
      <c r="M3" s="1521" t="s">
        <v>496</v>
      </c>
      <c r="N3" s="1521"/>
    </row>
    <row r="4" spans="1:14" s="253" customFormat="1" ht="17.25" thickBot="1">
      <c r="A4" s="242"/>
      <c r="B4" s="249" t="s">
        <v>504</v>
      </c>
      <c r="C4" s="251" t="s">
        <v>505</v>
      </c>
      <c r="D4" s="252" t="s">
        <v>506</v>
      </c>
      <c r="E4" s="252" t="s">
        <v>507</v>
      </c>
      <c r="F4" s="243" t="s">
        <v>508</v>
      </c>
      <c r="G4" s="243" t="s">
        <v>509</v>
      </c>
      <c r="H4" s="243" t="s">
        <v>510</v>
      </c>
      <c r="I4" s="252" t="s">
        <v>394</v>
      </c>
      <c r="J4" s="252" t="s">
        <v>395</v>
      </c>
      <c r="K4" s="252" t="s">
        <v>814</v>
      </c>
      <c r="L4" s="252" t="s">
        <v>815</v>
      </c>
      <c r="M4" s="252" t="s">
        <v>816</v>
      </c>
      <c r="N4" s="252" t="s">
        <v>817</v>
      </c>
    </row>
    <row r="5" spans="1:14" s="255" customFormat="1" ht="15" customHeight="1">
      <c r="A5" s="254"/>
      <c r="B5" s="1523" t="s">
        <v>770</v>
      </c>
      <c r="C5" s="1525" t="s">
        <v>638</v>
      </c>
      <c r="D5" s="1527" t="s">
        <v>497</v>
      </c>
      <c r="E5" s="1533" t="s">
        <v>782</v>
      </c>
      <c r="F5" s="1535" t="s">
        <v>582</v>
      </c>
      <c r="G5" s="1535" t="s">
        <v>855</v>
      </c>
      <c r="H5" s="1529" t="s">
        <v>856</v>
      </c>
      <c r="I5" s="1531" t="s">
        <v>854</v>
      </c>
      <c r="J5" s="1518" t="s">
        <v>373</v>
      </c>
      <c r="K5" s="1518"/>
      <c r="L5" s="1518"/>
      <c r="M5" s="1518"/>
      <c r="N5" s="1519"/>
    </row>
    <row r="6" spans="1:14" s="255" customFormat="1" ht="45.75" thickBot="1">
      <c r="A6" s="254"/>
      <c r="B6" s="1524"/>
      <c r="C6" s="1526"/>
      <c r="D6" s="1528"/>
      <c r="E6" s="1534"/>
      <c r="F6" s="1536"/>
      <c r="G6" s="1536"/>
      <c r="H6" s="1530"/>
      <c r="I6" s="1532"/>
      <c r="J6" s="585" t="s">
        <v>826</v>
      </c>
      <c r="K6" s="585" t="s">
        <v>822</v>
      </c>
      <c r="L6" s="585" t="s">
        <v>828</v>
      </c>
      <c r="M6" s="585" t="s">
        <v>372</v>
      </c>
      <c r="N6" s="586" t="s">
        <v>829</v>
      </c>
    </row>
    <row r="7" spans="1:14" s="243" customFormat="1" ht="25.5" customHeight="1">
      <c r="A7" s="242">
        <v>1</v>
      </c>
      <c r="B7" s="587">
        <v>18</v>
      </c>
      <c r="C7" s="588">
        <v>1</v>
      </c>
      <c r="D7" s="589" t="s">
        <v>432</v>
      </c>
      <c r="E7" s="590" t="s">
        <v>815</v>
      </c>
      <c r="F7" s="591">
        <v>635</v>
      </c>
      <c r="G7" s="591">
        <v>5000</v>
      </c>
      <c r="H7" s="592">
        <v>3097</v>
      </c>
      <c r="I7" s="593"/>
      <c r="J7" s="590"/>
      <c r="K7" s="590"/>
      <c r="L7" s="590"/>
      <c r="M7" s="590"/>
      <c r="N7" s="594"/>
    </row>
    <row r="8" spans="1:14" s="253" customFormat="1" ht="16.5">
      <c r="A8" s="242">
        <v>2</v>
      </c>
      <c r="B8" s="256"/>
      <c r="C8" s="257"/>
      <c r="D8" s="260" t="s">
        <v>580</v>
      </c>
      <c r="E8" s="261"/>
      <c r="F8" s="262"/>
      <c r="G8" s="262"/>
      <c r="H8" s="263"/>
      <c r="I8" s="264">
        <f>SUM(J8:N8)</f>
        <v>5000</v>
      </c>
      <c r="J8" s="216"/>
      <c r="K8" s="216"/>
      <c r="L8" s="216">
        <v>4300</v>
      </c>
      <c r="M8" s="216"/>
      <c r="N8" s="217">
        <v>700</v>
      </c>
    </row>
    <row r="9" spans="1:14" s="253" customFormat="1" ht="16.5">
      <c r="A9" s="242">
        <v>3</v>
      </c>
      <c r="B9" s="256"/>
      <c r="C9" s="257"/>
      <c r="D9" s="258" t="s">
        <v>581</v>
      </c>
      <c r="E9" s="259"/>
      <c r="F9" s="265"/>
      <c r="G9" s="265"/>
      <c r="H9" s="266"/>
      <c r="I9" s="267">
        <f>SUM(J9:N9)</f>
        <v>5088</v>
      </c>
      <c r="J9" s="68"/>
      <c r="K9" s="68"/>
      <c r="L9" s="68">
        <v>5088</v>
      </c>
      <c r="M9" s="68"/>
      <c r="N9" s="69">
        <v>0</v>
      </c>
    </row>
    <row r="10" spans="1:14" s="253" customFormat="1" ht="17.25">
      <c r="A10" s="242">
        <v>4</v>
      </c>
      <c r="B10" s="268"/>
      <c r="C10" s="269"/>
      <c r="D10" s="270" t="s">
        <v>579</v>
      </c>
      <c r="E10" s="271"/>
      <c r="F10" s="272"/>
      <c r="G10" s="272"/>
      <c r="H10" s="273"/>
      <c r="I10" s="274">
        <f aca="true" t="shared" si="0" ref="I10:I73">SUM(J10:N10)</f>
        <v>4800</v>
      </c>
      <c r="J10" s="272"/>
      <c r="K10" s="272"/>
      <c r="L10" s="272">
        <v>4800</v>
      </c>
      <c r="M10" s="272"/>
      <c r="N10" s="275">
        <v>0</v>
      </c>
    </row>
    <row r="11" spans="1:14" s="253" customFormat="1" ht="25.5" customHeight="1">
      <c r="A11" s="242">
        <v>5</v>
      </c>
      <c r="B11" s="276"/>
      <c r="C11" s="277">
        <v>2</v>
      </c>
      <c r="D11" s="278" t="s">
        <v>437</v>
      </c>
      <c r="E11" s="279" t="s">
        <v>815</v>
      </c>
      <c r="F11" s="265">
        <v>6813</v>
      </c>
      <c r="G11" s="265">
        <v>4000</v>
      </c>
      <c r="H11" s="266">
        <v>704</v>
      </c>
      <c r="I11" s="267"/>
      <c r="J11" s="279"/>
      <c r="K11" s="279"/>
      <c r="L11" s="279"/>
      <c r="M11" s="279"/>
      <c r="N11" s="280"/>
    </row>
    <row r="12" spans="1:14" s="253" customFormat="1" ht="16.5">
      <c r="A12" s="242">
        <v>6</v>
      </c>
      <c r="B12" s="276"/>
      <c r="C12" s="277"/>
      <c r="D12" s="281" t="s">
        <v>580</v>
      </c>
      <c r="E12" s="282"/>
      <c r="F12" s="262"/>
      <c r="G12" s="262"/>
      <c r="H12" s="263"/>
      <c r="I12" s="264">
        <f t="shared" si="0"/>
        <v>4000</v>
      </c>
      <c r="J12" s="216"/>
      <c r="K12" s="216"/>
      <c r="L12" s="216">
        <v>3300</v>
      </c>
      <c r="M12" s="216"/>
      <c r="N12" s="217">
        <v>700</v>
      </c>
    </row>
    <row r="13" spans="1:14" s="243" customFormat="1" ht="16.5">
      <c r="A13" s="242">
        <v>7</v>
      </c>
      <c r="B13" s="276"/>
      <c r="C13" s="277"/>
      <c r="D13" s="258" t="s">
        <v>581</v>
      </c>
      <c r="E13" s="279"/>
      <c r="F13" s="265"/>
      <c r="G13" s="265"/>
      <c r="H13" s="266"/>
      <c r="I13" s="267">
        <f t="shared" si="0"/>
        <v>6989</v>
      </c>
      <c r="J13" s="68">
        <v>30</v>
      </c>
      <c r="K13" s="68">
        <v>20</v>
      </c>
      <c r="L13" s="68">
        <v>6239</v>
      </c>
      <c r="M13" s="68"/>
      <c r="N13" s="69">
        <v>700</v>
      </c>
    </row>
    <row r="14" spans="1:14" s="253" customFormat="1" ht="17.25">
      <c r="A14" s="242">
        <v>8</v>
      </c>
      <c r="B14" s="268"/>
      <c r="C14" s="269"/>
      <c r="D14" s="270" t="s">
        <v>579</v>
      </c>
      <c r="E14" s="271"/>
      <c r="F14" s="272"/>
      <c r="G14" s="272"/>
      <c r="H14" s="273"/>
      <c r="I14" s="274">
        <f t="shared" si="0"/>
        <v>3415</v>
      </c>
      <c r="J14" s="272">
        <v>26</v>
      </c>
      <c r="K14" s="272">
        <v>17</v>
      </c>
      <c r="L14" s="272">
        <v>3072</v>
      </c>
      <c r="M14" s="272"/>
      <c r="N14" s="275">
        <v>300</v>
      </c>
    </row>
    <row r="15" spans="1:14" s="253" customFormat="1" ht="25.5" customHeight="1">
      <c r="A15" s="242">
        <v>9</v>
      </c>
      <c r="B15" s="276"/>
      <c r="C15" s="277">
        <v>3</v>
      </c>
      <c r="D15" s="278" t="s">
        <v>520</v>
      </c>
      <c r="E15" s="279" t="s">
        <v>815</v>
      </c>
      <c r="F15" s="265">
        <v>9050</v>
      </c>
      <c r="G15" s="265">
        <v>8000</v>
      </c>
      <c r="H15" s="266">
        <v>5070</v>
      </c>
      <c r="I15" s="267"/>
      <c r="J15" s="279"/>
      <c r="K15" s="279"/>
      <c r="L15" s="279"/>
      <c r="M15" s="279"/>
      <c r="N15" s="280"/>
    </row>
    <row r="16" spans="1:14" s="253" customFormat="1" ht="16.5">
      <c r="A16" s="242">
        <v>10</v>
      </c>
      <c r="B16" s="276"/>
      <c r="C16" s="277"/>
      <c r="D16" s="281" t="s">
        <v>580</v>
      </c>
      <c r="E16" s="282"/>
      <c r="F16" s="262"/>
      <c r="G16" s="262"/>
      <c r="H16" s="263"/>
      <c r="I16" s="264">
        <f t="shared" si="0"/>
        <v>500</v>
      </c>
      <c r="J16" s="216"/>
      <c r="K16" s="216"/>
      <c r="L16" s="216"/>
      <c r="M16" s="216"/>
      <c r="N16" s="217">
        <v>500</v>
      </c>
    </row>
    <row r="17" spans="1:14" s="253" customFormat="1" ht="16.5">
      <c r="A17" s="242">
        <v>11</v>
      </c>
      <c r="B17" s="276"/>
      <c r="C17" s="277"/>
      <c r="D17" s="258" t="s">
        <v>581</v>
      </c>
      <c r="E17" s="279"/>
      <c r="F17" s="265"/>
      <c r="G17" s="265"/>
      <c r="H17" s="266"/>
      <c r="I17" s="267">
        <f t="shared" si="0"/>
        <v>2890</v>
      </c>
      <c r="J17" s="68"/>
      <c r="K17" s="68"/>
      <c r="L17" s="68">
        <v>1280</v>
      </c>
      <c r="M17" s="68"/>
      <c r="N17" s="69">
        <v>1610</v>
      </c>
    </row>
    <row r="18" spans="1:14" s="253" customFormat="1" ht="17.25">
      <c r="A18" s="242">
        <v>12</v>
      </c>
      <c r="B18" s="268"/>
      <c r="C18" s="269"/>
      <c r="D18" s="270" t="s">
        <v>579</v>
      </c>
      <c r="E18" s="271"/>
      <c r="F18" s="272"/>
      <c r="G18" s="272"/>
      <c r="H18" s="273"/>
      <c r="I18" s="274">
        <f t="shared" si="0"/>
        <v>2731</v>
      </c>
      <c r="J18" s="272"/>
      <c r="K18" s="272"/>
      <c r="L18" s="272">
        <v>1121</v>
      </c>
      <c r="M18" s="272"/>
      <c r="N18" s="275">
        <v>1610</v>
      </c>
    </row>
    <row r="19" spans="1:14" s="253" customFormat="1" ht="25.5" customHeight="1">
      <c r="A19" s="242">
        <v>13</v>
      </c>
      <c r="B19" s="276"/>
      <c r="C19" s="277">
        <v>4</v>
      </c>
      <c r="D19" s="278" t="s">
        <v>544</v>
      </c>
      <c r="E19" s="279" t="s">
        <v>781</v>
      </c>
      <c r="F19" s="265">
        <v>6175</v>
      </c>
      <c r="G19" s="265">
        <v>6000</v>
      </c>
      <c r="H19" s="266">
        <v>7673</v>
      </c>
      <c r="I19" s="267"/>
      <c r="J19" s="279"/>
      <c r="K19" s="279"/>
      <c r="L19" s="279"/>
      <c r="M19" s="279"/>
      <c r="N19" s="280"/>
    </row>
    <row r="20" spans="1:14" s="253" customFormat="1" ht="16.5">
      <c r="A20" s="242">
        <v>14</v>
      </c>
      <c r="B20" s="276"/>
      <c r="C20" s="277"/>
      <c r="D20" s="281" t="s">
        <v>580</v>
      </c>
      <c r="E20" s="282"/>
      <c r="F20" s="262"/>
      <c r="G20" s="262"/>
      <c r="H20" s="263"/>
      <c r="I20" s="264">
        <f t="shared" si="0"/>
        <v>6000</v>
      </c>
      <c r="J20" s="216">
        <v>800</v>
      </c>
      <c r="K20" s="216">
        <v>400</v>
      </c>
      <c r="L20" s="216">
        <v>4800</v>
      </c>
      <c r="M20" s="216"/>
      <c r="N20" s="217"/>
    </row>
    <row r="21" spans="1:14" s="253" customFormat="1" ht="16.5">
      <c r="A21" s="242">
        <v>15</v>
      </c>
      <c r="B21" s="276"/>
      <c r="C21" s="277"/>
      <c r="D21" s="258" t="s">
        <v>581</v>
      </c>
      <c r="E21" s="279"/>
      <c r="F21" s="265"/>
      <c r="G21" s="265"/>
      <c r="H21" s="266"/>
      <c r="I21" s="267">
        <f t="shared" si="0"/>
        <v>7327</v>
      </c>
      <c r="J21" s="68">
        <v>500</v>
      </c>
      <c r="K21" s="68">
        <v>400</v>
      </c>
      <c r="L21" s="68">
        <v>6427</v>
      </c>
      <c r="M21" s="68"/>
      <c r="N21" s="69"/>
    </row>
    <row r="22" spans="1:14" s="253" customFormat="1" ht="17.25">
      <c r="A22" s="242">
        <v>16</v>
      </c>
      <c r="B22" s="268"/>
      <c r="C22" s="269"/>
      <c r="D22" s="270" t="s">
        <v>579</v>
      </c>
      <c r="E22" s="271"/>
      <c r="F22" s="272"/>
      <c r="G22" s="272"/>
      <c r="H22" s="273"/>
      <c r="I22" s="274">
        <f t="shared" si="0"/>
        <v>6900</v>
      </c>
      <c r="J22" s="272">
        <v>334</v>
      </c>
      <c r="K22" s="272">
        <v>216</v>
      </c>
      <c r="L22" s="272">
        <v>6350</v>
      </c>
      <c r="M22" s="272"/>
      <c r="N22" s="275"/>
    </row>
    <row r="23" spans="1:14" s="253" customFormat="1" ht="25.5" customHeight="1">
      <c r="A23" s="242">
        <v>17</v>
      </c>
      <c r="B23" s="276"/>
      <c r="C23" s="277">
        <v>5</v>
      </c>
      <c r="D23" s="278" t="s">
        <v>546</v>
      </c>
      <c r="E23" s="279" t="s">
        <v>781</v>
      </c>
      <c r="F23" s="265">
        <v>5434</v>
      </c>
      <c r="G23" s="265">
        <v>8000</v>
      </c>
      <c r="H23" s="266">
        <v>7494</v>
      </c>
      <c r="I23" s="267"/>
      <c r="J23" s="279"/>
      <c r="K23" s="279"/>
      <c r="L23" s="279"/>
      <c r="M23" s="279"/>
      <c r="N23" s="280"/>
    </row>
    <row r="24" spans="1:14" s="243" customFormat="1" ht="16.5">
      <c r="A24" s="242">
        <v>18</v>
      </c>
      <c r="B24" s="276"/>
      <c r="C24" s="277"/>
      <c r="D24" s="281" t="s">
        <v>580</v>
      </c>
      <c r="E24" s="282"/>
      <c r="F24" s="262"/>
      <c r="G24" s="262"/>
      <c r="H24" s="263"/>
      <c r="I24" s="264">
        <f t="shared" si="0"/>
        <v>13000</v>
      </c>
      <c r="J24" s="216"/>
      <c r="K24" s="216"/>
      <c r="L24" s="216">
        <v>13000</v>
      </c>
      <c r="M24" s="216"/>
      <c r="N24" s="217"/>
    </row>
    <row r="25" spans="1:14" s="253" customFormat="1" ht="16.5">
      <c r="A25" s="242">
        <v>19</v>
      </c>
      <c r="B25" s="276"/>
      <c r="C25" s="277"/>
      <c r="D25" s="258" t="s">
        <v>581</v>
      </c>
      <c r="E25" s="279"/>
      <c r="F25" s="265"/>
      <c r="G25" s="265"/>
      <c r="H25" s="266"/>
      <c r="I25" s="267">
        <f t="shared" si="0"/>
        <v>14027</v>
      </c>
      <c r="J25" s="68"/>
      <c r="K25" s="68"/>
      <c r="L25" s="68">
        <v>14027</v>
      </c>
      <c r="M25" s="68"/>
      <c r="N25" s="69"/>
    </row>
    <row r="26" spans="1:14" s="253" customFormat="1" ht="17.25">
      <c r="A26" s="242">
        <v>20</v>
      </c>
      <c r="B26" s="268"/>
      <c r="C26" s="269"/>
      <c r="D26" s="270" t="s">
        <v>579</v>
      </c>
      <c r="E26" s="271"/>
      <c r="F26" s="272"/>
      <c r="G26" s="272"/>
      <c r="H26" s="273"/>
      <c r="I26" s="274">
        <f t="shared" si="0"/>
        <v>12878</v>
      </c>
      <c r="J26" s="272"/>
      <c r="K26" s="272"/>
      <c r="L26" s="272">
        <v>12878</v>
      </c>
      <c r="M26" s="272"/>
      <c r="N26" s="275"/>
    </row>
    <row r="27" spans="1:14" s="253" customFormat="1" ht="25.5" customHeight="1">
      <c r="A27" s="242">
        <v>21</v>
      </c>
      <c r="B27" s="276"/>
      <c r="C27" s="277">
        <v>6</v>
      </c>
      <c r="D27" s="278" t="s">
        <v>28</v>
      </c>
      <c r="E27" s="279" t="s">
        <v>781</v>
      </c>
      <c r="F27" s="265">
        <v>8587</v>
      </c>
      <c r="G27" s="265">
        <v>7000</v>
      </c>
      <c r="H27" s="266">
        <v>6242</v>
      </c>
      <c r="I27" s="267"/>
      <c r="J27" s="279"/>
      <c r="K27" s="279"/>
      <c r="L27" s="279"/>
      <c r="M27" s="279"/>
      <c r="N27" s="280"/>
    </row>
    <row r="28" spans="1:14" s="253" customFormat="1" ht="16.5">
      <c r="A28" s="242">
        <v>22</v>
      </c>
      <c r="B28" s="276"/>
      <c r="C28" s="277"/>
      <c r="D28" s="281" t="s">
        <v>580</v>
      </c>
      <c r="E28" s="282"/>
      <c r="F28" s="262"/>
      <c r="G28" s="262"/>
      <c r="H28" s="263"/>
      <c r="I28" s="264">
        <f t="shared" si="0"/>
        <v>7000</v>
      </c>
      <c r="J28" s="216">
        <v>2680</v>
      </c>
      <c r="K28" s="216">
        <v>1829</v>
      </c>
      <c r="L28" s="216">
        <v>2491</v>
      </c>
      <c r="M28" s="216"/>
      <c r="N28" s="217"/>
    </row>
    <row r="29" spans="1:14" s="253" customFormat="1" ht="16.5">
      <c r="A29" s="242">
        <v>23</v>
      </c>
      <c r="B29" s="276"/>
      <c r="C29" s="277"/>
      <c r="D29" s="258" t="s">
        <v>581</v>
      </c>
      <c r="E29" s="279"/>
      <c r="F29" s="265"/>
      <c r="G29" s="265"/>
      <c r="H29" s="266"/>
      <c r="I29" s="267">
        <f t="shared" si="0"/>
        <v>8377</v>
      </c>
      <c r="J29" s="68">
        <v>5180</v>
      </c>
      <c r="K29" s="68">
        <v>1829</v>
      </c>
      <c r="L29" s="68">
        <v>1368</v>
      </c>
      <c r="M29" s="68"/>
      <c r="N29" s="69"/>
    </row>
    <row r="30" spans="1:14" s="253" customFormat="1" ht="17.25">
      <c r="A30" s="242">
        <v>24</v>
      </c>
      <c r="B30" s="268"/>
      <c r="C30" s="269"/>
      <c r="D30" s="270" t="s">
        <v>579</v>
      </c>
      <c r="E30" s="271"/>
      <c r="F30" s="272"/>
      <c r="G30" s="272"/>
      <c r="H30" s="273"/>
      <c r="I30" s="274">
        <f t="shared" si="0"/>
        <v>6655</v>
      </c>
      <c r="J30" s="272">
        <v>3908</v>
      </c>
      <c r="K30" s="272">
        <v>1422</v>
      </c>
      <c r="L30" s="272">
        <v>1325</v>
      </c>
      <c r="M30" s="272"/>
      <c r="N30" s="275"/>
    </row>
    <row r="31" spans="1:14" s="253" customFormat="1" ht="25.5" customHeight="1">
      <c r="A31" s="242">
        <v>25</v>
      </c>
      <c r="B31" s="276"/>
      <c r="C31" s="277">
        <v>7</v>
      </c>
      <c r="D31" s="278" t="s">
        <v>545</v>
      </c>
      <c r="E31" s="279" t="s">
        <v>781</v>
      </c>
      <c r="F31" s="265">
        <v>3385</v>
      </c>
      <c r="G31" s="265">
        <v>2000</v>
      </c>
      <c r="H31" s="266">
        <v>2000</v>
      </c>
      <c r="I31" s="267"/>
      <c r="J31" s="279"/>
      <c r="K31" s="279"/>
      <c r="L31" s="279"/>
      <c r="M31" s="279"/>
      <c r="N31" s="280"/>
    </row>
    <row r="32" spans="1:14" s="253" customFormat="1" ht="16.5">
      <c r="A32" s="242">
        <v>26</v>
      </c>
      <c r="B32" s="276"/>
      <c r="C32" s="277"/>
      <c r="D32" s="281" t="s">
        <v>580</v>
      </c>
      <c r="E32" s="282"/>
      <c r="F32" s="262"/>
      <c r="G32" s="262"/>
      <c r="H32" s="263"/>
      <c r="I32" s="264">
        <f t="shared" si="0"/>
        <v>1000</v>
      </c>
      <c r="J32" s="216"/>
      <c r="K32" s="216"/>
      <c r="L32" s="216">
        <v>1000</v>
      </c>
      <c r="M32" s="216"/>
      <c r="N32" s="217"/>
    </row>
    <row r="33" spans="1:14" s="253" customFormat="1" ht="16.5">
      <c r="A33" s="242">
        <v>27</v>
      </c>
      <c r="B33" s="276"/>
      <c r="C33" s="277"/>
      <c r="D33" s="258" t="s">
        <v>581</v>
      </c>
      <c r="E33" s="279"/>
      <c r="F33" s="265"/>
      <c r="G33" s="265"/>
      <c r="H33" s="266"/>
      <c r="I33" s="267">
        <f t="shared" si="0"/>
        <v>1000</v>
      </c>
      <c r="J33" s="68"/>
      <c r="K33" s="68"/>
      <c r="L33" s="68">
        <v>1000</v>
      </c>
      <c r="M33" s="68"/>
      <c r="N33" s="69"/>
    </row>
    <row r="34" spans="1:14" s="253" customFormat="1" ht="17.25">
      <c r="A34" s="242">
        <v>28</v>
      </c>
      <c r="B34" s="268"/>
      <c r="C34" s="269"/>
      <c r="D34" s="270" t="s">
        <v>579</v>
      </c>
      <c r="E34" s="271"/>
      <c r="F34" s="272"/>
      <c r="G34" s="272"/>
      <c r="H34" s="273"/>
      <c r="I34" s="274">
        <f t="shared" si="0"/>
        <v>1000</v>
      </c>
      <c r="J34" s="272"/>
      <c r="K34" s="272"/>
      <c r="L34" s="272">
        <v>1000</v>
      </c>
      <c r="M34" s="272"/>
      <c r="N34" s="275"/>
    </row>
    <row r="35" spans="1:14" s="253" customFormat="1" ht="25.5" customHeight="1">
      <c r="A35" s="242">
        <v>29</v>
      </c>
      <c r="B35" s="276"/>
      <c r="C35" s="277">
        <v>8</v>
      </c>
      <c r="D35" s="278" t="s">
        <v>659</v>
      </c>
      <c r="E35" s="279" t="s">
        <v>781</v>
      </c>
      <c r="F35" s="265">
        <f>SUM(F39:F51)+F55</f>
        <v>29933</v>
      </c>
      <c r="G35" s="265">
        <f>SUM(G39:G51)+G55</f>
        <v>42300</v>
      </c>
      <c r="H35" s="265">
        <f>SUM(H39:H51)+H55</f>
        <v>39310</v>
      </c>
      <c r="I35" s="267"/>
      <c r="J35" s="279"/>
      <c r="K35" s="279"/>
      <c r="L35" s="279"/>
      <c r="M35" s="279"/>
      <c r="N35" s="280"/>
    </row>
    <row r="36" spans="1:14" s="253" customFormat="1" ht="16.5">
      <c r="A36" s="242">
        <v>30</v>
      </c>
      <c r="B36" s="276"/>
      <c r="C36" s="277"/>
      <c r="D36" s="281" t="s">
        <v>580</v>
      </c>
      <c r="E36" s="282"/>
      <c r="F36" s="262"/>
      <c r="G36" s="262"/>
      <c r="H36" s="263"/>
      <c r="I36" s="264">
        <f t="shared" si="0"/>
        <v>47300</v>
      </c>
      <c r="J36" s="262">
        <f>SUM(J40,J44,J48,J52,J56)+J60</f>
        <v>0</v>
      </c>
      <c r="K36" s="262">
        <f>SUM(K40,K44,K48,K52,K56)+K60</f>
        <v>0</v>
      </c>
      <c r="L36" s="262">
        <f>SUM(L40,L44,L48,L52,L56)+L60</f>
        <v>15300</v>
      </c>
      <c r="M36" s="262">
        <f>SUM(M40,M44,M48,M52,M56)+M60</f>
        <v>0</v>
      </c>
      <c r="N36" s="283">
        <f>SUM(N40,N44,N48,N52,N56)+N60</f>
        <v>32000</v>
      </c>
    </row>
    <row r="37" spans="1:14" s="253" customFormat="1" ht="16.5">
      <c r="A37" s="242">
        <v>31</v>
      </c>
      <c r="B37" s="276"/>
      <c r="C37" s="277"/>
      <c r="D37" s="258" t="s">
        <v>581</v>
      </c>
      <c r="E37" s="279"/>
      <c r="F37" s="265"/>
      <c r="G37" s="265"/>
      <c r="H37" s="266"/>
      <c r="I37" s="267">
        <f t="shared" si="0"/>
        <v>49443</v>
      </c>
      <c r="J37" s="265">
        <f>SUM(J41,J45,J49,J53,J57,J61)</f>
        <v>10</v>
      </c>
      <c r="K37" s="265">
        <f>SUM(K41,K45,K49,K53,K57,K61)</f>
        <v>0</v>
      </c>
      <c r="L37" s="265">
        <f>SUM(L41,L45,L49,L53,L57,L61)</f>
        <v>8433</v>
      </c>
      <c r="M37" s="265">
        <f>SUM(M41,M45,M49,M53,M57,M61)</f>
        <v>0</v>
      </c>
      <c r="N37" s="284">
        <f>SUM(N41,N45,N49,N53,N57,N61)</f>
        <v>41000</v>
      </c>
    </row>
    <row r="38" spans="1:14" s="253" customFormat="1" ht="17.25">
      <c r="A38" s="242">
        <v>32</v>
      </c>
      <c r="B38" s="268"/>
      <c r="C38" s="269"/>
      <c r="D38" s="270" t="s">
        <v>579</v>
      </c>
      <c r="E38" s="271"/>
      <c r="F38" s="272"/>
      <c r="G38" s="272"/>
      <c r="H38" s="273"/>
      <c r="I38" s="274">
        <f t="shared" si="0"/>
        <v>49435</v>
      </c>
      <c r="J38" s="272">
        <f>SUM(J42,J46,J50,J54,J58)+J62</f>
        <v>0</v>
      </c>
      <c r="K38" s="272">
        <f>SUM(K42,K46,K50,K54,K58)+K62</f>
        <v>0</v>
      </c>
      <c r="L38" s="272">
        <f>SUM(L42,L46,L50,L54,L58)+L62</f>
        <v>8435</v>
      </c>
      <c r="M38" s="272">
        <f>SUM(M42,M46,M50,M54,M58)+M62</f>
        <v>0</v>
      </c>
      <c r="N38" s="275">
        <f>SUM(N42,N46,N50,N54,N58)+N62</f>
        <v>41000</v>
      </c>
    </row>
    <row r="39" spans="1:14" s="253" customFormat="1" ht="19.5" customHeight="1">
      <c r="A39" s="242">
        <v>33</v>
      </c>
      <c r="B39" s="276"/>
      <c r="C39" s="277"/>
      <c r="D39" s="285" t="s">
        <v>397</v>
      </c>
      <c r="E39" s="286"/>
      <c r="F39" s="287">
        <v>20000</v>
      </c>
      <c r="G39" s="287">
        <v>22000</v>
      </c>
      <c r="H39" s="288">
        <v>22000</v>
      </c>
      <c r="I39" s="289"/>
      <c r="J39" s="218"/>
      <c r="K39" s="218"/>
      <c r="L39" s="218"/>
      <c r="M39" s="218"/>
      <c r="N39" s="219"/>
    </row>
    <row r="40" spans="1:14" s="253" customFormat="1" ht="17.25">
      <c r="A40" s="242">
        <v>34</v>
      </c>
      <c r="B40" s="276"/>
      <c r="C40" s="277"/>
      <c r="D40" s="290" t="s">
        <v>580</v>
      </c>
      <c r="E40" s="291"/>
      <c r="F40" s="292"/>
      <c r="G40" s="292"/>
      <c r="H40" s="293"/>
      <c r="I40" s="294">
        <f t="shared" si="0"/>
        <v>22000</v>
      </c>
      <c r="J40" s="220"/>
      <c r="K40" s="220"/>
      <c r="L40" s="220"/>
      <c r="M40" s="220"/>
      <c r="N40" s="221">
        <v>22000</v>
      </c>
    </row>
    <row r="41" spans="1:14" s="253" customFormat="1" ht="17.25">
      <c r="A41" s="242">
        <v>35</v>
      </c>
      <c r="B41" s="276"/>
      <c r="C41" s="277"/>
      <c r="D41" s="295" t="s">
        <v>581</v>
      </c>
      <c r="E41" s="286"/>
      <c r="F41" s="287"/>
      <c r="G41" s="287"/>
      <c r="H41" s="288"/>
      <c r="I41" s="289">
        <f t="shared" si="0"/>
        <v>22000</v>
      </c>
      <c r="J41" s="218"/>
      <c r="K41" s="218"/>
      <c r="L41" s="218"/>
      <c r="M41" s="218"/>
      <c r="N41" s="219">
        <v>22000</v>
      </c>
    </row>
    <row r="42" spans="1:14" s="253" customFormat="1" ht="17.25">
      <c r="A42" s="242">
        <v>36</v>
      </c>
      <c r="B42" s="268"/>
      <c r="C42" s="269"/>
      <c r="D42" s="296" t="s">
        <v>579</v>
      </c>
      <c r="E42" s="297"/>
      <c r="F42" s="298"/>
      <c r="G42" s="298"/>
      <c r="H42" s="299"/>
      <c r="I42" s="300">
        <f t="shared" si="0"/>
        <v>22000</v>
      </c>
      <c r="J42" s="298"/>
      <c r="K42" s="298"/>
      <c r="L42" s="298"/>
      <c r="M42" s="298"/>
      <c r="N42" s="301">
        <v>22000</v>
      </c>
    </row>
    <row r="43" spans="1:14" s="253" customFormat="1" ht="19.5" customHeight="1">
      <c r="A43" s="242">
        <v>37</v>
      </c>
      <c r="B43" s="276"/>
      <c r="C43" s="277"/>
      <c r="D43" s="285" t="s">
        <v>433</v>
      </c>
      <c r="E43" s="286"/>
      <c r="F43" s="287">
        <v>933</v>
      </c>
      <c r="G43" s="287">
        <v>8300</v>
      </c>
      <c r="H43" s="288">
        <v>7310</v>
      </c>
      <c r="I43" s="289"/>
      <c r="J43" s="218"/>
      <c r="K43" s="218"/>
      <c r="L43" s="218"/>
      <c r="M43" s="218"/>
      <c r="N43" s="219"/>
    </row>
    <row r="44" spans="1:14" s="253" customFormat="1" ht="17.25">
      <c r="A44" s="242">
        <v>38</v>
      </c>
      <c r="B44" s="276"/>
      <c r="C44" s="277"/>
      <c r="D44" s="290" t="s">
        <v>580</v>
      </c>
      <c r="E44" s="291"/>
      <c r="F44" s="292"/>
      <c r="G44" s="292"/>
      <c r="H44" s="293"/>
      <c r="I44" s="294">
        <f t="shared" si="0"/>
        <v>8300</v>
      </c>
      <c r="J44" s="220"/>
      <c r="K44" s="220"/>
      <c r="L44" s="220">
        <v>8300</v>
      </c>
      <c r="M44" s="220"/>
      <c r="N44" s="221"/>
    </row>
    <row r="45" spans="1:14" s="253" customFormat="1" ht="17.25">
      <c r="A45" s="242">
        <v>39</v>
      </c>
      <c r="B45" s="276"/>
      <c r="C45" s="277"/>
      <c r="D45" s="295" t="s">
        <v>581</v>
      </c>
      <c r="E45" s="286"/>
      <c r="F45" s="287"/>
      <c r="G45" s="287"/>
      <c r="H45" s="288"/>
      <c r="I45" s="289">
        <f t="shared" si="0"/>
        <v>8443</v>
      </c>
      <c r="J45" s="218">
        <v>10</v>
      </c>
      <c r="K45" s="218"/>
      <c r="L45" s="218">
        <v>8433</v>
      </c>
      <c r="M45" s="218"/>
      <c r="N45" s="219"/>
    </row>
    <row r="46" spans="1:14" s="253" customFormat="1" ht="17.25">
      <c r="A46" s="242">
        <v>40</v>
      </c>
      <c r="B46" s="268"/>
      <c r="C46" s="269"/>
      <c r="D46" s="296" t="s">
        <v>579</v>
      </c>
      <c r="E46" s="297"/>
      <c r="F46" s="298"/>
      <c r="G46" s="298"/>
      <c r="H46" s="299"/>
      <c r="I46" s="300">
        <f t="shared" si="0"/>
        <v>8435</v>
      </c>
      <c r="J46" s="298"/>
      <c r="K46" s="298"/>
      <c r="L46" s="298">
        <v>8435</v>
      </c>
      <c r="M46" s="298"/>
      <c r="N46" s="301"/>
    </row>
    <row r="47" spans="1:14" s="253" customFormat="1" ht="19.5" customHeight="1">
      <c r="A47" s="242">
        <v>41</v>
      </c>
      <c r="B47" s="276"/>
      <c r="C47" s="277"/>
      <c r="D47" s="285" t="s">
        <v>753</v>
      </c>
      <c r="E47" s="286"/>
      <c r="F47" s="287">
        <v>1500</v>
      </c>
      <c r="G47" s="287">
        <v>2000</v>
      </c>
      <c r="H47" s="288">
        <v>2000</v>
      </c>
      <c r="I47" s="289"/>
      <c r="J47" s="218"/>
      <c r="K47" s="218"/>
      <c r="L47" s="218"/>
      <c r="M47" s="218"/>
      <c r="N47" s="219"/>
    </row>
    <row r="48" spans="1:14" s="253" customFormat="1" ht="17.25">
      <c r="A48" s="242">
        <v>42</v>
      </c>
      <c r="B48" s="276"/>
      <c r="C48" s="277"/>
      <c r="D48" s="290" t="s">
        <v>580</v>
      </c>
      <c r="E48" s="291"/>
      <c r="F48" s="292"/>
      <c r="G48" s="292"/>
      <c r="H48" s="293"/>
      <c r="I48" s="294">
        <f t="shared" si="0"/>
        <v>2000</v>
      </c>
      <c r="J48" s="220"/>
      <c r="K48" s="220"/>
      <c r="L48" s="220"/>
      <c r="M48" s="220"/>
      <c r="N48" s="221">
        <v>2000</v>
      </c>
    </row>
    <row r="49" spans="1:14" s="253" customFormat="1" ht="17.25">
      <c r="A49" s="242">
        <v>43</v>
      </c>
      <c r="B49" s="276"/>
      <c r="C49" s="277"/>
      <c r="D49" s="295" t="s">
        <v>581</v>
      </c>
      <c r="E49" s="286"/>
      <c r="F49" s="287"/>
      <c r="G49" s="287"/>
      <c r="H49" s="288"/>
      <c r="I49" s="289">
        <f t="shared" si="0"/>
        <v>2000</v>
      </c>
      <c r="J49" s="218"/>
      <c r="K49" s="218"/>
      <c r="L49" s="218"/>
      <c r="M49" s="218"/>
      <c r="N49" s="219">
        <v>2000</v>
      </c>
    </row>
    <row r="50" spans="1:15" s="253" customFormat="1" ht="17.25">
      <c r="A50" s="242">
        <v>44</v>
      </c>
      <c r="B50" s="268"/>
      <c r="C50" s="269"/>
      <c r="D50" s="296" t="s">
        <v>579</v>
      </c>
      <c r="E50" s="297"/>
      <c r="F50" s="298"/>
      <c r="G50" s="298"/>
      <c r="H50" s="299"/>
      <c r="I50" s="300">
        <f t="shared" si="0"/>
        <v>2000</v>
      </c>
      <c r="J50" s="298"/>
      <c r="K50" s="298"/>
      <c r="L50" s="298"/>
      <c r="M50" s="298"/>
      <c r="N50" s="301">
        <v>2000</v>
      </c>
      <c r="O50" s="253">
        <f>SUM(L38,L30,L26,L22,L18,L14,L10)</f>
        <v>37981</v>
      </c>
    </row>
    <row r="51" spans="1:14" s="253" customFormat="1" ht="18" customHeight="1">
      <c r="A51" s="242">
        <v>45</v>
      </c>
      <c r="B51" s="276"/>
      <c r="C51" s="277"/>
      <c r="D51" s="285" t="s">
        <v>434</v>
      </c>
      <c r="E51" s="286"/>
      <c r="F51" s="287">
        <v>7500</v>
      </c>
      <c r="G51" s="287">
        <v>8000</v>
      </c>
      <c r="H51" s="288">
        <v>8000</v>
      </c>
      <c r="I51" s="289"/>
      <c r="J51" s="218"/>
      <c r="K51" s="218"/>
      <c r="L51" s="218"/>
      <c r="M51" s="218"/>
      <c r="N51" s="219"/>
    </row>
    <row r="52" spans="1:14" s="253" customFormat="1" ht="17.25">
      <c r="A52" s="242">
        <v>46</v>
      </c>
      <c r="B52" s="276"/>
      <c r="C52" s="277"/>
      <c r="D52" s="290" t="s">
        <v>580</v>
      </c>
      <c r="E52" s="291"/>
      <c r="F52" s="292"/>
      <c r="G52" s="292"/>
      <c r="H52" s="293"/>
      <c r="I52" s="294">
        <f t="shared" si="0"/>
        <v>8000</v>
      </c>
      <c r="J52" s="220"/>
      <c r="K52" s="220"/>
      <c r="L52" s="220"/>
      <c r="M52" s="220"/>
      <c r="N52" s="221">
        <v>8000</v>
      </c>
    </row>
    <row r="53" spans="1:14" s="253" customFormat="1" ht="17.25">
      <c r="A53" s="242">
        <v>47</v>
      </c>
      <c r="B53" s="276"/>
      <c r="C53" s="277"/>
      <c r="D53" s="295" t="s">
        <v>581</v>
      </c>
      <c r="E53" s="286"/>
      <c r="F53" s="287"/>
      <c r="G53" s="287"/>
      <c r="H53" s="288"/>
      <c r="I53" s="289">
        <f t="shared" si="0"/>
        <v>8000</v>
      </c>
      <c r="J53" s="218"/>
      <c r="K53" s="218"/>
      <c r="L53" s="218"/>
      <c r="M53" s="218"/>
      <c r="N53" s="219">
        <v>8000</v>
      </c>
    </row>
    <row r="54" spans="1:14" s="253" customFormat="1" ht="17.25">
      <c r="A54" s="242">
        <v>48</v>
      </c>
      <c r="B54" s="268"/>
      <c r="C54" s="269"/>
      <c r="D54" s="296" t="s">
        <v>579</v>
      </c>
      <c r="E54" s="297"/>
      <c r="F54" s="298"/>
      <c r="G54" s="298"/>
      <c r="H54" s="299"/>
      <c r="I54" s="300">
        <f t="shared" si="0"/>
        <v>8000</v>
      </c>
      <c r="J54" s="298"/>
      <c r="K54" s="298"/>
      <c r="L54" s="298"/>
      <c r="M54" s="298"/>
      <c r="N54" s="301">
        <v>8000</v>
      </c>
    </row>
    <row r="55" spans="1:14" s="253" customFormat="1" ht="18" customHeight="1">
      <c r="A55" s="242">
        <v>49</v>
      </c>
      <c r="B55" s="276"/>
      <c r="C55" s="277"/>
      <c r="D55" s="285" t="s">
        <v>410</v>
      </c>
      <c r="E55" s="286"/>
      <c r="F55" s="287"/>
      <c r="G55" s="287">
        <v>2000</v>
      </c>
      <c r="H55" s="288"/>
      <c r="I55" s="289"/>
      <c r="J55" s="218"/>
      <c r="K55" s="218"/>
      <c r="L55" s="218"/>
      <c r="M55" s="218"/>
      <c r="N55" s="219"/>
    </row>
    <row r="56" spans="1:14" s="253" customFormat="1" ht="17.25">
      <c r="A56" s="242">
        <v>50</v>
      </c>
      <c r="B56" s="276"/>
      <c r="C56" s="277"/>
      <c r="D56" s="290" t="s">
        <v>580</v>
      </c>
      <c r="E56" s="291"/>
      <c r="F56" s="292"/>
      <c r="G56" s="292"/>
      <c r="H56" s="293"/>
      <c r="I56" s="294">
        <f t="shared" si="0"/>
        <v>2000</v>
      </c>
      <c r="J56" s="220"/>
      <c r="K56" s="220"/>
      <c r="L56" s="220">
        <v>2000</v>
      </c>
      <c r="M56" s="220"/>
      <c r="N56" s="221"/>
    </row>
    <row r="57" spans="1:14" s="253" customFormat="1" ht="17.25">
      <c r="A57" s="242">
        <v>51</v>
      </c>
      <c r="B57" s="276"/>
      <c r="C57" s="277"/>
      <c r="D57" s="295" t="s">
        <v>581</v>
      </c>
      <c r="E57" s="286"/>
      <c r="F57" s="287"/>
      <c r="G57" s="287"/>
      <c r="H57" s="288"/>
      <c r="I57" s="289">
        <f t="shared" si="0"/>
        <v>4000</v>
      </c>
      <c r="J57" s="218"/>
      <c r="K57" s="218"/>
      <c r="L57" s="218"/>
      <c r="M57" s="218"/>
      <c r="N57" s="219">
        <v>4000</v>
      </c>
    </row>
    <row r="58" spans="1:14" s="253" customFormat="1" ht="17.25">
      <c r="A58" s="242">
        <v>52</v>
      </c>
      <c r="B58" s="268"/>
      <c r="C58" s="269"/>
      <c r="D58" s="296" t="s">
        <v>579</v>
      </c>
      <c r="E58" s="297"/>
      <c r="F58" s="298"/>
      <c r="G58" s="298"/>
      <c r="H58" s="299"/>
      <c r="I58" s="300">
        <f t="shared" si="0"/>
        <v>4000</v>
      </c>
      <c r="J58" s="298"/>
      <c r="K58" s="298"/>
      <c r="L58" s="298"/>
      <c r="M58" s="298"/>
      <c r="N58" s="301">
        <v>4000</v>
      </c>
    </row>
    <row r="59" spans="1:14" s="253" customFormat="1" ht="18" customHeight="1">
      <c r="A59" s="242">
        <v>53</v>
      </c>
      <c r="B59" s="276"/>
      <c r="C59" s="277"/>
      <c r="D59" s="285" t="s">
        <v>12</v>
      </c>
      <c r="E59" s="286"/>
      <c r="F59" s="287"/>
      <c r="G59" s="287"/>
      <c r="H59" s="288"/>
      <c r="I59" s="289"/>
      <c r="J59" s="218"/>
      <c r="K59" s="218"/>
      <c r="L59" s="218"/>
      <c r="M59" s="218"/>
      <c r="N59" s="219"/>
    </row>
    <row r="60" spans="1:14" s="253" customFormat="1" ht="17.25">
      <c r="A60" s="242">
        <v>54</v>
      </c>
      <c r="B60" s="276"/>
      <c r="C60" s="277"/>
      <c r="D60" s="290" t="s">
        <v>580</v>
      </c>
      <c r="E60" s="291"/>
      <c r="F60" s="292"/>
      <c r="G60" s="292"/>
      <c r="H60" s="293"/>
      <c r="I60" s="294">
        <f>SUM(J60:N60)</f>
        <v>5000</v>
      </c>
      <c r="J60" s="220"/>
      <c r="K60" s="220"/>
      <c r="L60" s="220">
        <v>5000</v>
      </c>
      <c r="M60" s="220"/>
      <c r="N60" s="221"/>
    </row>
    <row r="61" spans="1:14" s="253" customFormat="1" ht="17.25">
      <c r="A61" s="242">
        <v>55</v>
      </c>
      <c r="B61" s="276"/>
      <c r="C61" s="277"/>
      <c r="D61" s="295" t="s">
        <v>581</v>
      </c>
      <c r="E61" s="286"/>
      <c r="F61" s="287"/>
      <c r="G61" s="287"/>
      <c r="H61" s="288"/>
      <c r="I61" s="289">
        <f>SUM(J61:N61)</f>
        <v>5000</v>
      </c>
      <c r="J61" s="218"/>
      <c r="K61" s="218"/>
      <c r="L61" s="218"/>
      <c r="M61" s="218"/>
      <c r="N61" s="219">
        <v>5000</v>
      </c>
    </row>
    <row r="62" spans="1:14" s="253" customFormat="1" ht="17.25">
      <c r="A62" s="242">
        <v>56</v>
      </c>
      <c r="B62" s="268"/>
      <c r="C62" s="269"/>
      <c r="D62" s="296" t="s">
        <v>579</v>
      </c>
      <c r="E62" s="297"/>
      <c r="F62" s="298"/>
      <c r="G62" s="298"/>
      <c r="H62" s="299"/>
      <c r="I62" s="300">
        <f>SUM(J62:N62)</f>
        <v>5000</v>
      </c>
      <c r="J62" s="298"/>
      <c r="K62" s="298"/>
      <c r="L62" s="298"/>
      <c r="M62" s="298"/>
      <c r="N62" s="301">
        <v>5000</v>
      </c>
    </row>
    <row r="63" spans="1:14" s="253" customFormat="1" ht="22.5" customHeight="1">
      <c r="A63" s="242">
        <v>57</v>
      </c>
      <c r="B63" s="276"/>
      <c r="C63" s="277">
        <v>9</v>
      </c>
      <c r="D63" s="278" t="s">
        <v>436</v>
      </c>
      <c r="E63" s="279" t="s">
        <v>781</v>
      </c>
      <c r="F63" s="265">
        <v>2448</v>
      </c>
      <c r="G63" s="265">
        <v>3000</v>
      </c>
      <c r="H63" s="266">
        <v>7592</v>
      </c>
      <c r="I63" s="267"/>
      <c r="J63" s="279"/>
      <c r="K63" s="279"/>
      <c r="L63" s="279"/>
      <c r="M63" s="279"/>
      <c r="N63" s="280"/>
    </row>
    <row r="64" spans="1:14" s="253" customFormat="1" ht="16.5">
      <c r="A64" s="242">
        <v>58</v>
      </c>
      <c r="B64" s="276"/>
      <c r="C64" s="277"/>
      <c r="D64" s="281" t="s">
        <v>580</v>
      </c>
      <c r="E64" s="282"/>
      <c r="F64" s="262"/>
      <c r="G64" s="262"/>
      <c r="H64" s="263"/>
      <c r="I64" s="264">
        <f t="shared" si="0"/>
        <v>3000</v>
      </c>
      <c r="J64" s="216">
        <v>200</v>
      </c>
      <c r="K64" s="216">
        <v>150</v>
      </c>
      <c r="L64" s="216">
        <v>2650</v>
      </c>
      <c r="M64" s="216"/>
      <c r="N64" s="217"/>
    </row>
    <row r="65" spans="1:14" s="253" customFormat="1" ht="16.5">
      <c r="A65" s="242">
        <v>59</v>
      </c>
      <c r="B65" s="276"/>
      <c r="C65" s="277"/>
      <c r="D65" s="278" t="s">
        <v>581</v>
      </c>
      <c r="E65" s="279"/>
      <c r="F65" s="265"/>
      <c r="G65" s="265"/>
      <c r="H65" s="266"/>
      <c r="I65" s="267">
        <f t="shared" si="0"/>
        <v>6524</v>
      </c>
      <c r="J65" s="68">
        <v>600</v>
      </c>
      <c r="K65" s="68">
        <v>300</v>
      </c>
      <c r="L65" s="68">
        <v>5624</v>
      </c>
      <c r="M65" s="68"/>
      <c r="N65" s="69"/>
    </row>
    <row r="66" spans="1:14" s="253" customFormat="1" ht="17.25">
      <c r="A66" s="242">
        <v>60</v>
      </c>
      <c r="B66" s="268"/>
      <c r="C66" s="269"/>
      <c r="D66" s="270" t="s">
        <v>579</v>
      </c>
      <c r="E66" s="271"/>
      <c r="F66" s="272"/>
      <c r="G66" s="272"/>
      <c r="H66" s="273"/>
      <c r="I66" s="274">
        <f>SUM(J66:N66)</f>
        <v>4813</v>
      </c>
      <c r="J66" s="272">
        <v>493</v>
      </c>
      <c r="K66" s="272">
        <v>319</v>
      </c>
      <c r="L66" s="272">
        <v>4001</v>
      </c>
      <c r="M66" s="272"/>
      <c r="N66" s="275"/>
    </row>
    <row r="67" spans="1:14" s="253" customFormat="1" ht="22.5" customHeight="1">
      <c r="A67" s="242">
        <v>61</v>
      </c>
      <c r="B67" s="276"/>
      <c r="C67" s="277">
        <v>10</v>
      </c>
      <c r="D67" s="278" t="s">
        <v>387</v>
      </c>
      <c r="E67" s="279" t="s">
        <v>781</v>
      </c>
      <c r="F67" s="265"/>
      <c r="G67" s="265">
        <v>1000</v>
      </c>
      <c r="H67" s="266">
        <v>652</v>
      </c>
      <c r="I67" s="267"/>
      <c r="J67" s="279"/>
      <c r="K67" s="279"/>
      <c r="L67" s="279"/>
      <c r="M67" s="279"/>
      <c r="N67" s="280"/>
    </row>
    <row r="68" spans="1:14" s="253" customFormat="1" ht="16.5">
      <c r="A68" s="242">
        <v>62</v>
      </c>
      <c r="B68" s="276"/>
      <c r="C68" s="277"/>
      <c r="D68" s="281" t="s">
        <v>580</v>
      </c>
      <c r="E68" s="282"/>
      <c r="F68" s="262"/>
      <c r="G68" s="262"/>
      <c r="H68" s="263"/>
      <c r="I68" s="264">
        <f t="shared" si="0"/>
        <v>1000</v>
      </c>
      <c r="J68" s="216"/>
      <c r="K68" s="216"/>
      <c r="L68" s="216">
        <v>1000</v>
      </c>
      <c r="M68" s="216"/>
      <c r="N68" s="217"/>
    </row>
    <row r="69" spans="1:14" s="253" customFormat="1" ht="16.5">
      <c r="A69" s="242">
        <v>63</v>
      </c>
      <c r="B69" s="276"/>
      <c r="C69" s="277"/>
      <c r="D69" s="278" t="s">
        <v>581</v>
      </c>
      <c r="E69" s="279"/>
      <c r="F69" s="265"/>
      <c r="G69" s="265"/>
      <c r="H69" s="266"/>
      <c r="I69" s="267">
        <f t="shared" si="0"/>
        <v>1912</v>
      </c>
      <c r="J69" s="68"/>
      <c r="K69" s="68"/>
      <c r="L69" s="68">
        <v>1912</v>
      </c>
      <c r="M69" s="68"/>
      <c r="N69" s="69"/>
    </row>
    <row r="70" spans="1:14" s="253" customFormat="1" ht="17.25">
      <c r="A70" s="242">
        <v>64</v>
      </c>
      <c r="B70" s="268"/>
      <c r="C70" s="269"/>
      <c r="D70" s="270" t="s">
        <v>579</v>
      </c>
      <c r="E70" s="271"/>
      <c r="F70" s="272"/>
      <c r="G70" s="272"/>
      <c r="H70" s="273"/>
      <c r="I70" s="274">
        <f>SUM(J70:N70)</f>
        <v>812</v>
      </c>
      <c r="J70" s="272"/>
      <c r="K70" s="272"/>
      <c r="L70" s="272">
        <v>812</v>
      </c>
      <c r="M70" s="272"/>
      <c r="N70" s="275"/>
    </row>
    <row r="71" spans="1:14" s="253" customFormat="1" ht="22.5" customHeight="1">
      <c r="A71" s="242">
        <v>65</v>
      </c>
      <c r="B71" s="276"/>
      <c r="C71" s="277">
        <v>11</v>
      </c>
      <c r="D71" s="278" t="s">
        <v>1188</v>
      </c>
      <c r="E71" s="279" t="s">
        <v>781</v>
      </c>
      <c r="F71" s="265"/>
      <c r="G71" s="265">
        <v>8000</v>
      </c>
      <c r="H71" s="266">
        <v>1077</v>
      </c>
      <c r="I71" s="267"/>
      <c r="J71" s="279"/>
      <c r="K71" s="279"/>
      <c r="L71" s="279"/>
      <c r="M71" s="279"/>
      <c r="N71" s="280"/>
    </row>
    <row r="72" spans="1:14" s="253" customFormat="1" ht="16.5">
      <c r="A72" s="242">
        <v>66</v>
      </c>
      <c r="B72" s="276"/>
      <c r="C72" s="277"/>
      <c r="D72" s="281" t="s">
        <v>580</v>
      </c>
      <c r="E72" s="282"/>
      <c r="F72" s="262"/>
      <c r="G72" s="262"/>
      <c r="H72" s="263"/>
      <c r="I72" s="264">
        <f t="shared" si="0"/>
        <v>4000</v>
      </c>
      <c r="J72" s="216">
        <v>300</v>
      </c>
      <c r="K72" s="216">
        <v>200</v>
      </c>
      <c r="L72" s="216">
        <v>1500</v>
      </c>
      <c r="M72" s="216"/>
      <c r="N72" s="217">
        <v>2000</v>
      </c>
    </row>
    <row r="73" spans="1:14" s="253" customFormat="1" ht="16.5">
      <c r="A73" s="242">
        <v>67</v>
      </c>
      <c r="B73" s="276"/>
      <c r="C73" s="277"/>
      <c r="D73" s="278" t="s">
        <v>581</v>
      </c>
      <c r="E73" s="279"/>
      <c r="F73" s="265"/>
      <c r="G73" s="265"/>
      <c r="H73" s="266"/>
      <c r="I73" s="267">
        <f t="shared" si="0"/>
        <v>2931</v>
      </c>
      <c r="J73" s="68">
        <v>300</v>
      </c>
      <c r="K73" s="68">
        <v>200</v>
      </c>
      <c r="L73" s="68">
        <v>1176</v>
      </c>
      <c r="M73" s="68"/>
      <c r="N73" s="69">
        <v>1255</v>
      </c>
    </row>
    <row r="74" spans="1:14" s="253" customFormat="1" ht="17.25">
      <c r="A74" s="242">
        <v>68</v>
      </c>
      <c r="B74" s="268"/>
      <c r="C74" s="269"/>
      <c r="D74" s="270" t="s">
        <v>579</v>
      </c>
      <c r="E74" s="271"/>
      <c r="F74" s="272"/>
      <c r="G74" s="272"/>
      <c r="H74" s="273"/>
      <c r="I74" s="274">
        <f>SUM(J74:N74)</f>
        <v>1849</v>
      </c>
      <c r="J74" s="272"/>
      <c r="K74" s="272"/>
      <c r="L74" s="272">
        <v>616</v>
      </c>
      <c r="M74" s="272"/>
      <c r="N74" s="275">
        <v>1233</v>
      </c>
    </row>
    <row r="75" spans="1:14" s="253" customFormat="1" ht="22.5" customHeight="1">
      <c r="A75" s="242">
        <v>69</v>
      </c>
      <c r="B75" s="276"/>
      <c r="C75" s="277">
        <v>12</v>
      </c>
      <c r="D75" s="278" t="s">
        <v>388</v>
      </c>
      <c r="E75" s="279" t="s">
        <v>781</v>
      </c>
      <c r="F75" s="265"/>
      <c r="G75" s="265">
        <v>2000</v>
      </c>
      <c r="H75" s="266">
        <v>1654</v>
      </c>
      <c r="I75" s="267"/>
      <c r="J75" s="279"/>
      <c r="K75" s="279"/>
      <c r="L75" s="279"/>
      <c r="M75" s="279"/>
      <c r="N75" s="280"/>
    </row>
    <row r="76" spans="1:14" s="253" customFormat="1" ht="16.5">
      <c r="A76" s="242">
        <v>70</v>
      </c>
      <c r="B76" s="276"/>
      <c r="C76" s="277"/>
      <c r="D76" s="281" t="s">
        <v>580</v>
      </c>
      <c r="E76" s="282"/>
      <c r="F76" s="262"/>
      <c r="G76" s="262"/>
      <c r="H76" s="263"/>
      <c r="I76" s="264">
        <f aca="true" t="shared" si="1" ref="I76:I156">SUM(J76:N76)</f>
        <v>3000</v>
      </c>
      <c r="J76" s="216"/>
      <c r="K76" s="216"/>
      <c r="L76" s="216">
        <v>1000</v>
      </c>
      <c r="M76" s="216"/>
      <c r="N76" s="217">
        <v>2000</v>
      </c>
    </row>
    <row r="77" spans="1:14" s="253" customFormat="1" ht="16.5">
      <c r="A77" s="242">
        <v>71</v>
      </c>
      <c r="B77" s="276"/>
      <c r="C77" s="277"/>
      <c r="D77" s="278" t="s">
        <v>581</v>
      </c>
      <c r="E77" s="279"/>
      <c r="F77" s="265"/>
      <c r="G77" s="265"/>
      <c r="H77" s="266"/>
      <c r="I77" s="267">
        <f t="shared" si="1"/>
        <v>3000</v>
      </c>
      <c r="J77" s="68"/>
      <c r="K77" s="68"/>
      <c r="L77" s="68"/>
      <c r="M77" s="68"/>
      <c r="N77" s="69">
        <v>3000</v>
      </c>
    </row>
    <row r="78" spans="1:14" s="253" customFormat="1" ht="17.25">
      <c r="A78" s="242">
        <v>72</v>
      </c>
      <c r="B78" s="268"/>
      <c r="C78" s="269"/>
      <c r="D78" s="270" t="s">
        <v>579</v>
      </c>
      <c r="E78" s="271"/>
      <c r="F78" s="272"/>
      <c r="G78" s="272"/>
      <c r="H78" s="273"/>
      <c r="I78" s="274">
        <f t="shared" si="1"/>
        <v>3000</v>
      </c>
      <c r="J78" s="272"/>
      <c r="K78" s="272"/>
      <c r="L78" s="272"/>
      <c r="M78" s="272"/>
      <c r="N78" s="275">
        <v>3000</v>
      </c>
    </row>
    <row r="79" spans="1:14" s="253" customFormat="1" ht="22.5" customHeight="1">
      <c r="A79" s="242">
        <v>73</v>
      </c>
      <c r="B79" s="276"/>
      <c r="C79" s="277">
        <v>13</v>
      </c>
      <c r="D79" s="278" t="s">
        <v>13</v>
      </c>
      <c r="E79" s="279" t="s">
        <v>781</v>
      </c>
      <c r="F79" s="265"/>
      <c r="G79" s="265"/>
      <c r="H79" s="266"/>
      <c r="I79" s="267"/>
      <c r="J79" s="279"/>
      <c r="K79" s="279"/>
      <c r="L79" s="279"/>
      <c r="M79" s="279"/>
      <c r="N79" s="280"/>
    </row>
    <row r="80" spans="1:14" s="253" customFormat="1" ht="16.5">
      <c r="A80" s="242">
        <v>74</v>
      </c>
      <c r="B80" s="276"/>
      <c r="C80" s="277"/>
      <c r="D80" s="281" t="s">
        <v>580</v>
      </c>
      <c r="E80" s="282"/>
      <c r="F80" s="262"/>
      <c r="G80" s="262"/>
      <c r="H80" s="263"/>
      <c r="I80" s="264">
        <f>SUM(J80:N80)</f>
        <v>1000</v>
      </c>
      <c r="J80" s="216"/>
      <c r="K80" s="216"/>
      <c r="L80" s="216">
        <v>1000</v>
      </c>
      <c r="M80" s="216"/>
      <c r="N80" s="217"/>
    </row>
    <row r="81" spans="1:14" s="253" customFormat="1" ht="16.5">
      <c r="A81" s="242">
        <v>75</v>
      </c>
      <c r="B81" s="276"/>
      <c r="C81" s="277"/>
      <c r="D81" s="278" t="s">
        <v>581</v>
      </c>
      <c r="E81" s="279"/>
      <c r="F81" s="265"/>
      <c r="G81" s="265"/>
      <c r="H81" s="266"/>
      <c r="I81" s="267">
        <f>SUM(J81:N81)</f>
        <v>500</v>
      </c>
      <c r="J81" s="68"/>
      <c r="K81" s="68"/>
      <c r="L81" s="68">
        <v>500</v>
      </c>
      <c r="M81" s="68"/>
      <c r="N81" s="69"/>
    </row>
    <row r="82" spans="1:14" s="253" customFormat="1" ht="17.25">
      <c r="A82" s="242">
        <v>76</v>
      </c>
      <c r="B82" s="268"/>
      <c r="C82" s="269"/>
      <c r="D82" s="270" t="s">
        <v>579</v>
      </c>
      <c r="E82" s="271"/>
      <c r="F82" s="272"/>
      <c r="G82" s="272"/>
      <c r="H82" s="273"/>
      <c r="I82" s="274">
        <f>SUM(J82:N82)</f>
        <v>0</v>
      </c>
      <c r="J82" s="272"/>
      <c r="K82" s="272"/>
      <c r="L82" s="272"/>
      <c r="M82" s="272"/>
      <c r="N82" s="275"/>
    </row>
    <row r="83" spans="1:14" s="253" customFormat="1" ht="22.5" customHeight="1">
      <c r="A83" s="242">
        <v>77</v>
      </c>
      <c r="B83" s="276"/>
      <c r="C83" s="277">
        <v>14</v>
      </c>
      <c r="D83" s="278" t="s">
        <v>426</v>
      </c>
      <c r="E83" s="279" t="s">
        <v>781</v>
      </c>
      <c r="F83" s="265"/>
      <c r="G83" s="265">
        <v>5000</v>
      </c>
      <c r="H83" s="266">
        <v>4583</v>
      </c>
      <c r="I83" s="267"/>
      <c r="J83" s="279"/>
      <c r="K83" s="279"/>
      <c r="L83" s="279"/>
      <c r="M83" s="279"/>
      <c r="N83" s="280"/>
    </row>
    <row r="84" spans="1:14" s="253" customFormat="1" ht="16.5">
      <c r="A84" s="242">
        <v>78</v>
      </c>
      <c r="B84" s="276"/>
      <c r="C84" s="277"/>
      <c r="D84" s="281" t="s">
        <v>580</v>
      </c>
      <c r="E84" s="282"/>
      <c r="F84" s="262"/>
      <c r="G84" s="262"/>
      <c r="H84" s="263"/>
      <c r="I84" s="264">
        <f t="shared" si="1"/>
        <v>5000</v>
      </c>
      <c r="J84" s="216"/>
      <c r="K84" s="216"/>
      <c r="L84" s="216">
        <v>5000</v>
      </c>
      <c r="M84" s="216"/>
      <c r="N84" s="217"/>
    </row>
    <row r="85" spans="1:14" s="253" customFormat="1" ht="16.5">
      <c r="A85" s="242">
        <v>79</v>
      </c>
      <c r="B85" s="276"/>
      <c r="C85" s="277"/>
      <c r="D85" s="278" t="s">
        <v>581</v>
      </c>
      <c r="E85" s="279"/>
      <c r="F85" s="265"/>
      <c r="G85" s="265"/>
      <c r="H85" s="266"/>
      <c r="I85" s="267">
        <f t="shared" si="1"/>
        <v>5000</v>
      </c>
      <c r="J85" s="68"/>
      <c r="K85" s="68"/>
      <c r="L85" s="68">
        <v>5000</v>
      </c>
      <c r="M85" s="68"/>
      <c r="N85" s="69"/>
    </row>
    <row r="86" spans="1:14" s="253" customFormat="1" ht="17.25">
      <c r="A86" s="242">
        <v>80</v>
      </c>
      <c r="B86" s="268"/>
      <c r="C86" s="269"/>
      <c r="D86" s="270" t="s">
        <v>579</v>
      </c>
      <c r="E86" s="271"/>
      <c r="F86" s="272"/>
      <c r="G86" s="272"/>
      <c r="H86" s="273"/>
      <c r="I86" s="274">
        <f t="shared" si="1"/>
        <v>5000</v>
      </c>
      <c r="J86" s="272"/>
      <c r="K86" s="272"/>
      <c r="L86" s="272">
        <v>5000</v>
      </c>
      <c r="M86" s="272"/>
      <c r="N86" s="275"/>
    </row>
    <row r="87" spans="1:14" s="253" customFormat="1" ht="22.5" customHeight="1">
      <c r="A87" s="242">
        <v>81</v>
      </c>
      <c r="B87" s="276"/>
      <c r="C87" s="277">
        <v>15</v>
      </c>
      <c r="D87" s="278" t="s">
        <v>435</v>
      </c>
      <c r="E87" s="279" t="s">
        <v>781</v>
      </c>
      <c r="F87" s="265"/>
      <c r="G87" s="265">
        <v>1000</v>
      </c>
      <c r="H87" s="266">
        <v>1000</v>
      </c>
      <c r="I87" s="267"/>
      <c r="J87" s="279"/>
      <c r="K87" s="279"/>
      <c r="L87" s="279"/>
      <c r="M87" s="279"/>
      <c r="N87" s="280"/>
    </row>
    <row r="88" spans="1:14" s="253" customFormat="1" ht="16.5">
      <c r="A88" s="242">
        <v>82</v>
      </c>
      <c r="B88" s="276"/>
      <c r="C88" s="277"/>
      <c r="D88" s="281" t="s">
        <v>580</v>
      </c>
      <c r="E88" s="282"/>
      <c r="F88" s="262"/>
      <c r="G88" s="262"/>
      <c r="H88" s="263"/>
      <c r="I88" s="264">
        <f t="shared" si="1"/>
        <v>1000</v>
      </c>
      <c r="J88" s="216"/>
      <c r="K88" s="216"/>
      <c r="L88" s="216"/>
      <c r="M88" s="216"/>
      <c r="N88" s="217">
        <v>1000</v>
      </c>
    </row>
    <row r="89" spans="1:14" s="253" customFormat="1" ht="16.5">
      <c r="A89" s="242">
        <v>83</v>
      </c>
      <c r="B89" s="276"/>
      <c r="C89" s="277"/>
      <c r="D89" s="278" t="s">
        <v>581</v>
      </c>
      <c r="E89" s="279"/>
      <c r="F89" s="265"/>
      <c r="G89" s="265"/>
      <c r="H89" s="266"/>
      <c r="I89" s="267">
        <f t="shared" si="1"/>
        <v>1000</v>
      </c>
      <c r="J89" s="68"/>
      <c r="K89" s="68"/>
      <c r="L89" s="68"/>
      <c r="M89" s="68"/>
      <c r="N89" s="69">
        <v>1000</v>
      </c>
    </row>
    <row r="90" spans="1:14" s="253" customFormat="1" ht="17.25">
      <c r="A90" s="242">
        <v>84</v>
      </c>
      <c r="B90" s="268"/>
      <c r="C90" s="269"/>
      <c r="D90" s="270" t="s">
        <v>579</v>
      </c>
      <c r="E90" s="271"/>
      <c r="F90" s="272"/>
      <c r="G90" s="272"/>
      <c r="H90" s="273"/>
      <c r="I90" s="274">
        <f t="shared" si="1"/>
        <v>1000</v>
      </c>
      <c r="J90" s="272"/>
      <c r="K90" s="272"/>
      <c r="L90" s="272"/>
      <c r="M90" s="272"/>
      <c r="N90" s="275">
        <v>1000</v>
      </c>
    </row>
    <row r="91" spans="1:14" s="253" customFormat="1" ht="22.5" customHeight="1">
      <c r="A91" s="242">
        <v>85</v>
      </c>
      <c r="B91" s="276"/>
      <c r="C91" s="277">
        <v>16</v>
      </c>
      <c r="D91" s="278" t="s">
        <v>438</v>
      </c>
      <c r="E91" s="279" t="s">
        <v>781</v>
      </c>
      <c r="F91" s="265">
        <f>SUM(F95:F107)</f>
        <v>30600</v>
      </c>
      <c r="G91" s="265">
        <f>SUM(G95:G107)</f>
        <v>32100</v>
      </c>
      <c r="H91" s="266">
        <f>SUM(H95:H107)</f>
        <v>39700</v>
      </c>
      <c r="I91" s="267"/>
      <c r="J91" s="279"/>
      <c r="K91" s="279"/>
      <c r="L91" s="279"/>
      <c r="M91" s="279"/>
      <c r="N91" s="280"/>
    </row>
    <row r="92" spans="1:14" s="253" customFormat="1" ht="16.5">
      <c r="A92" s="242">
        <v>86</v>
      </c>
      <c r="B92" s="276"/>
      <c r="C92" s="277"/>
      <c r="D92" s="281" t="s">
        <v>580</v>
      </c>
      <c r="E92" s="282"/>
      <c r="F92" s="262"/>
      <c r="G92" s="262"/>
      <c r="H92" s="263"/>
      <c r="I92" s="264">
        <f t="shared" si="1"/>
        <v>42300</v>
      </c>
      <c r="J92" s="262">
        <f aca="true" t="shared" si="2" ref="J92:N93">SUM(J96,J100,J104,J108)+J112</f>
        <v>0</v>
      </c>
      <c r="K92" s="262">
        <f t="shared" si="2"/>
        <v>0</v>
      </c>
      <c r="L92" s="262">
        <f t="shared" si="2"/>
        <v>0</v>
      </c>
      <c r="M92" s="262">
        <f t="shared" si="2"/>
        <v>0</v>
      </c>
      <c r="N92" s="283">
        <f t="shared" si="2"/>
        <v>42300</v>
      </c>
    </row>
    <row r="93" spans="1:14" s="253" customFormat="1" ht="16.5">
      <c r="A93" s="242">
        <v>87</v>
      </c>
      <c r="B93" s="276"/>
      <c r="C93" s="277"/>
      <c r="D93" s="278" t="s">
        <v>581</v>
      </c>
      <c r="E93" s="279"/>
      <c r="F93" s="265"/>
      <c r="G93" s="265"/>
      <c r="H93" s="266"/>
      <c r="I93" s="267">
        <f t="shared" si="1"/>
        <v>42300</v>
      </c>
      <c r="J93" s="265">
        <f t="shared" si="2"/>
        <v>0</v>
      </c>
      <c r="K93" s="265">
        <f t="shared" si="2"/>
        <v>0</v>
      </c>
      <c r="L93" s="265">
        <f t="shared" si="2"/>
        <v>0</v>
      </c>
      <c r="M93" s="265">
        <f t="shared" si="2"/>
        <v>0</v>
      </c>
      <c r="N93" s="284">
        <f t="shared" si="2"/>
        <v>42300</v>
      </c>
    </row>
    <row r="94" spans="1:14" s="253" customFormat="1" ht="17.25">
      <c r="A94" s="242">
        <v>88</v>
      </c>
      <c r="B94" s="268"/>
      <c r="C94" s="269"/>
      <c r="D94" s="270" t="s">
        <v>579</v>
      </c>
      <c r="E94" s="271"/>
      <c r="F94" s="272"/>
      <c r="G94" s="272"/>
      <c r="H94" s="273"/>
      <c r="I94" s="274">
        <f t="shared" si="1"/>
        <v>42300</v>
      </c>
      <c r="J94" s="272">
        <f>SUM(J98,J102,J106,J110)</f>
        <v>0</v>
      </c>
      <c r="K94" s="272">
        <f>SUM(K98,K102,K106,K110)</f>
        <v>0</v>
      </c>
      <c r="L94" s="272">
        <f>SUM(L98,L102,L106,L110)</f>
        <v>0</v>
      </c>
      <c r="M94" s="272">
        <f>SUM(M98,M102,M106,M110)</f>
        <v>0</v>
      </c>
      <c r="N94" s="275">
        <f>SUM(N98,N102,N106,N110,N114)</f>
        <v>42300</v>
      </c>
    </row>
    <row r="95" spans="1:14" s="253" customFormat="1" ht="17.25">
      <c r="A95" s="242">
        <v>89</v>
      </c>
      <c r="B95" s="276"/>
      <c r="C95" s="277"/>
      <c r="D95" s="302" t="s">
        <v>399</v>
      </c>
      <c r="E95" s="279"/>
      <c r="F95" s="287">
        <v>20600</v>
      </c>
      <c r="G95" s="287">
        <v>20600</v>
      </c>
      <c r="H95" s="288">
        <v>28200</v>
      </c>
      <c r="I95" s="289"/>
      <c r="J95" s="218"/>
      <c r="K95" s="218"/>
      <c r="L95" s="218"/>
      <c r="M95" s="218"/>
      <c r="N95" s="219"/>
    </row>
    <row r="96" spans="1:14" s="253" customFormat="1" ht="18" customHeight="1">
      <c r="A96" s="242">
        <v>90</v>
      </c>
      <c r="B96" s="276"/>
      <c r="C96" s="277"/>
      <c r="D96" s="290" t="s">
        <v>580</v>
      </c>
      <c r="E96" s="282"/>
      <c r="F96" s="292"/>
      <c r="G96" s="292"/>
      <c r="H96" s="293"/>
      <c r="I96" s="294">
        <f t="shared" si="1"/>
        <v>28200</v>
      </c>
      <c r="J96" s="220"/>
      <c r="K96" s="220"/>
      <c r="L96" s="220"/>
      <c r="M96" s="220"/>
      <c r="N96" s="221">
        <v>28200</v>
      </c>
    </row>
    <row r="97" spans="1:14" s="243" customFormat="1" ht="17.25">
      <c r="A97" s="242">
        <v>91</v>
      </c>
      <c r="B97" s="276"/>
      <c r="C97" s="277"/>
      <c r="D97" s="295" t="s">
        <v>581</v>
      </c>
      <c r="E97" s="279"/>
      <c r="F97" s="287"/>
      <c r="G97" s="287"/>
      <c r="H97" s="288"/>
      <c r="I97" s="289">
        <f t="shared" si="1"/>
        <v>28200</v>
      </c>
      <c r="J97" s="218"/>
      <c r="K97" s="218"/>
      <c r="L97" s="218"/>
      <c r="M97" s="218"/>
      <c r="N97" s="219">
        <v>28200</v>
      </c>
    </row>
    <row r="98" spans="1:15" s="253" customFormat="1" ht="17.25">
      <c r="A98" s="242">
        <v>92</v>
      </c>
      <c r="B98" s="268"/>
      <c r="C98" s="269"/>
      <c r="D98" s="303" t="s">
        <v>579</v>
      </c>
      <c r="E98" s="271"/>
      <c r="F98" s="298"/>
      <c r="G98" s="298"/>
      <c r="H98" s="299"/>
      <c r="I98" s="300">
        <f t="shared" si="1"/>
        <v>28200</v>
      </c>
      <c r="J98" s="298"/>
      <c r="K98" s="298"/>
      <c r="L98" s="298"/>
      <c r="M98" s="298"/>
      <c r="N98" s="301">
        <v>28200</v>
      </c>
      <c r="O98" s="253">
        <f>SUM(L86,L74,L70,L66)</f>
        <v>10429</v>
      </c>
    </row>
    <row r="99" spans="1:14" s="253" customFormat="1" ht="17.25">
      <c r="A99" s="242">
        <v>93</v>
      </c>
      <c r="B99" s="276"/>
      <c r="C99" s="277"/>
      <c r="D99" s="302" t="s">
        <v>439</v>
      </c>
      <c r="E99" s="279"/>
      <c r="F99" s="287">
        <v>4000</v>
      </c>
      <c r="G99" s="287">
        <v>4200</v>
      </c>
      <c r="H99" s="288">
        <v>4200</v>
      </c>
      <c r="I99" s="289"/>
      <c r="J99" s="218"/>
      <c r="K99" s="218"/>
      <c r="L99" s="218"/>
      <c r="M99" s="218"/>
      <c r="N99" s="219"/>
    </row>
    <row r="100" spans="1:14" s="253" customFormat="1" ht="17.25">
      <c r="A100" s="242">
        <v>94</v>
      </c>
      <c r="B100" s="276"/>
      <c r="C100" s="277"/>
      <c r="D100" s="290" t="s">
        <v>580</v>
      </c>
      <c r="E100" s="282"/>
      <c r="F100" s="292"/>
      <c r="G100" s="292"/>
      <c r="H100" s="293"/>
      <c r="I100" s="294">
        <f t="shared" si="1"/>
        <v>5600</v>
      </c>
      <c r="J100" s="220"/>
      <c r="K100" s="220"/>
      <c r="L100" s="220"/>
      <c r="M100" s="220"/>
      <c r="N100" s="221">
        <v>5600</v>
      </c>
    </row>
    <row r="101" spans="1:14" s="253" customFormat="1" ht="17.25">
      <c r="A101" s="242">
        <v>95</v>
      </c>
      <c r="B101" s="276"/>
      <c r="C101" s="277"/>
      <c r="D101" s="295" t="s">
        <v>581</v>
      </c>
      <c r="E101" s="279"/>
      <c r="F101" s="287"/>
      <c r="G101" s="287"/>
      <c r="H101" s="288"/>
      <c r="I101" s="289">
        <f t="shared" si="1"/>
        <v>5600</v>
      </c>
      <c r="J101" s="218"/>
      <c r="K101" s="218"/>
      <c r="L101" s="218"/>
      <c r="M101" s="218"/>
      <c r="N101" s="219">
        <v>5600</v>
      </c>
    </row>
    <row r="102" spans="1:14" s="253" customFormat="1" ht="17.25">
      <c r="A102" s="242">
        <v>96</v>
      </c>
      <c r="B102" s="268"/>
      <c r="C102" s="269"/>
      <c r="D102" s="303" t="s">
        <v>579</v>
      </c>
      <c r="E102" s="271"/>
      <c r="F102" s="298"/>
      <c r="G102" s="298"/>
      <c r="H102" s="299"/>
      <c r="I102" s="300">
        <f t="shared" si="1"/>
        <v>5600</v>
      </c>
      <c r="J102" s="298"/>
      <c r="K102" s="298"/>
      <c r="L102" s="298"/>
      <c r="M102" s="298"/>
      <c r="N102" s="301">
        <v>5600</v>
      </c>
    </row>
    <row r="103" spans="1:14" s="253" customFormat="1" ht="17.25">
      <c r="A103" s="242">
        <v>97</v>
      </c>
      <c r="B103" s="276"/>
      <c r="C103" s="277"/>
      <c r="D103" s="302" t="s">
        <v>440</v>
      </c>
      <c r="E103" s="279"/>
      <c r="F103" s="287">
        <v>4000</v>
      </c>
      <c r="G103" s="287">
        <v>4500</v>
      </c>
      <c r="H103" s="288">
        <v>4500</v>
      </c>
      <c r="I103" s="289"/>
      <c r="J103" s="218"/>
      <c r="K103" s="218"/>
      <c r="L103" s="218"/>
      <c r="M103" s="218"/>
      <c r="N103" s="219"/>
    </row>
    <row r="104" spans="1:14" s="253" customFormat="1" ht="17.25">
      <c r="A104" s="242">
        <v>98</v>
      </c>
      <c r="B104" s="276"/>
      <c r="C104" s="277"/>
      <c r="D104" s="290" t="s">
        <v>580</v>
      </c>
      <c r="E104" s="282"/>
      <c r="F104" s="292"/>
      <c r="G104" s="292"/>
      <c r="H104" s="293"/>
      <c r="I104" s="294">
        <f t="shared" si="1"/>
        <v>4500</v>
      </c>
      <c r="J104" s="220"/>
      <c r="K104" s="220"/>
      <c r="L104" s="220"/>
      <c r="M104" s="220"/>
      <c r="N104" s="221">
        <v>4500</v>
      </c>
    </row>
    <row r="105" spans="1:14" s="253" customFormat="1" ht="17.25">
      <c r="A105" s="242">
        <v>99</v>
      </c>
      <c r="B105" s="276"/>
      <c r="C105" s="277"/>
      <c r="D105" s="295" t="s">
        <v>581</v>
      </c>
      <c r="E105" s="279"/>
      <c r="F105" s="287"/>
      <c r="G105" s="287"/>
      <c r="H105" s="288"/>
      <c r="I105" s="289">
        <f t="shared" si="1"/>
        <v>4500</v>
      </c>
      <c r="J105" s="218"/>
      <c r="K105" s="218"/>
      <c r="L105" s="218"/>
      <c r="M105" s="218"/>
      <c r="N105" s="219">
        <v>4500</v>
      </c>
    </row>
    <row r="106" spans="1:14" s="253" customFormat="1" ht="17.25">
      <c r="A106" s="242">
        <v>100</v>
      </c>
      <c r="B106" s="268"/>
      <c r="C106" s="269"/>
      <c r="D106" s="303" t="s">
        <v>579</v>
      </c>
      <c r="E106" s="271"/>
      <c r="F106" s="298"/>
      <c r="G106" s="298"/>
      <c r="H106" s="299"/>
      <c r="I106" s="300">
        <f t="shared" si="1"/>
        <v>4500</v>
      </c>
      <c r="J106" s="298"/>
      <c r="K106" s="298"/>
      <c r="L106" s="298"/>
      <c r="M106" s="298"/>
      <c r="N106" s="301">
        <v>4500</v>
      </c>
    </row>
    <row r="107" spans="1:14" s="253" customFormat="1" ht="17.25">
      <c r="A107" s="242">
        <v>101</v>
      </c>
      <c r="B107" s="276"/>
      <c r="C107" s="277"/>
      <c r="D107" s="302" t="s">
        <v>441</v>
      </c>
      <c r="E107" s="279"/>
      <c r="F107" s="287">
        <v>2000</v>
      </c>
      <c r="G107" s="287">
        <v>2800</v>
      </c>
      <c r="H107" s="288">
        <v>2800</v>
      </c>
      <c r="I107" s="289"/>
      <c r="J107" s="218"/>
      <c r="K107" s="218"/>
      <c r="L107" s="218"/>
      <c r="M107" s="218"/>
      <c r="N107" s="219"/>
    </row>
    <row r="108" spans="1:14" s="253" customFormat="1" ht="17.25">
      <c r="A108" s="242">
        <v>102</v>
      </c>
      <c r="B108" s="276"/>
      <c r="C108" s="277"/>
      <c r="D108" s="290" t="s">
        <v>580</v>
      </c>
      <c r="E108" s="282"/>
      <c r="F108" s="292"/>
      <c r="G108" s="292"/>
      <c r="H108" s="293"/>
      <c r="I108" s="294">
        <f t="shared" si="1"/>
        <v>3000</v>
      </c>
      <c r="J108" s="220"/>
      <c r="K108" s="220"/>
      <c r="L108" s="220"/>
      <c r="M108" s="220"/>
      <c r="N108" s="221">
        <v>3000</v>
      </c>
    </row>
    <row r="109" spans="1:14" s="253" customFormat="1" ht="17.25">
      <c r="A109" s="242">
        <v>103</v>
      </c>
      <c r="B109" s="276"/>
      <c r="C109" s="277"/>
      <c r="D109" s="295" t="s">
        <v>581</v>
      </c>
      <c r="E109" s="279"/>
      <c r="F109" s="287"/>
      <c r="G109" s="287"/>
      <c r="H109" s="288"/>
      <c r="I109" s="289">
        <f t="shared" si="1"/>
        <v>3000</v>
      </c>
      <c r="J109" s="218"/>
      <c r="K109" s="218"/>
      <c r="L109" s="218"/>
      <c r="M109" s="218"/>
      <c r="N109" s="219">
        <v>3000</v>
      </c>
    </row>
    <row r="110" spans="1:14" s="253" customFormat="1" ht="17.25">
      <c r="A110" s="242">
        <v>104</v>
      </c>
      <c r="B110" s="268"/>
      <c r="C110" s="269"/>
      <c r="D110" s="303" t="s">
        <v>579</v>
      </c>
      <c r="E110" s="271"/>
      <c r="F110" s="298"/>
      <c r="G110" s="298"/>
      <c r="H110" s="299"/>
      <c r="I110" s="300">
        <f t="shared" si="1"/>
        <v>3000</v>
      </c>
      <c r="J110" s="298"/>
      <c r="K110" s="298"/>
      <c r="L110" s="298"/>
      <c r="M110" s="298"/>
      <c r="N110" s="301">
        <v>3000</v>
      </c>
    </row>
    <row r="111" spans="1:14" s="253" customFormat="1" ht="17.25">
      <c r="A111" s="242">
        <v>105</v>
      </c>
      <c r="B111" s="276"/>
      <c r="C111" s="277"/>
      <c r="D111" s="302" t="s">
        <v>14</v>
      </c>
      <c r="E111" s="279"/>
      <c r="F111" s="287"/>
      <c r="G111" s="287"/>
      <c r="H111" s="288"/>
      <c r="I111" s="289"/>
      <c r="J111" s="218"/>
      <c r="K111" s="218"/>
      <c r="L111" s="218"/>
      <c r="M111" s="218"/>
      <c r="N111" s="219"/>
    </row>
    <row r="112" spans="1:14" s="253" customFormat="1" ht="17.25">
      <c r="A112" s="242">
        <v>106</v>
      </c>
      <c r="B112" s="276"/>
      <c r="C112" s="277"/>
      <c r="D112" s="290" t="s">
        <v>580</v>
      </c>
      <c r="E112" s="282"/>
      <c r="F112" s="292"/>
      <c r="G112" s="292"/>
      <c r="H112" s="293"/>
      <c r="I112" s="294">
        <f>SUM(J112:N112)</f>
        <v>1000</v>
      </c>
      <c r="J112" s="220"/>
      <c r="K112" s="220"/>
      <c r="L112" s="220"/>
      <c r="M112" s="220"/>
      <c r="N112" s="221">
        <v>1000</v>
      </c>
    </row>
    <row r="113" spans="1:14" s="253" customFormat="1" ht="17.25">
      <c r="A113" s="242">
        <v>107</v>
      </c>
      <c r="B113" s="276"/>
      <c r="C113" s="277"/>
      <c r="D113" s="295" t="s">
        <v>581</v>
      </c>
      <c r="E113" s="279"/>
      <c r="F113" s="287"/>
      <c r="G113" s="287"/>
      <c r="H113" s="288"/>
      <c r="I113" s="289">
        <f>SUM(J113:N113)</f>
        <v>1000</v>
      </c>
      <c r="J113" s="218"/>
      <c r="K113" s="218"/>
      <c r="L113" s="218"/>
      <c r="M113" s="218"/>
      <c r="N113" s="219">
        <v>1000</v>
      </c>
    </row>
    <row r="114" spans="1:14" s="253" customFormat="1" ht="17.25">
      <c r="A114" s="242">
        <v>108</v>
      </c>
      <c r="B114" s="268"/>
      <c r="C114" s="269"/>
      <c r="D114" s="303" t="s">
        <v>579</v>
      </c>
      <c r="E114" s="271"/>
      <c r="F114" s="298"/>
      <c r="G114" s="298"/>
      <c r="H114" s="299"/>
      <c r="I114" s="300">
        <f>SUM(J114:N114)</f>
        <v>1000</v>
      </c>
      <c r="J114" s="298"/>
      <c r="K114" s="298"/>
      <c r="L114" s="298"/>
      <c r="M114" s="298"/>
      <c r="N114" s="301">
        <v>1000</v>
      </c>
    </row>
    <row r="115" spans="1:14" s="253" customFormat="1" ht="19.5" customHeight="1">
      <c r="A115" s="242">
        <v>109</v>
      </c>
      <c r="B115" s="276"/>
      <c r="C115" s="277">
        <v>17</v>
      </c>
      <c r="D115" s="278" t="s">
        <v>442</v>
      </c>
      <c r="E115" s="279" t="s">
        <v>781</v>
      </c>
      <c r="F115" s="265">
        <v>1500</v>
      </c>
      <c r="G115" s="265">
        <v>1500</v>
      </c>
      <c r="H115" s="266">
        <v>1500</v>
      </c>
      <c r="I115" s="267"/>
      <c r="J115" s="279"/>
      <c r="K115" s="279"/>
      <c r="L115" s="279"/>
      <c r="M115" s="279"/>
      <c r="N115" s="280"/>
    </row>
    <row r="116" spans="1:14" s="253" customFormat="1" ht="16.5">
      <c r="A116" s="242">
        <v>110</v>
      </c>
      <c r="B116" s="276"/>
      <c r="C116" s="277"/>
      <c r="D116" s="281" t="s">
        <v>580</v>
      </c>
      <c r="E116" s="282"/>
      <c r="F116" s="262"/>
      <c r="G116" s="262"/>
      <c r="H116" s="263"/>
      <c r="I116" s="264">
        <f t="shared" si="1"/>
        <v>5000</v>
      </c>
      <c r="J116" s="216"/>
      <c r="K116" s="216"/>
      <c r="L116" s="216"/>
      <c r="M116" s="216"/>
      <c r="N116" s="217">
        <v>5000</v>
      </c>
    </row>
    <row r="117" spans="1:14" s="253" customFormat="1" ht="16.5">
      <c r="A117" s="242">
        <v>111</v>
      </c>
      <c r="B117" s="276"/>
      <c r="C117" s="277"/>
      <c r="D117" s="278" t="s">
        <v>581</v>
      </c>
      <c r="E117" s="279"/>
      <c r="F117" s="265"/>
      <c r="G117" s="265"/>
      <c r="H117" s="266"/>
      <c r="I117" s="267">
        <f t="shared" si="1"/>
        <v>0</v>
      </c>
      <c r="J117" s="68"/>
      <c r="K117" s="68"/>
      <c r="L117" s="68"/>
      <c r="M117" s="68"/>
      <c r="N117" s="69"/>
    </row>
    <row r="118" spans="1:14" s="253" customFormat="1" ht="17.25">
      <c r="A118" s="242">
        <v>112</v>
      </c>
      <c r="B118" s="268"/>
      <c r="C118" s="269"/>
      <c r="D118" s="270" t="s">
        <v>579</v>
      </c>
      <c r="E118" s="271"/>
      <c r="F118" s="272"/>
      <c r="G118" s="272"/>
      <c r="H118" s="273"/>
      <c r="I118" s="274">
        <f t="shared" si="1"/>
        <v>0</v>
      </c>
      <c r="J118" s="272"/>
      <c r="K118" s="272"/>
      <c r="L118" s="272"/>
      <c r="M118" s="272"/>
      <c r="N118" s="275"/>
    </row>
    <row r="119" spans="1:14" s="253" customFormat="1" ht="19.5" customHeight="1">
      <c r="A119" s="242">
        <v>113</v>
      </c>
      <c r="B119" s="276"/>
      <c r="C119" s="277">
        <v>18</v>
      </c>
      <c r="D119" s="278" t="s">
        <v>30</v>
      </c>
      <c r="E119" s="279" t="s">
        <v>781</v>
      </c>
      <c r="F119" s="265"/>
      <c r="G119" s="265"/>
      <c r="H119" s="266"/>
      <c r="I119" s="267"/>
      <c r="J119" s="279"/>
      <c r="K119" s="279"/>
      <c r="L119" s="279"/>
      <c r="M119" s="279"/>
      <c r="N119" s="280"/>
    </row>
    <row r="120" spans="1:14" s="253" customFormat="1" ht="16.5">
      <c r="A120" s="242">
        <v>114</v>
      </c>
      <c r="B120" s="276"/>
      <c r="C120" s="277"/>
      <c r="D120" s="278" t="s">
        <v>581</v>
      </c>
      <c r="E120" s="279"/>
      <c r="F120" s="265"/>
      <c r="G120" s="265"/>
      <c r="H120" s="266"/>
      <c r="I120" s="267">
        <f>SUM(J120:N120)</f>
        <v>5000</v>
      </c>
      <c r="J120" s="68"/>
      <c r="K120" s="68"/>
      <c r="L120" s="68"/>
      <c r="M120" s="68"/>
      <c r="N120" s="69">
        <v>5000</v>
      </c>
    </row>
    <row r="121" spans="1:14" s="253" customFormat="1" ht="17.25">
      <c r="A121" s="242">
        <v>115</v>
      </c>
      <c r="B121" s="268"/>
      <c r="C121" s="269"/>
      <c r="D121" s="270" t="s">
        <v>579</v>
      </c>
      <c r="E121" s="271"/>
      <c r="F121" s="272"/>
      <c r="G121" s="272"/>
      <c r="H121" s="273"/>
      <c r="I121" s="274">
        <f>SUM(J121:N121)</f>
        <v>5000</v>
      </c>
      <c r="J121" s="272"/>
      <c r="K121" s="272"/>
      <c r="L121" s="272"/>
      <c r="M121" s="272"/>
      <c r="N121" s="275">
        <v>5000</v>
      </c>
    </row>
    <row r="122" spans="1:14" s="253" customFormat="1" ht="19.5" customHeight="1">
      <c r="A122" s="242">
        <v>116</v>
      </c>
      <c r="B122" s="276"/>
      <c r="C122" s="277">
        <v>19</v>
      </c>
      <c r="D122" s="278" t="s">
        <v>400</v>
      </c>
      <c r="E122" s="279" t="s">
        <v>781</v>
      </c>
      <c r="F122" s="265">
        <v>1500</v>
      </c>
      <c r="G122" s="265">
        <v>1500</v>
      </c>
      <c r="H122" s="266">
        <v>1500</v>
      </c>
      <c r="I122" s="267"/>
      <c r="J122" s="279"/>
      <c r="K122" s="279"/>
      <c r="L122" s="279"/>
      <c r="M122" s="279"/>
      <c r="N122" s="280"/>
    </row>
    <row r="123" spans="1:14" s="253" customFormat="1" ht="16.5">
      <c r="A123" s="242">
        <v>117</v>
      </c>
      <c r="B123" s="276"/>
      <c r="C123" s="277"/>
      <c r="D123" s="281" t="s">
        <v>580</v>
      </c>
      <c r="E123" s="282"/>
      <c r="F123" s="262"/>
      <c r="G123" s="262"/>
      <c r="H123" s="263"/>
      <c r="I123" s="264">
        <f t="shared" si="1"/>
        <v>1500</v>
      </c>
      <c r="J123" s="216"/>
      <c r="K123" s="216"/>
      <c r="L123" s="216"/>
      <c r="M123" s="216"/>
      <c r="N123" s="217">
        <v>1500</v>
      </c>
    </row>
    <row r="124" spans="1:14" s="253" customFormat="1" ht="16.5">
      <c r="A124" s="242">
        <v>118</v>
      </c>
      <c r="B124" s="276"/>
      <c r="C124" s="277"/>
      <c r="D124" s="278" t="s">
        <v>581</v>
      </c>
      <c r="E124" s="279"/>
      <c r="F124" s="265"/>
      <c r="G124" s="265"/>
      <c r="H124" s="266"/>
      <c r="I124" s="267">
        <f t="shared" si="1"/>
        <v>1500</v>
      </c>
      <c r="J124" s="68"/>
      <c r="K124" s="68"/>
      <c r="L124" s="68"/>
      <c r="M124" s="68"/>
      <c r="N124" s="69">
        <v>1500</v>
      </c>
    </row>
    <row r="125" spans="1:14" s="253" customFormat="1" ht="17.25">
      <c r="A125" s="242">
        <v>119</v>
      </c>
      <c r="B125" s="268"/>
      <c r="C125" s="269"/>
      <c r="D125" s="270" t="s">
        <v>579</v>
      </c>
      <c r="E125" s="271"/>
      <c r="F125" s="272"/>
      <c r="G125" s="272"/>
      <c r="H125" s="273"/>
      <c r="I125" s="274">
        <f t="shared" si="1"/>
        <v>1500</v>
      </c>
      <c r="J125" s="272"/>
      <c r="K125" s="272"/>
      <c r="L125" s="272"/>
      <c r="M125" s="272"/>
      <c r="N125" s="275">
        <v>1500</v>
      </c>
    </row>
    <row r="126" spans="1:14" s="253" customFormat="1" ht="19.5" customHeight="1">
      <c r="A126" s="242">
        <v>120</v>
      </c>
      <c r="B126" s="276"/>
      <c r="C126" s="277">
        <v>20</v>
      </c>
      <c r="D126" s="278" t="s">
        <v>411</v>
      </c>
      <c r="E126" s="279" t="s">
        <v>781</v>
      </c>
      <c r="F126" s="265"/>
      <c r="G126" s="265">
        <v>2000</v>
      </c>
      <c r="H126" s="266">
        <v>2000</v>
      </c>
      <c r="I126" s="267"/>
      <c r="J126" s="279"/>
      <c r="K126" s="279"/>
      <c r="L126" s="279"/>
      <c r="M126" s="279"/>
      <c r="N126" s="280"/>
    </row>
    <row r="127" spans="1:14" s="253" customFormat="1" ht="16.5">
      <c r="A127" s="242">
        <v>121</v>
      </c>
      <c r="B127" s="276"/>
      <c r="C127" s="277"/>
      <c r="D127" s="281" t="s">
        <v>580</v>
      </c>
      <c r="E127" s="282"/>
      <c r="F127" s="262"/>
      <c r="G127" s="262"/>
      <c r="H127" s="263"/>
      <c r="I127" s="264">
        <f t="shared" si="1"/>
        <v>2000</v>
      </c>
      <c r="J127" s="216"/>
      <c r="K127" s="216"/>
      <c r="L127" s="216"/>
      <c r="M127" s="216"/>
      <c r="N127" s="217">
        <v>2000</v>
      </c>
    </row>
    <row r="128" spans="1:14" s="253" customFormat="1" ht="16.5">
      <c r="A128" s="242">
        <v>122</v>
      </c>
      <c r="B128" s="276"/>
      <c r="C128" s="277"/>
      <c r="D128" s="278" t="s">
        <v>581</v>
      </c>
      <c r="E128" s="279"/>
      <c r="F128" s="265"/>
      <c r="G128" s="265"/>
      <c r="H128" s="266"/>
      <c r="I128" s="267">
        <f t="shared" si="1"/>
        <v>2000</v>
      </c>
      <c r="J128" s="68"/>
      <c r="K128" s="68"/>
      <c r="L128" s="68"/>
      <c r="M128" s="68"/>
      <c r="N128" s="69">
        <v>2000</v>
      </c>
    </row>
    <row r="129" spans="1:14" s="253" customFormat="1" ht="17.25">
      <c r="A129" s="242">
        <v>123</v>
      </c>
      <c r="B129" s="268"/>
      <c r="C129" s="269"/>
      <c r="D129" s="270" t="s">
        <v>579</v>
      </c>
      <c r="E129" s="271"/>
      <c r="F129" s="272"/>
      <c r="G129" s="272"/>
      <c r="H129" s="273"/>
      <c r="I129" s="274">
        <f t="shared" si="1"/>
        <v>2000</v>
      </c>
      <c r="J129" s="272"/>
      <c r="K129" s="272"/>
      <c r="L129" s="272"/>
      <c r="M129" s="272"/>
      <c r="N129" s="275">
        <v>2000</v>
      </c>
    </row>
    <row r="130" spans="1:14" s="253" customFormat="1" ht="19.5" customHeight="1">
      <c r="A130" s="242">
        <v>124</v>
      </c>
      <c r="B130" s="276"/>
      <c r="C130" s="277">
        <v>21</v>
      </c>
      <c r="D130" s="278" t="s">
        <v>15</v>
      </c>
      <c r="E130" s="279" t="s">
        <v>781</v>
      </c>
      <c r="F130" s="265"/>
      <c r="G130" s="265"/>
      <c r="H130" s="266"/>
      <c r="I130" s="267"/>
      <c r="J130" s="279"/>
      <c r="K130" s="279"/>
      <c r="L130" s="279"/>
      <c r="M130" s="279"/>
      <c r="N130" s="280"/>
    </row>
    <row r="131" spans="1:14" s="253" customFormat="1" ht="16.5">
      <c r="A131" s="242">
        <v>125</v>
      </c>
      <c r="B131" s="276"/>
      <c r="C131" s="277"/>
      <c r="D131" s="281" t="s">
        <v>580</v>
      </c>
      <c r="E131" s="282"/>
      <c r="F131" s="262"/>
      <c r="G131" s="262"/>
      <c r="H131" s="263"/>
      <c r="I131" s="264">
        <f>SUM(J131:N131)</f>
        <v>2000</v>
      </c>
      <c r="J131" s="216"/>
      <c r="K131" s="216"/>
      <c r="L131" s="216"/>
      <c r="M131" s="216"/>
      <c r="N131" s="217">
        <v>2000</v>
      </c>
    </row>
    <row r="132" spans="1:14" s="253" customFormat="1" ht="16.5">
      <c r="A132" s="242">
        <v>126</v>
      </c>
      <c r="B132" s="276"/>
      <c r="C132" s="277"/>
      <c r="D132" s="278" t="s">
        <v>581</v>
      </c>
      <c r="E132" s="279"/>
      <c r="F132" s="265"/>
      <c r="G132" s="265"/>
      <c r="H132" s="266"/>
      <c r="I132" s="267">
        <f>SUM(J132:N132)</f>
        <v>0</v>
      </c>
      <c r="J132" s="68"/>
      <c r="K132" s="68"/>
      <c r="L132" s="68"/>
      <c r="M132" s="68"/>
      <c r="N132" s="69"/>
    </row>
    <row r="133" spans="1:14" s="253" customFormat="1" ht="17.25">
      <c r="A133" s="242">
        <v>127</v>
      </c>
      <c r="B133" s="268"/>
      <c r="C133" s="269"/>
      <c r="D133" s="270" t="s">
        <v>579</v>
      </c>
      <c r="E133" s="271"/>
      <c r="F133" s="272"/>
      <c r="G133" s="272"/>
      <c r="H133" s="273"/>
      <c r="I133" s="274">
        <f>SUM(J133:N133)</f>
        <v>0</v>
      </c>
      <c r="J133" s="272"/>
      <c r="K133" s="272"/>
      <c r="L133" s="272"/>
      <c r="M133" s="272"/>
      <c r="N133" s="275"/>
    </row>
    <row r="134" spans="1:14" s="253" customFormat="1" ht="19.5" customHeight="1">
      <c r="A134" s="242">
        <v>128</v>
      </c>
      <c r="B134" s="276"/>
      <c r="C134" s="277">
        <v>22</v>
      </c>
      <c r="D134" s="278" t="s">
        <v>31</v>
      </c>
      <c r="E134" s="279" t="s">
        <v>781</v>
      </c>
      <c r="F134" s="265"/>
      <c r="G134" s="265"/>
      <c r="H134" s="266"/>
      <c r="I134" s="267"/>
      <c r="J134" s="279"/>
      <c r="K134" s="279"/>
      <c r="L134" s="279"/>
      <c r="M134" s="279"/>
      <c r="N134" s="280"/>
    </row>
    <row r="135" spans="1:14" s="253" customFormat="1" ht="16.5">
      <c r="A135" s="242">
        <v>129</v>
      </c>
      <c r="B135" s="276"/>
      <c r="C135" s="277"/>
      <c r="D135" s="278" t="s">
        <v>581</v>
      </c>
      <c r="E135" s="279"/>
      <c r="F135" s="265"/>
      <c r="G135" s="265"/>
      <c r="H135" s="266"/>
      <c r="I135" s="267">
        <f>SUM(J135:N135)</f>
        <v>2000</v>
      </c>
      <c r="J135" s="68"/>
      <c r="K135" s="68"/>
      <c r="L135" s="68"/>
      <c r="M135" s="68"/>
      <c r="N135" s="69">
        <v>2000</v>
      </c>
    </row>
    <row r="136" spans="1:14" s="253" customFormat="1" ht="17.25">
      <c r="A136" s="242">
        <v>130</v>
      </c>
      <c r="B136" s="268"/>
      <c r="C136" s="269"/>
      <c r="D136" s="270" t="s">
        <v>579</v>
      </c>
      <c r="E136" s="271"/>
      <c r="F136" s="272"/>
      <c r="G136" s="272"/>
      <c r="H136" s="273"/>
      <c r="I136" s="274">
        <f>SUM(J136:N136)</f>
        <v>2000</v>
      </c>
      <c r="J136" s="272"/>
      <c r="K136" s="272"/>
      <c r="L136" s="272"/>
      <c r="M136" s="272"/>
      <c r="N136" s="275">
        <v>2000</v>
      </c>
    </row>
    <row r="137" spans="1:14" s="253" customFormat="1" ht="19.5" customHeight="1">
      <c r="A137" s="242">
        <v>131</v>
      </c>
      <c r="B137" s="276"/>
      <c r="C137" s="277">
        <v>23</v>
      </c>
      <c r="D137" s="278" t="s">
        <v>16</v>
      </c>
      <c r="E137" s="279" t="s">
        <v>781</v>
      </c>
      <c r="F137" s="265"/>
      <c r="G137" s="265"/>
      <c r="H137" s="266"/>
      <c r="I137" s="267"/>
      <c r="J137" s="279"/>
      <c r="K137" s="279"/>
      <c r="L137" s="279"/>
      <c r="M137" s="279"/>
      <c r="N137" s="280"/>
    </row>
    <row r="138" spans="1:14" s="253" customFormat="1" ht="16.5">
      <c r="A138" s="242">
        <v>132</v>
      </c>
      <c r="B138" s="276"/>
      <c r="C138" s="277"/>
      <c r="D138" s="281" t="s">
        <v>580</v>
      </c>
      <c r="E138" s="282"/>
      <c r="F138" s="262"/>
      <c r="G138" s="262"/>
      <c r="H138" s="263"/>
      <c r="I138" s="264">
        <f>SUM(J138:N138)</f>
        <v>2000</v>
      </c>
      <c r="J138" s="216"/>
      <c r="K138" s="216"/>
      <c r="L138" s="216">
        <v>2000</v>
      </c>
      <c r="M138" s="216"/>
      <c r="N138" s="217"/>
    </row>
    <row r="139" spans="1:14" s="253" customFormat="1" ht="16.5">
      <c r="A139" s="242">
        <v>133</v>
      </c>
      <c r="B139" s="276"/>
      <c r="C139" s="277"/>
      <c r="D139" s="278" t="s">
        <v>581</v>
      </c>
      <c r="E139" s="279"/>
      <c r="F139" s="265"/>
      <c r="G139" s="265"/>
      <c r="H139" s="266"/>
      <c r="I139" s="267">
        <f>SUM(J139:N139)</f>
        <v>1982</v>
      </c>
      <c r="J139" s="68"/>
      <c r="K139" s="68"/>
      <c r="L139" s="68">
        <v>0</v>
      </c>
      <c r="M139" s="68"/>
      <c r="N139" s="69">
        <v>1982</v>
      </c>
    </row>
    <row r="140" spans="1:14" s="253" customFormat="1" ht="17.25">
      <c r="A140" s="242">
        <v>134</v>
      </c>
      <c r="B140" s="268"/>
      <c r="C140" s="269"/>
      <c r="D140" s="270" t="s">
        <v>579</v>
      </c>
      <c r="E140" s="271"/>
      <c r="F140" s="272"/>
      <c r="G140" s="272"/>
      <c r="H140" s="273"/>
      <c r="I140" s="274">
        <f>SUM(J140:N140)</f>
        <v>1808</v>
      </c>
      <c r="J140" s="272"/>
      <c r="K140" s="272"/>
      <c r="L140" s="272">
        <v>246</v>
      </c>
      <c r="M140" s="272"/>
      <c r="N140" s="275">
        <v>1562</v>
      </c>
    </row>
    <row r="141" spans="1:14" s="253" customFormat="1" ht="19.5" customHeight="1">
      <c r="A141" s="242">
        <v>135</v>
      </c>
      <c r="B141" s="276"/>
      <c r="C141" s="277">
        <v>24</v>
      </c>
      <c r="D141" s="278" t="s">
        <v>460</v>
      </c>
      <c r="E141" s="279" t="s">
        <v>781</v>
      </c>
      <c r="F141" s="265">
        <v>209038</v>
      </c>
      <c r="G141" s="265">
        <v>213000</v>
      </c>
      <c r="H141" s="266">
        <v>206719</v>
      </c>
      <c r="I141" s="267"/>
      <c r="J141" s="279"/>
      <c r="K141" s="279"/>
      <c r="L141" s="279"/>
      <c r="M141" s="279"/>
      <c r="N141" s="280"/>
    </row>
    <row r="142" spans="1:14" s="253" customFormat="1" ht="16.5">
      <c r="A142" s="242">
        <v>136</v>
      </c>
      <c r="B142" s="276"/>
      <c r="C142" s="277"/>
      <c r="D142" s="281" t="s">
        <v>580</v>
      </c>
      <c r="E142" s="282"/>
      <c r="F142" s="262"/>
      <c r="G142" s="262"/>
      <c r="H142" s="263"/>
      <c r="I142" s="264">
        <f t="shared" si="1"/>
        <v>213500</v>
      </c>
      <c r="J142" s="216">
        <v>345</v>
      </c>
      <c r="K142" s="216">
        <v>93</v>
      </c>
      <c r="L142" s="216">
        <v>59590</v>
      </c>
      <c r="M142" s="216"/>
      <c r="N142" s="217">
        <v>153472</v>
      </c>
    </row>
    <row r="143" spans="1:14" s="253" customFormat="1" ht="16.5">
      <c r="A143" s="242">
        <v>137</v>
      </c>
      <c r="B143" s="276"/>
      <c r="C143" s="277"/>
      <c r="D143" s="278" t="s">
        <v>581</v>
      </c>
      <c r="E143" s="279"/>
      <c r="F143" s="265"/>
      <c r="G143" s="265"/>
      <c r="H143" s="266"/>
      <c r="I143" s="267">
        <f t="shared" si="1"/>
        <v>215577</v>
      </c>
      <c r="J143" s="68">
        <v>345</v>
      </c>
      <c r="K143" s="68">
        <v>93</v>
      </c>
      <c r="L143" s="68">
        <v>59590</v>
      </c>
      <c r="M143" s="68"/>
      <c r="N143" s="69">
        <v>155549</v>
      </c>
    </row>
    <row r="144" spans="1:14" s="253" customFormat="1" ht="17.25">
      <c r="A144" s="242">
        <v>138</v>
      </c>
      <c r="B144" s="268"/>
      <c r="C144" s="269"/>
      <c r="D144" s="270" t="s">
        <v>579</v>
      </c>
      <c r="E144" s="271"/>
      <c r="F144" s="272"/>
      <c r="G144" s="272"/>
      <c r="H144" s="273"/>
      <c r="I144" s="274">
        <f t="shared" si="1"/>
        <v>212120</v>
      </c>
      <c r="J144" s="272">
        <v>24</v>
      </c>
      <c r="K144" s="272">
        <v>3</v>
      </c>
      <c r="L144" s="272">
        <v>59582</v>
      </c>
      <c r="M144" s="272"/>
      <c r="N144" s="275">
        <v>152511</v>
      </c>
    </row>
    <row r="145" spans="1:14" s="253" customFormat="1" ht="19.5" customHeight="1">
      <c r="A145" s="242">
        <v>139</v>
      </c>
      <c r="B145" s="276"/>
      <c r="C145" s="277">
        <v>25</v>
      </c>
      <c r="D145" s="278" t="s">
        <v>461</v>
      </c>
      <c r="E145" s="279" t="s">
        <v>815</v>
      </c>
      <c r="F145" s="265">
        <v>13000</v>
      </c>
      <c r="G145" s="265">
        <v>13600</v>
      </c>
      <c r="H145" s="266">
        <v>13500</v>
      </c>
      <c r="I145" s="267"/>
      <c r="J145" s="279"/>
      <c r="K145" s="279"/>
      <c r="L145" s="279"/>
      <c r="M145" s="279"/>
      <c r="N145" s="280"/>
    </row>
    <row r="146" spans="1:15" s="253" customFormat="1" ht="16.5">
      <c r="A146" s="242">
        <v>140</v>
      </c>
      <c r="B146" s="276"/>
      <c r="C146" s="277"/>
      <c r="D146" s="281" t="s">
        <v>580</v>
      </c>
      <c r="E146" s="282"/>
      <c r="F146" s="262"/>
      <c r="G146" s="262"/>
      <c r="H146" s="263"/>
      <c r="I146" s="264">
        <f t="shared" si="1"/>
        <v>13600</v>
      </c>
      <c r="J146" s="216"/>
      <c r="K146" s="216"/>
      <c r="L146" s="216">
        <v>13000</v>
      </c>
      <c r="M146" s="216"/>
      <c r="N146" s="217">
        <v>600</v>
      </c>
      <c r="O146" s="253">
        <f>SUM(L140,L144)</f>
        <v>59828</v>
      </c>
    </row>
    <row r="147" spans="1:14" s="253" customFormat="1" ht="16.5">
      <c r="A147" s="242">
        <v>141</v>
      </c>
      <c r="B147" s="276"/>
      <c r="C147" s="277"/>
      <c r="D147" s="278" t="s">
        <v>581</v>
      </c>
      <c r="E147" s="279"/>
      <c r="F147" s="265"/>
      <c r="G147" s="265"/>
      <c r="H147" s="266"/>
      <c r="I147" s="267">
        <f t="shared" si="1"/>
        <v>13700</v>
      </c>
      <c r="J147" s="68"/>
      <c r="K147" s="68"/>
      <c r="L147" s="68">
        <v>13100</v>
      </c>
      <c r="M147" s="68"/>
      <c r="N147" s="69">
        <v>600</v>
      </c>
    </row>
    <row r="148" spans="1:14" s="253" customFormat="1" ht="17.25">
      <c r="A148" s="242">
        <v>142</v>
      </c>
      <c r="B148" s="268"/>
      <c r="C148" s="269"/>
      <c r="D148" s="270" t="s">
        <v>579</v>
      </c>
      <c r="E148" s="271"/>
      <c r="F148" s="272"/>
      <c r="G148" s="272"/>
      <c r="H148" s="273"/>
      <c r="I148" s="274">
        <f t="shared" si="1"/>
        <v>13000</v>
      </c>
      <c r="J148" s="272"/>
      <c r="K148" s="272"/>
      <c r="L148" s="272">
        <v>13000</v>
      </c>
      <c r="M148" s="272"/>
      <c r="N148" s="275"/>
    </row>
    <row r="149" spans="1:14" s="253" customFormat="1" ht="22.5" customHeight="1">
      <c r="A149" s="242">
        <v>143</v>
      </c>
      <c r="B149" s="276"/>
      <c r="C149" s="277">
        <v>26</v>
      </c>
      <c r="D149" s="278" t="s">
        <v>462</v>
      </c>
      <c r="E149" s="279" t="s">
        <v>815</v>
      </c>
      <c r="F149" s="265">
        <v>2076</v>
      </c>
      <c r="G149" s="265">
        <v>4000</v>
      </c>
      <c r="H149" s="266">
        <v>5898</v>
      </c>
      <c r="I149" s="267"/>
      <c r="J149" s="279"/>
      <c r="K149" s="279"/>
      <c r="L149" s="279"/>
      <c r="M149" s="279"/>
      <c r="N149" s="280"/>
    </row>
    <row r="150" spans="1:14" s="253" customFormat="1" ht="16.5">
      <c r="A150" s="242">
        <v>144</v>
      </c>
      <c r="B150" s="276"/>
      <c r="C150" s="277"/>
      <c r="D150" s="281" t="s">
        <v>580</v>
      </c>
      <c r="E150" s="282"/>
      <c r="F150" s="262"/>
      <c r="G150" s="262"/>
      <c r="H150" s="263"/>
      <c r="I150" s="264">
        <f t="shared" si="1"/>
        <v>4000</v>
      </c>
      <c r="J150" s="216">
        <v>100</v>
      </c>
      <c r="K150" s="216">
        <v>77</v>
      </c>
      <c r="L150" s="216">
        <v>3823</v>
      </c>
      <c r="M150" s="216"/>
      <c r="N150" s="217"/>
    </row>
    <row r="151" spans="1:14" s="253" customFormat="1" ht="16.5">
      <c r="A151" s="242">
        <v>145</v>
      </c>
      <c r="B151" s="276"/>
      <c r="C151" s="277"/>
      <c r="D151" s="278" t="s">
        <v>581</v>
      </c>
      <c r="E151" s="279"/>
      <c r="F151" s="265"/>
      <c r="G151" s="265"/>
      <c r="H151" s="266"/>
      <c r="I151" s="267">
        <f t="shared" si="1"/>
        <v>5102</v>
      </c>
      <c r="J151" s="68">
        <v>100</v>
      </c>
      <c r="K151" s="68">
        <v>77</v>
      </c>
      <c r="L151" s="68">
        <v>4925</v>
      </c>
      <c r="M151" s="68"/>
      <c r="N151" s="69"/>
    </row>
    <row r="152" spans="1:14" s="253" customFormat="1" ht="17.25">
      <c r="A152" s="242">
        <v>146</v>
      </c>
      <c r="B152" s="268"/>
      <c r="C152" s="269"/>
      <c r="D152" s="270" t="s">
        <v>579</v>
      </c>
      <c r="E152" s="271"/>
      <c r="F152" s="272"/>
      <c r="G152" s="272"/>
      <c r="H152" s="273"/>
      <c r="I152" s="274">
        <f t="shared" si="1"/>
        <v>2867</v>
      </c>
      <c r="J152" s="272">
        <v>53</v>
      </c>
      <c r="K152" s="272">
        <v>34</v>
      </c>
      <c r="L152" s="272">
        <v>2780</v>
      </c>
      <c r="M152" s="272"/>
      <c r="N152" s="275"/>
    </row>
    <row r="153" spans="1:14" s="253" customFormat="1" ht="22.5" customHeight="1">
      <c r="A153" s="242">
        <v>147</v>
      </c>
      <c r="B153" s="276"/>
      <c r="C153" s="277">
        <v>27</v>
      </c>
      <c r="D153" s="278" t="s">
        <v>463</v>
      </c>
      <c r="E153" s="279" t="s">
        <v>815</v>
      </c>
      <c r="F153" s="265">
        <v>940</v>
      </c>
      <c r="G153" s="265">
        <v>2000</v>
      </c>
      <c r="H153" s="266">
        <v>1587</v>
      </c>
      <c r="I153" s="267"/>
      <c r="J153" s="279"/>
      <c r="K153" s="279"/>
      <c r="L153" s="279"/>
      <c r="M153" s="279"/>
      <c r="N153" s="280"/>
    </row>
    <row r="154" spans="1:14" s="253" customFormat="1" ht="16.5">
      <c r="A154" s="242">
        <v>148</v>
      </c>
      <c r="B154" s="276"/>
      <c r="C154" s="277"/>
      <c r="D154" s="281" t="s">
        <v>580</v>
      </c>
      <c r="E154" s="282"/>
      <c r="F154" s="262"/>
      <c r="G154" s="262"/>
      <c r="H154" s="263"/>
      <c r="I154" s="264">
        <f t="shared" si="1"/>
        <v>2000</v>
      </c>
      <c r="J154" s="216"/>
      <c r="K154" s="216"/>
      <c r="L154" s="216">
        <v>2000</v>
      </c>
      <c r="M154" s="216"/>
      <c r="N154" s="217"/>
    </row>
    <row r="155" spans="1:14" s="253" customFormat="1" ht="16.5">
      <c r="A155" s="242">
        <v>149</v>
      </c>
      <c r="B155" s="276"/>
      <c r="C155" s="277"/>
      <c r="D155" s="278" t="s">
        <v>581</v>
      </c>
      <c r="E155" s="279"/>
      <c r="F155" s="265"/>
      <c r="G155" s="265"/>
      <c r="H155" s="266"/>
      <c r="I155" s="267">
        <f t="shared" si="1"/>
        <v>3093</v>
      </c>
      <c r="J155" s="68"/>
      <c r="K155" s="68"/>
      <c r="L155" s="68">
        <v>3093</v>
      </c>
      <c r="M155" s="68"/>
      <c r="N155" s="69"/>
    </row>
    <row r="156" spans="1:14" s="253" customFormat="1" ht="17.25">
      <c r="A156" s="242">
        <v>150</v>
      </c>
      <c r="B156" s="268"/>
      <c r="C156" s="269"/>
      <c r="D156" s="270" t="s">
        <v>579</v>
      </c>
      <c r="E156" s="271"/>
      <c r="F156" s="272"/>
      <c r="G156" s="272"/>
      <c r="H156" s="273"/>
      <c r="I156" s="274">
        <f t="shared" si="1"/>
        <v>1288</v>
      </c>
      <c r="J156" s="272"/>
      <c r="K156" s="272"/>
      <c r="L156" s="272">
        <v>1288</v>
      </c>
      <c r="M156" s="272"/>
      <c r="N156" s="275"/>
    </row>
    <row r="157" spans="1:14" s="253" customFormat="1" ht="22.5" customHeight="1">
      <c r="A157" s="242">
        <v>151</v>
      </c>
      <c r="B157" s="276"/>
      <c r="C157" s="277">
        <v>28</v>
      </c>
      <c r="D157" s="278" t="s">
        <v>660</v>
      </c>
      <c r="E157" s="279" t="s">
        <v>781</v>
      </c>
      <c r="F157" s="265">
        <v>24833</v>
      </c>
      <c r="G157" s="265">
        <v>25000</v>
      </c>
      <c r="H157" s="266">
        <v>22917</v>
      </c>
      <c r="I157" s="267"/>
      <c r="J157" s="279"/>
      <c r="K157" s="279"/>
      <c r="L157" s="279"/>
      <c r="M157" s="279"/>
      <c r="N157" s="280"/>
    </row>
    <row r="158" spans="1:14" s="253" customFormat="1" ht="16.5">
      <c r="A158" s="242">
        <v>152</v>
      </c>
      <c r="B158" s="276"/>
      <c r="C158" s="277"/>
      <c r="D158" s="281" t="s">
        <v>580</v>
      </c>
      <c r="E158" s="282"/>
      <c r="F158" s="262"/>
      <c r="G158" s="262"/>
      <c r="H158" s="263"/>
      <c r="I158" s="264">
        <f aca="true" t="shared" si="3" ref="I158:I216">SUM(J158:N158)</f>
        <v>25000</v>
      </c>
      <c r="J158" s="216"/>
      <c r="K158" s="216"/>
      <c r="L158" s="216">
        <v>25000</v>
      </c>
      <c r="M158" s="216"/>
      <c r="N158" s="217"/>
    </row>
    <row r="159" spans="1:14" s="253" customFormat="1" ht="16.5">
      <c r="A159" s="242">
        <v>153</v>
      </c>
      <c r="B159" s="276"/>
      <c r="C159" s="277"/>
      <c r="D159" s="278" t="s">
        <v>581</v>
      </c>
      <c r="E159" s="279"/>
      <c r="F159" s="265"/>
      <c r="G159" s="265"/>
      <c r="H159" s="266"/>
      <c r="I159" s="267">
        <f t="shared" si="3"/>
        <v>27083</v>
      </c>
      <c r="J159" s="68"/>
      <c r="K159" s="68"/>
      <c r="L159" s="68">
        <v>27083</v>
      </c>
      <c r="M159" s="68"/>
      <c r="N159" s="69"/>
    </row>
    <row r="160" spans="1:14" s="253" customFormat="1" ht="17.25">
      <c r="A160" s="242">
        <v>154</v>
      </c>
      <c r="B160" s="268"/>
      <c r="C160" s="269"/>
      <c r="D160" s="270" t="s">
        <v>579</v>
      </c>
      <c r="E160" s="271"/>
      <c r="F160" s="272"/>
      <c r="G160" s="272"/>
      <c r="H160" s="273"/>
      <c r="I160" s="274">
        <f t="shared" si="3"/>
        <v>24959</v>
      </c>
      <c r="J160" s="272"/>
      <c r="K160" s="272"/>
      <c r="L160" s="272">
        <v>24959</v>
      </c>
      <c r="M160" s="272"/>
      <c r="N160" s="275"/>
    </row>
    <row r="161" spans="1:14" s="253" customFormat="1" ht="22.5" customHeight="1">
      <c r="A161" s="242">
        <v>155</v>
      </c>
      <c r="B161" s="276"/>
      <c r="C161" s="277">
        <v>29</v>
      </c>
      <c r="D161" s="278" t="s">
        <v>473</v>
      </c>
      <c r="E161" s="279" t="s">
        <v>781</v>
      </c>
      <c r="F161" s="265"/>
      <c r="G161" s="265">
        <v>2000</v>
      </c>
      <c r="H161" s="266"/>
      <c r="I161" s="267"/>
      <c r="J161" s="279"/>
      <c r="K161" s="279"/>
      <c r="L161" s="279"/>
      <c r="M161" s="279"/>
      <c r="N161" s="280"/>
    </row>
    <row r="162" spans="1:14" s="253" customFormat="1" ht="16.5">
      <c r="A162" s="242">
        <v>156</v>
      </c>
      <c r="B162" s="276"/>
      <c r="C162" s="277"/>
      <c r="D162" s="281" t="s">
        <v>580</v>
      </c>
      <c r="E162" s="282"/>
      <c r="F162" s="262"/>
      <c r="G162" s="262"/>
      <c r="H162" s="263"/>
      <c r="I162" s="264">
        <f t="shared" si="3"/>
        <v>3000</v>
      </c>
      <c r="J162" s="216"/>
      <c r="K162" s="216"/>
      <c r="L162" s="216">
        <v>2000</v>
      </c>
      <c r="M162" s="216"/>
      <c r="N162" s="217">
        <v>1000</v>
      </c>
    </row>
    <row r="163" spans="1:14" s="253" customFormat="1" ht="16.5">
      <c r="A163" s="242">
        <v>157</v>
      </c>
      <c r="B163" s="276"/>
      <c r="C163" s="277"/>
      <c r="D163" s="278" t="s">
        <v>581</v>
      </c>
      <c r="E163" s="279"/>
      <c r="F163" s="265"/>
      <c r="G163" s="265"/>
      <c r="H163" s="266"/>
      <c r="I163" s="267">
        <f t="shared" si="3"/>
        <v>2187</v>
      </c>
      <c r="J163" s="68"/>
      <c r="K163" s="68"/>
      <c r="L163" s="68">
        <v>2137</v>
      </c>
      <c r="M163" s="68"/>
      <c r="N163" s="69">
        <v>50</v>
      </c>
    </row>
    <row r="164" spans="1:14" s="253" customFormat="1" ht="17.25">
      <c r="A164" s="242">
        <v>158</v>
      </c>
      <c r="B164" s="268"/>
      <c r="C164" s="269"/>
      <c r="D164" s="270" t="s">
        <v>579</v>
      </c>
      <c r="E164" s="271"/>
      <c r="F164" s="272"/>
      <c r="G164" s="272"/>
      <c r="H164" s="273"/>
      <c r="I164" s="274">
        <f t="shared" si="3"/>
        <v>1967</v>
      </c>
      <c r="J164" s="272"/>
      <c r="K164" s="272"/>
      <c r="L164" s="272">
        <v>1917</v>
      </c>
      <c r="M164" s="272"/>
      <c r="N164" s="275">
        <v>50</v>
      </c>
    </row>
    <row r="165" spans="1:14" s="253" customFormat="1" ht="25.5" customHeight="1">
      <c r="A165" s="242">
        <v>159</v>
      </c>
      <c r="B165" s="276"/>
      <c r="C165" s="277">
        <v>30</v>
      </c>
      <c r="D165" s="278" t="s">
        <v>475</v>
      </c>
      <c r="E165" s="279" t="s">
        <v>781</v>
      </c>
      <c r="F165" s="265">
        <f>SUM(F169:F185)</f>
        <v>6740</v>
      </c>
      <c r="G165" s="265">
        <f>SUM(G169:G185)</f>
        <v>10500</v>
      </c>
      <c r="H165" s="266">
        <f>SUM(H169:H185)</f>
        <v>8250</v>
      </c>
      <c r="I165" s="267"/>
      <c r="J165" s="279"/>
      <c r="K165" s="279"/>
      <c r="L165" s="279"/>
      <c r="M165" s="279"/>
      <c r="N165" s="280"/>
    </row>
    <row r="166" spans="1:14" s="253" customFormat="1" ht="16.5">
      <c r="A166" s="242">
        <v>160</v>
      </c>
      <c r="B166" s="276"/>
      <c r="C166" s="277"/>
      <c r="D166" s="281" t="s">
        <v>580</v>
      </c>
      <c r="E166" s="282"/>
      <c r="F166" s="262"/>
      <c r="G166" s="262"/>
      <c r="H166" s="263"/>
      <c r="I166" s="264">
        <f t="shared" si="3"/>
        <v>10000</v>
      </c>
      <c r="J166" s="262">
        <f aca="true" t="shared" si="4" ref="J166:N167">SUM(J170,J174,J178,J182,J186)</f>
        <v>0</v>
      </c>
      <c r="K166" s="262">
        <f t="shared" si="4"/>
        <v>0</v>
      </c>
      <c r="L166" s="262">
        <f t="shared" si="4"/>
        <v>2000</v>
      </c>
      <c r="M166" s="262">
        <f t="shared" si="4"/>
        <v>0</v>
      </c>
      <c r="N166" s="283">
        <f t="shared" si="4"/>
        <v>8000</v>
      </c>
    </row>
    <row r="167" spans="1:14" s="304" customFormat="1" ht="16.5">
      <c r="A167" s="242">
        <v>161</v>
      </c>
      <c r="B167" s="276"/>
      <c r="C167" s="277"/>
      <c r="D167" s="278" t="s">
        <v>581</v>
      </c>
      <c r="E167" s="279"/>
      <c r="F167" s="265"/>
      <c r="G167" s="265"/>
      <c r="H167" s="266"/>
      <c r="I167" s="267">
        <f t="shared" si="3"/>
        <v>7810</v>
      </c>
      <c r="J167" s="265">
        <f t="shared" si="4"/>
        <v>0</v>
      </c>
      <c r="K167" s="265">
        <f t="shared" si="4"/>
        <v>0</v>
      </c>
      <c r="L167" s="265">
        <f t="shared" si="4"/>
        <v>2000</v>
      </c>
      <c r="M167" s="265">
        <f t="shared" si="4"/>
        <v>0</v>
      </c>
      <c r="N167" s="284">
        <f t="shared" si="4"/>
        <v>5810</v>
      </c>
    </row>
    <row r="168" spans="1:14" ht="17.25">
      <c r="A168" s="242">
        <v>162</v>
      </c>
      <c r="B168" s="268"/>
      <c r="C168" s="269"/>
      <c r="D168" s="270" t="s">
        <v>579</v>
      </c>
      <c r="E168" s="271"/>
      <c r="F168" s="272"/>
      <c r="G168" s="272"/>
      <c r="H168" s="273"/>
      <c r="I168" s="274">
        <f t="shared" si="3"/>
        <v>7440</v>
      </c>
      <c r="J168" s="272">
        <f>SUM(J172,J176,J180,J184,J188)</f>
        <v>0</v>
      </c>
      <c r="K168" s="272">
        <f>SUM(K172,K176,K180,K184,K188)</f>
        <v>0</v>
      </c>
      <c r="L168" s="272">
        <f>SUM(L172,L176,L180,L184,L188)</f>
        <v>1750</v>
      </c>
      <c r="M168" s="272">
        <f>SUM(M172,M176,M180,M184,M188)</f>
        <v>0</v>
      </c>
      <c r="N168" s="275">
        <f>SUM(N172,N176,N180,N184,N188)</f>
        <v>5690</v>
      </c>
    </row>
    <row r="169" spans="1:14" ht="17.25">
      <c r="A169" s="242">
        <v>163</v>
      </c>
      <c r="B169" s="276"/>
      <c r="C169" s="277"/>
      <c r="D169" s="302" t="s">
        <v>538</v>
      </c>
      <c r="E169" s="286"/>
      <c r="F169" s="287"/>
      <c r="G169" s="287">
        <v>2500</v>
      </c>
      <c r="H169" s="288"/>
      <c r="I169" s="289"/>
      <c r="J169" s="218"/>
      <c r="K169" s="218"/>
      <c r="L169" s="218"/>
      <c r="M169" s="218"/>
      <c r="N169" s="219"/>
    </row>
    <row r="170" spans="1:14" s="305" customFormat="1" ht="17.25">
      <c r="A170" s="242">
        <v>164</v>
      </c>
      <c r="B170" s="276"/>
      <c r="C170" s="277"/>
      <c r="D170" s="290" t="s">
        <v>580</v>
      </c>
      <c r="E170" s="282"/>
      <c r="F170" s="262"/>
      <c r="G170" s="262"/>
      <c r="H170" s="263"/>
      <c r="I170" s="294">
        <f t="shared" si="3"/>
        <v>2500</v>
      </c>
      <c r="J170" s="220"/>
      <c r="K170" s="220"/>
      <c r="L170" s="220"/>
      <c r="M170" s="220"/>
      <c r="N170" s="221">
        <v>2500</v>
      </c>
    </row>
    <row r="171" spans="1:14" s="305" customFormat="1" ht="17.25">
      <c r="A171" s="242">
        <v>165</v>
      </c>
      <c r="B171" s="276"/>
      <c r="C171" s="277"/>
      <c r="D171" s="295" t="s">
        <v>581</v>
      </c>
      <c r="E171" s="279"/>
      <c r="F171" s="265"/>
      <c r="G171" s="265"/>
      <c r="H171" s="266"/>
      <c r="I171" s="289">
        <f t="shared" si="3"/>
        <v>0</v>
      </c>
      <c r="J171" s="218"/>
      <c r="K171" s="218"/>
      <c r="L171" s="218"/>
      <c r="M171" s="218"/>
      <c r="N171" s="219"/>
    </row>
    <row r="172" spans="1:14" s="305" customFormat="1" ht="17.25">
      <c r="A172" s="242">
        <v>166</v>
      </c>
      <c r="B172" s="268"/>
      <c r="C172" s="269"/>
      <c r="D172" s="303" t="s">
        <v>579</v>
      </c>
      <c r="E172" s="297"/>
      <c r="F172" s="298"/>
      <c r="G172" s="298"/>
      <c r="H172" s="299"/>
      <c r="I172" s="300">
        <f t="shared" si="3"/>
        <v>0</v>
      </c>
      <c r="J172" s="298"/>
      <c r="K172" s="298"/>
      <c r="L172" s="298"/>
      <c r="M172" s="298"/>
      <c r="N172" s="301"/>
    </row>
    <row r="173" spans="1:14" ht="17.25">
      <c r="A173" s="242">
        <v>167</v>
      </c>
      <c r="B173" s="276"/>
      <c r="C173" s="277"/>
      <c r="D173" s="302" t="s">
        <v>585</v>
      </c>
      <c r="E173" s="286"/>
      <c r="F173" s="287">
        <v>5240</v>
      </c>
      <c r="G173" s="287">
        <v>6000</v>
      </c>
      <c r="H173" s="288">
        <v>6250</v>
      </c>
      <c r="I173" s="289"/>
      <c r="J173" s="218"/>
      <c r="K173" s="218"/>
      <c r="L173" s="218"/>
      <c r="M173" s="218"/>
      <c r="N173" s="219"/>
    </row>
    <row r="174" spans="1:14" ht="17.25">
      <c r="A174" s="242">
        <v>168</v>
      </c>
      <c r="B174" s="276"/>
      <c r="C174" s="277"/>
      <c r="D174" s="290" t="s">
        <v>580</v>
      </c>
      <c r="E174" s="282"/>
      <c r="F174" s="262"/>
      <c r="G174" s="262"/>
      <c r="H174" s="263"/>
      <c r="I174" s="294">
        <f t="shared" si="3"/>
        <v>5000</v>
      </c>
      <c r="J174" s="220"/>
      <c r="K174" s="220"/>
      <c r="L174" s="220"/>
      <c r="M174" s="220"/>
      <c r="N174" s="221">
        <v>5000</v>
      </c>
    </row>
    <row r="175" spans="1:14" ht="17.25">
      <c r="A175" s="242">
        <v>169</v>
      </c>
      <c r="B175" s="276"/>
      <c r="C175" s="277"/>
      <c r="D175" s="295" t="s">
        <v>581</v>
      </c>
      <c r="E175" s="279"/>
      <c r="F175" s="265"/>
      <c r="G175" s="265"/>
      <c r="H175" s="266"/>
      <c r="I175" s="289">
        <f t="shared" si="3"/>
        <v>5310</v>
      </c>
      <c r="J175" s="218"/>
      <c r="K175" s="218"/>
      <c r="L175" s="218"/>
      <c r="M175" s="218"/>
      <c r="N175" s="219">
        <v>5310</v>
      </c>
    </row>
    <row r="176" spans="1:14" ht="17.25">
      <c r="A176" s="242">
        <v>170</v>
      </c>
      <c r="B176" s="268"/>
      <c r="C176" s="269"/>
      <c r="D176" s="303" t="s">
        <v>579</v>
      </c>
      <c r="E176" s="297"/>
      <c r="F176" s="298"/>
      <c r="G176" s="298"/>
      <c r="H176" s="299"/>
      <c r="I176" s="300">
        <f>SUM(J176:M176)+N176</f>
        <v>5190</v>
      </c>
      <c r="J176" s="298"/>
      <c r="K176" s="298"/>
      <c r="L176" s="298"/>
      <c r="M176" s="298"/>
      <c r="N176" s="301">
        <v>5190</v>
      </c>
    </row>
    <row r="177" spans="1:14" ht="17.25">
      <c r="A177" s="242">
        <v>171</v>
      </c>
      <c r="B177" s="276"/>
      <c r="C177" s="277"/>
      <c r="D177" s="302" t="s">
        <v>586</v>
      </c>
      <c r="E177" s="286"/>
      <c r="F177" s="287">
        <v>500</v>
      </c>
      <c r="G177" s="287">
        <v>500</v>
      </c>
      <c r="H177" s="288">
        <v>500</v>
      </c>
      <c r="I177" s="289"/>
      <c r="J177" s="218"/>
      <c r="K177" s="218"/>
      <c r="L177" s="218"/>
      <c r="M177" s="218"/>
      <c r="N177" s="219"/>
    </row>
    <row r="178" spans="1:14" ht="17.25">
      <c r="A178" s="242">
        <v>172</v>
      </c>
      <c r="B178" s="276"/>
      <c r="C178" s="277"/>
      <c r="D178" s="290" t="s">
        <v>580</v>
      </c>
      <c r="E178" s="282"/>
      <c r="F178" s="262"/>
      <c r="G178" s="262"/>
      <c r="H178" s="263"/>
      <c r="I178" s="294">
        <f t="shared" si="3"/>
        <v>500</v>
      </c>
      <c r="J178" s="220"/>
      <c r="K178" s="220"/>
      <c r="L178" s="220">
        <v>500</v>
      </c>
      <c r="M178" s="220"/>
      <c r="N178" s="221"/>
    </row>
    <row r="179" spans="1:14" ht="17.25">
      <c r="A179" s="242">
        <v>173</v>
      </c>
      <c r="B179" s="276"/>
      <c r="C179" s="277"/>
      <c r="D179" s="295" t="s">
        <v>581</v>
      </c>
      <c r="E179" s="279"/>
      <c r="F179" s="265"/>
      <c r="G179" s="265"/>
      <c r="H179" s="266"/>
      <c r="I179" s="289">
        <f t="shared" si="3"/>
        <v>500</v>
      </c>
      <c r="J179" s="218"/>
      <c r="K179" s="218"/>
      <c r="L179" s="218">
        <v>500</v>
      </c>
      <c r="M179" s="218"/>
      <c r="N179" s="219"/>
    </row>
    <row r="180" spans="1:14" ht="17.25">
      <c r="A180" s="242">
        <v>174</v>
      </c>
      <c r="B180" s="268"/>
      <c r="C180" s="269"/>
      <c r="D180" s="303" t="s">
        <v>579</v>
      </c>
      <c r="E180" s="297"/>
      <c r="F180" s="298"/>
      <c r="G180" s="298"/>
      <c r="H180" s="299"/>
      <c r="I180" s="300">
        <f t="shared" si="3"/>
        <v>250</v>
      </c>
      <c r="J180" s="298"/>
      <c r="K180" s="298"/>
      <c r="L180" s="298">
        <v>250</v>
      </c>
      <c r="M180" s="298"/>
      <c r="N180" s="301"/>
    </row>
    <row r="181" spans="1:14" ht="17.25">
      <c r="A181" s="242">
        <v>175</v>
      </c>
      <c r="B181" s="276"/>
      <c r="C181" s="277"/>
      <c r="D181" s="302" t="s">
        <v>587</v>
      </c>
      <c r="E181" s="286"/>
      <c r="F181" s="287"/>
      <c r="G181" s="287">
        <v>500</v>
      </c>
      <c r="H181" s="288">
        <v>500</v>
      </c>
      <c r="I181" s="289"/>
      <c r="J181" s="218"/>
      <c r="K181" s="218"/>
      <c r="L181" s="218"/>
      <c r="M181" s="218"/>
      <c r="N181" s="219"/>
    </row>
    <row r="182" spans="1:14" ht="17.25">
      <c r="A182" s="242">
        <v>176</v>
      </c>
      <c r="B182" s="276"/>
      <c r="C182" s="277"/>
      <c r="D182" s="290" t="s">
        <v>580</v>
      </c>
      <c r="E182" s="282"/>
      <c r="F182" s="262"/>
      <c r="G182" s="262"/>
      <c r="H182" s="263"/>
      <c r="I182" s="294">
        <f t="shared" si="3"/>
        <v>500</v>
      </c>
      <c r="J182" s="220"/>
      <c r="K182" s="220"/>
      <c r="L182" s="220"/>
      <c r="M182" s="220"/>
      <c r="N182" s="221">
        <v>500</v>
      </c>
    </row>
    <row r="183" spans="1:14" ht="17.25">
      <c r="A183" s="242">
        <v>177</v>
      </c>
      <c r="B183" s="276"/>
      <c r="C183" s="277"/>
      <c r="D183" s="295" t="s">
        <v>581</v>
      </c>
      <c r="E183" s="279"/>
      <c r="F183" s="265"/>
      <c r="G183" s="265"/>
      <c r="H183" s="266"/>
      <c r="I183" s="289">
        <f t="shared" si="3"/>
        <v>500</v>
      </c>
      <c r="J183" s="218"/>
      <c r="K183" s="218"/>
      <c r="L183" s="218"/>
      <c r="M183" s="218"/>
      <c r="N183" s="219">
        <v>500</v>
      </c>
    </row>
    <row r="184" spans="1:14" ht="17.25">
      <c r="A184" s="242">
        <v>178</v>
      </c>
      <c r="B184" s="268"/>
      <c r="C184" s="269"/>
      <c r="D184" s="303" t="s">
        <v>579</v>
      </c>
      <c r="E184" s="297"/>
      <c r="F184" s="298"/>
      <c r="G184" s="298"/>
      <c r="H184" s="299"/>
      <c r="I184" s="300">
        <f t="shared" si="3"/>
        <v>500</v>
      </c>
      <c r="J184" s="298"/>
      <c r="K184" s="298"/>
      <c r="L184" s="298"/>
      <c r="M184" s="298"/>
      <c r="N184" s="301">
        <v>500</v>
      </c>
    </row>
    <row r="185" spans="1:14" ht="17.25">
      <c r="A185" s="242">
        <v>179</v>
      </c>
      <c r="B185" s="276"/>
      <c r="C185" s="277"/>
      <c r="D185" s="302" t="s">
        <v>588</v>
      </c>
      <c r="E185" s="286"/>
      <c r="F185" s="287">
        <v>1000</v>
      </c>
      <c r="G185" s="287">
        <v>1000</v>
      </c>
      <c r="H185" s="288">
        <v>1000</v>
      </c>
      <c r="I185" s="289"/>
      <c r="J185" s="218"/>
      <c r="K185" s="218"/>
      <c r="L185" s="218"/>
      <c r="M185" s="218"/>
      <c r="N185" s="219"/>
    </row>
    <row r="186" spans="1:14" ht="17.25">
      <c r="A186" s="242">
        <v>180</v>
      </c>
      <c r="B186" s="276"/>
      <c r="C186" s="277"/>
      <c r="D186" s="290" t="s">
        <v>580</v>
      </c>
      <c r="E186" s="282"/>
      <c r="F186" s="262"/>
      <c r="G186" s="262"/>
      <c r="H186" s="263"/>
      <c r="I186" s="294">
        <f t="shared" si="3"/>
        <v>1500</v>
      </c>
      <c r="J186" s="220"/>
      <c r="K186" s="220"/>
      <c r="L186" s="220">
        <v>1500</v>
      </c>
      <c r="M186" s="220"/>
      <c r="N186" s="221"/>
    </row>
    <row r="187" spans="1:14" ht="17.25">
      <c r="A187" s="242">
        <v>181</v>
      </c>
      <c r="B187" s="276"/>
      <c r="C187" s="277"/>
      <c r="D187" s="295" t="s">
        <v>581</v>
      </c>
      <c r="E187" s="279"/>
      <c r="F187" s="265"/>
      <c r="G187" s="265"/>
      <c r="H187" s="266"/>
      <c r="I187" s="289">
        <f t="shared" si="3"/>
        <v>1500</v>
      </c>
      <c r="J187" s="218"/>
      <c r="K187" s="218"/>
      <c r="L187" s="218">
        <v>1500</v>
      </c>
      <c r="M187" s="218"/>
      <c r="N187" s="219"/>
    </row>
    <row r="188" spans="1:14" ht="17.25">
      <c r="A188" s="242">
        <v>182</v>
      </c>
      <c r="B188" s="268"/>
      <c r="C188" s="269"/>
      <c r="D188" s="303" t="s">
        <v>579</v>
      </c>
      <c r="E188" s="297"/>
      <c r="F188" s="298"/>
      <c r="G188" s="298"/>
      <c r="H188" s="299"/>
      <c r="I188" s="300">
        <f t="shared" si="3"/>
        <v>1500</v>
      </c>
      <c r="J188" s="298"/>
      <c r="K188" s="298"/>
      <c r="L188" s="298">
        <v>1500</v>
      </c>
      <c r="M188" s="298"/>
      <c r="N188" s="301"/>
    </row>
    <row r="189" spans="1:14" s="253" customFormat="1" ht="25.5" customHeight="1">
      <c r="A189" s="242">
        <v>183</v>
      </c>
      <c r="B189" s="276"/>
      <c r="C189" s="277">
        <v>31</v>
      </c>
      <c r="D189" s="278" t="s">
        <v>444</v>
      </c>
      <c r="E189" s="279" t="s">
        <v>754</v>
      </c>
      <c r="F189" s="265">
        <v>10585</v>
      </c>
      <c r="G189" s="265">
        <v>11000</v>
      </c>
      <c r="H189" s="266">
        <v>8313</v>
      </c>
      <c r="I189" s="267"/>
      <c r="J189" s="279"/>
      <c r="K189" s="279"/>
      <c r="L189" s="279"/>
      <c r="M189" s="279"/>
      <c r="N189" s="280"/>
    </row>
    <row r="190" spans="1:14" ht="16.5">
      <c r="A190" s="242">
        <v>184</v>
      </c>
      <c r="B190" s="276"/>
      <c r="C190" s="277"/>
      <c r="D190" s="281" t="s">
        <v>580</v>
      </c>
      <c r="E190" s="282"/>
      <c r="F190" s="262"/>
      <c r="G190" s="262"/>
      <c r="H190" s="263"/>
      <c r="I190" s="264">
        <f t="shared" si="3"/>
        <v>10000</v>
      </c>
      <c r="J190" s="216"/>
      <c r="K190" s="216"/>
      <c r="L190" s="216"/>
      <c r="M190" s="216">
        <v>10000</v>
      </c>
      <c r="N190" s="217"/>
    </row>
    <row r="191" spans="1:14" ht="16.5">
      <c r="A191" s="242">
        <v>185</v>
      </c>
      <c r="B191" s="276"/>
      <c r="C191" s="277"/>
      <c r="D191" s="278" t="s">
        <v>581</v>
      </c>
      <c r="E191" s="279"/>
      <c r="F191" s="265"/>
      <c r="G191" s="265"/>
      <c r="H191" s="266"/>
      <c r="I191" s="267">
        <f t="shared" si="3"/>
        <v>10000</v>
      </c>
      <c r="J191" s="68"/>
      <c r="K191" s="68"/>
      <c r="L191" s="68"/>
      <c r="M191" s="68">
        <v>10000</v>
      </c>
      <c r="N191" s="69"/>
    </row>
    <row r="192" spans="1:14" ht="17.25">
      <c r="A192" s="242">
        <v>186</v>
      </c>
      <c r="B192" s="268"/>
      <c r="C192" s="269"/>
      <c r="D192" s="270" t="s">
        <v>579</v>
      </c>
      <c r="E192" s="271"/>
      <c r="F192" s="272"/>
      <c r="G192" s="272"/>
      <c r="H192" s="273"/>
      <c r="I192" s="274">
        <f t="shared" si="3"/>
        <v>6194</v>
      </c>
      <c r="J192" s="272"/>
      <c r="K192" s="272"/>
      <c r="L192" s="272"/>
      <c r="M192" s="272">
        <v>6194</v>
      </c>
      <c r="N192" s="275"/>
    </row>
    <row r="193" spans="1:14" s="253" customFormat="1" ht="25.5" customHeight="1">
      <c r="A193" s="242">
        <v>187</v>
      </c>
      <c r="B193" s="276"/>
      <c r="C193" s="277">
        <v>32</v>
      </c>
      <c r="D193" s="278" t="s">
        <v>445</v>
      </c>
      <c r="E193" s="279" t="s">
        <v>754</v>
      </c>
      <c r="F193" s="265">
        <v>100</v>
      </c>
      <c r="G193" s="265">
        <v>300</v>
      </c>
      <c r="H193" s="266">
        <v>60</v>
      </c>
      <c r="I193" s="267"/>
      <c r="J193" s="279"/>
      <c r="K193" s="279"/>
      <c r="L193" s="279"/>
      <c r="M193" s="279"/>
      <c r="N193" s="280"/>
    </row>
    <row r="194" spans="1:14" ht="16.5">
      <c r="A194" s="242">
        <v>188</v>
      </c>
      <c r="B194" s="276"/>
      <c r="C194" s="277"/>
      <c r="D194" s="281" t="s">
        <v>580</v>
      </c>
      <c r="E194" s="282"/>
      <c r="F194" s="262"/>
      <c r="G194" s="262"/>
      <c r="H194" s="263"/>
      <c r="I194" s="264">
        <f t="shared" si="3"/>
        <v>200</v>
      </c>
      <c r="J194" s="216"/>
      <c r="K194" s="216"/>
      <c r="L194" s="216"/>
      <c r="M194" s="216">
        <v>200</v>
      </c>
      <c r="N194" s="217"/>
    </row>
    <row r="195" spans="1:15" ht="16.5">
      <c r="A195" s="242">
        <v>189</v>
      </c>
      <c r="B195" s="276"/>
      <c r="C195" s="277"/>
      <c r="D195" s="278" t="s">
        <v>581</v>
      </c>
      <c r="E195" s="279"/>
      <c r="F195" s="265"/>
      <c r="G195" s="265"/>
      <c r="H195" s="266"/>
      <c r="I195" s="267">
        <f t="shared" si="3"/>
        <v>200</v>
      </c>
      <c r="J195" s="68"/>
      <c r="K195" s="68"/>
      <c r="L195" s="68"/>
      <c r="M195" s="68">
        <v>200</v>
      </c>
      <c r="N195" s="69"/>
      <c r="O195" s="247">
        <f>SUM(L168,L164,L160,L156,L152,L148)</f>
        <v>45694</v>
      </c>
    </row>
    <row r="196" spans="1:14" ht="17.25">
      <c r="A196" s="242">
        <v>190</v>
      </c>
      <c r="B196" s="268"/>
      <c r="C196" s="269"/>
      <c r="D196" s="270" t="s">
        <v>579</v>
      </c>
      <c r="E196" s="271"/>
      <c r="F196" s="272"/>
      <c r="G196" s="272"/>
      <c r="H196" s="273"/>
      <c r="I196" s="274">
        <f t="shared" si="3"/>
        <v>20</v>
      </c>
      <c r="J196" s="272"/>
      <c r="K196" s="272"/>
      <c r="L196" s="272"/>
      <c r="M196" s="272">
        <v>20</v>
      </c>
      <c r="N196" s="275"/>
    </row>
    <row r="197" spans="1:14" s="253" customFormat="1" ht="25.5" customHeight="1">
      <c r="A197" s="242">
        <v>191</v>
      </c>
      <c r="B197" s="276"/>
      <c r="C197" s="277">
        <v>33</v>
      </c>
      <c r="D197" s="278" t="s">
        <v>451</v>
      </c>
      <c r="E197" s="279" t="s">
        <v>754</v>
      </c>
      <c r="F197" s="265">
        <v>540</v>
      </c>
      <c r="G197" s="265">
        <v>600</v>
      </c>
      <c r="H197" s="266">
        <v>547</v>
      </c>
      <c r="I197" s="267"/>
      <c r="J197" s="279"/>
      <c r="K197" s="279"/>
      <c r="L197" s="279"/>
      <c r="M197" s="279"/>
      <c r="N197" s="280"/>
    </row>
    <row r="198" spans="1:14" ht="16.5">
      <c r="A198" s="242">
        <v>192</v>
      </c>
      <c r="B198" s="276"/>
      <c r="C198" s="277"/>
      <c r="D198" s="281" t="s">
        <v>580</v>
      </c>
      <c r="E198" s="282"/>
      <c r="F198" s="262"/>
      <c r="G198" s="262"/>
      <c r="H198" s="263"/>
      <c r="I198" s="264">
        <f t="shared" si="3"/>
        <v>3290</v>
      </c>
      <c r="J198" s="216"/>
      <c r="K198" s="216"/>
      <c r="L198" s="216"/>
      <c r="M198" s="216">
        <v>3290</v>
      </c>
      <c r="N198" s="217"/>
    </row>
    <row r="199" spans="1:14" ht="16.5">
      <c r="A199" s="242">
        <v>193</v>
      </c>
      <c r="B199" s="276"/>
      <c r="C199" s="277"/>
      <c r="D199" s="278" t="s">
        <v>581</v>
      </c>
      <c r="E199" s="279"/>
      <c r="F199" s="265"/>
      <c r="G199" s="265"/>
      <c r="H199" s="266"/>
      <c r="I199" s="267">
        <f t="shared" si="3"/>
        <v>690</v>
      </c>
      <c r="J199" s="68"/>
      <c r="K199" s="68"/>
      <c r="L199" s="68"/>
      <c r="M199" s="68">
        <v>690</v>
      </c>
      <c r="N199" s="69"/>
    </row>
    <row r="200" spans="1:14" ht="17.25">
      <c r="A200" s="242">
        <v>194</v>
      </c>
      <c r="B200" s="268"/>
      <c r="C200" s="269"/>
      <c r="D200" s="270" t="s">
        <v>579</v>
      </c>
      <c r="E200" s="271"/>
      <c r="F200" s="272"/>
      <c r="G200" s="272"/>
      <c r="H200" s="273"/>
      <c r="I200" s="274">
        <f t="shared" si="3"/>
        <v>550</v>
      </c>
      <c r="J200" s="272"/>
      <c r="K200" s="272"/>
      <c r="L200" s="272"/>
      <c r="M200" s="272">
        <v>550</v>
      </c>
      <c r="N200" s="275"/>
    </row>
    <row r="201" spans="1:14" s="253" customFormat="1" ht="25.5" customHeight="1">
      <c r="A201" s="242">
        <v>195</v>
      </c>
      <c r="B201" s="276"/>
      <c r="C201" s="277">
        <v>34</v>
      </c>
      <c r="D201" s="278" t="s">
        <v>447</v>
      </c>
      <c r="E201" s="279" t="s">
        <v>754</v>
      </c>
      <c r="F201" s="265">
        <v>144043</v>
      </c>
      <c r="G201" s="265">
        <v>150000</v>
      </c>
      <c r="H201" s="266">
        <v>92993</v>
      </c>
      <c r="I201" s="267"/>
      <c r="J201" s="279"/>
      <c r="K201" s="279"/>
      <c r="L201" s="279"/>
      <c r="M201" s="279"/>
      <c r="N201" s="280"/>
    </row>
    <row r="202" spans="1:14" ht="16.5">
      <c r="A202" s="242">
        <v>196</v>
      </c>
      <c r="B202" s="276"/>
      <c r="C202" s="277"/>
      <c r="D202" s="281" t="s">
        <v>580</v>
      </c>
      <c r="E202" s="282"/>
      <c r="F202" s="262"/>
      <c r="G202" s="262"/>
      <c r="H202" s="263"/>
      <c r="I202" s="264">
        <f t="shared" si="3"/>
        <v>34250</v>
      </c>
      <c r="J202" s="216"/>
      <c r="K202" s="216"/>
      <c r="L202" s="216"/>
      <c r="M202" s="216">
        <v>34250</v>
      </c>
      <c r="N202" s="217"/>
    </row>
    <row r="203" spans="1:14" ht="16.5">
      <c r="A203" s="242">
        <v>197</v>
      </c>
      <c r="B203" s="276"/>
      <c r="C203" s="277"/>
      <c r="D203" s="278" t="s">
        <v>581</v>
      </c>
      <c r="E203" s="279"/>
      <c r="F203" s="265"/>
      <c r="G203" s="265"/>
      <c r="H203" s="266"/>
      <c r="I203" s="267">
        <f t="shared" si="3"/>
        <v>22619</v>
      </c>
      <c r="J203" s="68"/>
      <c r="K203" s="68"/>
      <c r="L203" s="68"/>
      <c r="M203" s="68">
        <v>22619</v>
      </c>
      <c r="N203" s="69"/>
    </row>
    <row r="204" spans="1:14" ht="17.25">
      <c r="A204" s="242">
        <v>198</v>
      </c>
      <c r="B204" s="268"/>
      <c r="C204" s="269"/>
      <c r="D204" s="270" t="s">
        <v>579</v>
      </c>
      <c r="E204" s="271"/>
      <c r="F204" s="272"/>
      <c r="G204" s="272"/>
      <c r="H204" s="273"/>
      <c r="I204" s="274">
        <f t="shared" si="3"/>
        <v>22238</v>
      </c>
      <c r="J204" s="272"/>
      <c r="K204" s="272"/>
      <c r="L204" s="272"/>
      <c r="M204" s="272">
        <v>22238</v>
      </c>
      <c r="N204" s="275"/>
    </row>
    <row r="205" spans="1:14" s="253" customFormat="1" ht="25.5" customHeight="1">
      <c r="A205" s="242">
        <v>199</v>
      </c>
      <c r="B205" s="276"/>
      <c r="C205" s="277">
        <v>35</v>
      </c>
      <c r="D205" s="278" t="s">
        <v>17</v>
      </c>
      <c r="E205" s="279" t="s">
        <v>754</v>
      </c>
      <c r="F205" s="265">
        <v>38728</v>
      </c>
      <c r="G205" s="265">
        <v>40000</v>
      </c>
      <c r="H205" s="266">
        <v>27355</v>
      </c>
      <c r="I205" s="267"/>
      <c r="J205" s="279"/>
      <c r="K205" s="279"/>
      <c r="L205" s="279"/>
      <c r="M205" s="279"/>
      <c r="N205" s="280"/>
    </row>
    <row r="206" spans="1:14" ht="16.5">
      <c r="A206" s="242">
        <v>200</v>
      </c>
      <c r="B206" s="276"/>
      <c r="C206" s="277"/>
      <c r="D206" s="281" t="s">
        <v>580</v>
      </c>
      <c r="E206" s="282"/>
      <c r="F206" s="262"/>
      <c r="G206" s="262"/>
      <c r="H206" s="263"/>
      <c r="I206" s="264">
        <f t="shared" si="3"/>
        <v>20900</v>
      </c>
      <c r="J206" s="216"/>
      <c r="K206" s="216"/>
      <c r="L206" s="216"/>
      <c r="M206" s="216">
        <v>20900</v>
      </c>
      <c r="N206" s="217"/>
    </row>
    <row r="207" spans="1:14" ht="16.5">
      <c r="A207" s="242">
        <v>201</v>
      </c>
      <c r="B207" s="276"/>
      <c r="C207" s="277"/>
      <c r="D207" s="278" t="s">
        <v>581</v>
      </c>
      <c r="E207" s="279"/>
      <c r="F207" s="265"/>
      <c r="G207" s="265"/>
      <c r="H207" s="266"/>
      <c r="I207" s="267">
        <f t="shared" si="3"/>
        <v>16100</v>
      </c>
      <c r="J207" s="68"/>
      <c r="K207" s="68"/>
      <c r="L207" s="68"/>
      <c r="M207" s="68">
        <v>16100</v>
      </c>
      <c r="N207" s="69"/>
    </row>
    <row r="208" spans="1:14" ht="17.25">
      <c r="A208" s="242">
        <v>202</v>
      </c>
      <c r="B208" s="268"/>
      <c r="C208" s="269"/>
      <c r="D208" s="270" t="s">
        <v>579</v>
      </c>
      <c r="E208" s="271"/>
      <c r="F208" s="272"/>
      <c r="G208" s="272"/>
      <c r="H208" s="273"/>
      <c r="I208" s="274">
        <f t="shared" si="3"/>
        <v>15985</v>
      </c>
      <c r="J208" s="272"/>
      <c r="K208" s="272"/>
      <c r="L208" s="272"/>
      <c r="M208" s="272">
        <v>15985</v>
      </c>
      <c r="N208" s="275"/>
    </row>
    <row r="209" spans="1:14" s="253" customFormat="1" ht="25.5" customHeight="1">
      <c r="A209" s="242">
        <v>203</v>
      </c>
      <c r="B209" s="276"/>
      <c r="C209" s="277">
        <v>36</v>
      </c>
      <c r="D209" s="278" t="s">
        <v>446</v>
      </c>
      <c r="E209" s="279" t="s">
        <v>754</v>
      </c>
      <c r="F209" s="265">
        <v>40173</v>
      </c>
      <c r="G209" s="265">
        <v>42000</v>
      </c>
      <c r="H209" s="266">
        <v>40859</v>
      </c>
      <c r="I209" s="267"/>
      <c r="J209" s="279"/>
      <c r="K209" s="279"/>
      <c r="L209" s="279"/>
      <c r="M209" s="279"/>
      <c r="N209" s="280"/>
    </row>
    <row r="210" spans="1:14" ht="16.5">
      <c r="A210" s="242">
        <v>204</v>
      </c>
      <c r="B210" s="276"/>
      <c r="C210" s="277"/>
      <c r="D210" s="281" t="s">
        <v>580</v>
      </c>
      <c r="E210" s="282"/>
      <c r="F210" s="262"/>
      <c r="G210" s="262"/>
      <c r="H210" s="263"/>
      <c r="I210" s="264">
        <f t="shared" si="3"/>
        <v>11000</v>
      </c>
      <c r="J210" s="216"/>
      <c r="K210" s="216"/>
      <c r="L210" s="216"/>
      <c r="M210" s="216">
        <v>11000</v>
      </c>
      <c r="N210" s="217"/>
    </row>
    <row r="211" spans="1:14" ht="16.5">
      <c r="A211" s="242">
        <v>205</v>
      </c>
      <c r="B211" s="276"/>
      <c r="C211" s="277"/>
      <c r="D211" s="278" t="s">
        <v>581</v>
      </c>
      <c r="E211" s="279"/>
      <c r="F211" s="265"/>
      <c r="G211" s="265"/>
      <c r="H211" s="266"/>
      <c r="I211" s="267">
        <f t="shared" si="3"/>
        <v>11000</v>
      </c>
      <c r="J211" s="68"/>
      <c r="K211" s="68"/>
      <c r="L211" s="68"/>
      <c r="M211" s="68">
        <v>11000</v>
      </c>
      <c r="N211" s="69"/>
    </row>
    <row r="212" spans="1:14" ht="17.25">
      <c r="A212" s="242">
        <v>206</v>
      </c>
      <c r="B212" s="268"/>
      <c r="C212" s="269"/>
      <c r="D212" s="270" t="s">
        <v>579</v>
      </c>
      <c r="E212" s="271"/>
      <c r="F212" s="272"/>
      <c r="G212" s="272"/>
      <c r="H212" s="273"/>
      <c r="I212" s="274">
        <f t="shared" si="3"/>
        <v>9626</v>
      </c>
      <c r="J212" s="272"/>
      <c r="K212" s="272"/>
      <c r="L212" s="272"/>
      <c r="M212" s="272">
        <v>9626</v>
      </c>
      <c r="N212" s="275"/>
    </row>
    <row r="213" spans="1:14" s="253" customFormat="1" ht="25.5" customHeight="1">
      <c r="A213" s="242">
        <v>207</v>
      </c>
      <c r="B213" s="276"/>
      <c r="C213" s="277">
        <v>37</v>
      </c>
      <c r="D213" s="278" t="s">
        <v>18</v>
      </c>
      <c r="E213" s="279" t="s">
        <v>815</v>
      </c>
      <c r="F213" s="265">
        <v>2604</v>
      </c>
      <c r="G213" s="265">
        <v>3000</v>
      </c>
      <c r="H213" s="266">
        <v>1547</v>
      </c>
      <c r="I213" s="267"/>
      <c r="J213" s="279"/>
      <c r="K213" s="279"/>
      <c r="L213" s="279"/>
      <c r="M213" s="279"/>
      <c r="N213" s="280"/>
    </row>
    <row r="214" spans="1:14" ht="16.5">
      <c r="A214" s="242">
        <v>208</v>
      </c>
      <c r="B214" s="276"/>
      <c r="C214" s="277"/>
      <c r="D214" s="281" t="s">
        <v>580</v>
      </c>
      <c r="E214" s="282"/>
      <c r="F214" s="262"/>
      <c r="G214" s="262"/>
      <c r="H214" s="263"/>
      <c r="I214" s="264">
        <f t="shared" si="3"/>
        <v>2000</v>
      </c>
      <c r="J214" s="216"/>
      <c r="K214" s="216"/>
      <c r="L214" s="216"/>
      <c r="M214" s="216">
        <v>2000</v>
      </c>
      <c r="N214" s="217"/>
    </row>
    <row r="215" spans="1:14" ht="16.5">
      <c r="A215" s="242">
        <v>209</v>
      </c>
      <c r="B215" s="276"/>
      <c r="C215" s="277"/>
      <c r="D215" s="278" t="s">
        <v>581</v>
      </c>
      <c r="E215" s="279"/>
      <c r="F215" s="265"/>
      <c r="G215" s="265"/>
      <c r="H215" s="266"/>
      <c r="I215" s="267">
        <f t="shared" si="3"/>
        <v>1400</v>
      </c>
      <c r="J215" s="68"/>
      <c r="K215" s="68"/>
      <c r="L215" s="68"/>
      <c r="M215" s="68">
        <v>1400</v>
      </c>
      <c r="N215" s="69"/>
    </row>
    <row r="216" spans="1:14" s="306" customFormat="1" ht="17.25">
      <c r="A216" s="242">
        <v>210</v>
      </c>
      <c r="B216" s="268"/>
      <c r="C216" s="269"/>
      <c r="D216" s="270" t="s">
        <v>579</v>
      </c>
      <c r="E216" s="271"/>
      <c r="F216" s="272"/>
      <c r="G216" s="272"/>
      <c r="H216" s="273"/>
      <c r="I216" s="274">
        <f t="shared" si="3"/>
        <v>779</v>
      </c>
      <c r="J216" s="272"/>
      <c r="K216" s="272"/>
      <c r="L216" s="272"/>
      <c r="M216" s="272">
        <v>779</v>
      </c>
      <c r="N216" s="275"/>
    </row>
    <row r="217" spans="1:14" s="253" customFormat="1" ht="25.5" customHeight="1">
      <c r="A217" s="242">
        <v>211</v>
      </c>
      <c r="B217" s="276"/>
      <c r="C217" s="277">
        <v>38</v>
      </c>
      <c r="D217" s="278" t="s">
        <v>19</v>
      </c>
      <c r="E217" s="279" t="s">
        <v>815</v>
      </c>
      <c r="F217" s="265"/>
      <c r="G217" s="265">
        <v>28000</v>
      </c>
      <c r="H217" s="266">
        <v>15878</v>
      </c>
      <c r="I217" s="267"/>
      <c r="J217" s="279"/>
      <c r="K217" s="279"/>
      <c r="L217" s="279"/>
      <c r="M217" s="279"/>
      <c r="N217" s="280"/>
    </row>
    <row r="218" spans="1:14" ht="16.5">
      <c r="A218" s="242">
        <v>212</v>
      </c>
      <c r="B218" s="276"/>
      <c r="C218" s="277"/>
      <c r="D218" s="281" t="s">
        <v>580</v>
      </c>
      <c r="E218" s="282"/>
      <c r="F218" s="262"/>
      <c r="G218" s="262"/>
      <c r="H218" s="263"/>
      <c r="I218" s="264">
        <f aca="true" t="shared" si="5" ref="I218:I287">SUM(J218:N218)</f>
        <v>12000</v>
      </c>
      <c r="J218" s="216"/>
      <c r="K218" s="216"/>
      <c r="L218" s="216"/>
      <c r="M218" s="216">
        <v>12000</v>
      </c>
      <c r="N218" s="217"/>
    </row>
    <row r="219" spans="1:14" ht="16.5">
      <c r="A219" s="242">
        <v>213</v>
      </c>
      <c r="B219" s="276"/>
      <c r="C219" s="277"/>
      <c r="D219" s="278" t="s">
        <v>581</v>
      </c>
      <c r="E219" s="279"/>
      <c r="F219" s="265"/>
      <c r="G219" s="265"/>
      <c r="H219" s="266"/>
      <c r="I219" s="267">
        <f t="shared" si="5"/>
        <v>9500</v>
      </c>
      <c r="J219" s="68"/>
      <c r="K219" s="68"/>
      <c r="L219" s="68"/>
      <c r="M219" s="68">
        <v>9500</v>
      </c>
      <c r="N219" s="69"/>
    </row>
    <row r="220" spans="1:14" ht="17.25">
      <c r="A220" s="242">
        <v>214</v>
      </c>
      <c r="B220" s="268"/>
      <c r="C220" s="269"/>
      <c r="D220" s="270" t="s">
        <v>579</v>
      </c>
      <c r="E220" s="271"/>
      <c r="F220" s="272"/>
      <c r="G220" s="272"/>
      <c r="H220" s="273"/>
      <c r="I220" s="274">
        <f t="shared" si="5"/>
        <v>8435</v>
      </c>
      <c r="J220" s="272"/>
      <c r="K220" s="272"/>
      <c r="L220" s="272"/>
      <c r="M220" s="272">
        <v>8435</v>
      </c>
      <c r="N220" s="275"/>
    </row>
    <row r="221" spans="1:14" s="253" customFormat="1" ht="25.5" customHeight="1">
      <c r="A221" s="242">
        <v>215</v>
      </c>
      <c r="B221" s="276"/>
      <c r="C221" s="277">
        <v>39</v>
      </c>
      <c r="D221" s="278" t="s">
        <v>755</v>
      </c>
      <c r="E221" s="279" t="s">
        <v>815</v>
      </c>
      <c r="F221" s="265"/>
      <c r="G221" s="265">
        <v>1000</v>
      </c>
      <c r="H221" s="266">
        <v>773</v>
      </c>
      <c r="I221" s="267"/>
      <c r="J221" s="279"/>
      <c r="K221" s="279"/>
      <c r="L221" s="279"/>
      <c r="M221" s="279"/>
      <c r="N221" s="280"/>
    </row>
    <row r="222" spans="1:14" ht="16.5">
      <c r="A222" s="242">
        <v>216</v>
      </c>
      <c r="B222" s="276"/>
      <c r="C222" s="277"/>
      <c r="D222" s="281" t="s">
        <v>580</v>
      </c>
      <c r="E222" s="282"/>
      <c r="F222" s="262"/>
      <c r="G222" s="262"/>
      <c r="H222" s="263"/>
      <c r="I222" s="264">
        <f t="shared" si="5"/>
        <v>4800</v>
      </c>
      <c r="J222" s="216"/>
      <c r="K222" s="216"/>
      <c r="L222" s="216"/>
      <c r="M222" s="216">
        <v>4800</v>
      </c>
      <c r="N222" s="217"/>
    </row>
    <row r="223" spans="1:14" ht="16.5">
      <c r="A223" s="242">
        <v>217</v>
      </c>
      <c r="B223" s="276"/>
      <c r="C223" s="277"/>
      <c r="D223" s="278" t="s">
        <v>581</v>
      </c>
      <c r="E223" s="279"/>
      <c r="F223" s="265"/>
      <c r="G223" s="265"/>
      <c r="H223" s="266"/>
      <c r="I223" s="267">
        <f t="shared" si="5"/>
        <v>6200</v>
      </c>
      <c r="J223" s="68"/>
      <c r="K223" s="68"/>
      <c r="L223" s="68"/>
      <c r="M223" s="68">
        <v>6200</v>
      </c>
      <c r="N223" s="69"/>
    </row>
    <row r="224" spans="1:14" s="306" customFormat="1" ht="17.25">
      <c r="A224" s="242">
        <v>218</v>
      </c>
      <c r="B224" s="268"/>
      <c r="C224" s="269"/>
      <c r="D224" s="270" t="s">
        <v>579</v>
      </c>
      <c r="E224" s="271"/>
      <c r="F224" s="272"/>
      <c r="G224" s="272"/>
      <c r="H224" s="273"/>
      <c r="I224" s="274">
        <f t="shared" si="5"/>
        <v>5497</v>
      </c>
      <c r="J224" s="272"/>
      <c r="K224" s="272"/>
      <c r="L224" s="272"/>
      <c r="M224" s="272">
        <v>5497</v>
      </c>
      <c r="N224" s="275"/>
    </row>
    <row r="225" spans="1:14" s="253" customFormat="1" ht="25.5" customHeight="1">
      <c r="A225" s="242">
        <v>219</v>
      </c>
      <c r="B225" s="276"/>
      <c r="C225" s="277">
        <v>40</v>
      </c>
      <c r="D225" s="278" t="s">
        <v>454</v>
      </c>
      <c r="E225" s="279" t="s">
        <v>815</v>
      </c>
      <c r="F225" s="265">
        <v>16993</v>
      </c>
      <c r="G225" s="265">
        <v>46400</v>
      </c>
      <c r="H225" s="266">
        <v>57444</v>
      </c>
      <c r="I225" s="267"/>
      <c r="J225" s="279"/>
      <c r="K225" s="279"/>
      <c r="L225" s="279"/>
      <c r="M225" s="279"/>
      <c r="N225" s="280"/>
    </row>
    <row r="226" spans="1:14" ht="16.5">
      <c r="A226" s="242">
        <v>220</v>
      </c>
      <c r="B226" s="276"/>
      <c r="C226" s="277"/>
      <c r="D226" s="281" t="s">
        <v>580</v>
      </c>
      <c r="E226" s="282"/>
      <c r="F226" s="262"/>
      <c r="G226" s="262"/>
      <c r="H226" s="263"/>
      <c r="I226" s="264">
        <f t="shared" si="5"/>
        <v>16332</v>
      </c>
      <c r="J226" s="216">
        <v>14389</v>
      </c>
      <c r="K226" s="216">
        <v>1943</v>
      </c>
      <c r="L226" s="216"/>
      <c r="M226" s="216"/>
      <c r="N226" s="217"/>
    </row>
    <row r="227" spans="1:14" ht="16.5">
      <c r="A227" s="242">
        <v>221</v>
      </c>
      <c r="B227" s="276"/>
      <c r="C227" s="277"/>
      <c r="D227" s="278" t="s">
        <v>581</v>
      </c>
      <c r="E227" s="279"/>
      <c r="F227" s="265"/>
      <c r="G227" s="265"/>
      <c r="H227" s="266"/>
      <c r="I227" s="267">
        <f t="shared" si="5"/>
        <v>16991</v>
      </c>
      <c r="J227" s="68">
        <v>15048</v>
      </c>
      <c r="K227" s="68">
        <v>1943</v>
      </c>
      <c r="L227" s="68"/>
      <c r="M227" s="68"/>
      <c r="N227" s="69"/>
    </row>
    <row r="228" spans="1:14" ht="17.25">
      <c r="A228" s="242">
        <v>222</v>
      </c>
      <c r="B228" s="268"/>
      <c r="C228" s="269"/>
      <c r="D228" s="270" t="s">
        <v>579</v>
      </c>
      <c r="E228" s="271"/>
      <c r="F228" s="272"/>
      <c r="G228" s="272"/>
      <c r="H228" s="273"/>
      <c r="I228" s="274">
        <f t="shared" si="5"/>
        <v>15512</v>
      </c>
      <c r="J228" s="272">
        <v>13638</v>
      </c>
      <c r="K228" s="272">
        <v>1874</v>
      </c>
      <c r="L228" s="272"/>
      <c r="M228" s="272"/>
      <c r="N228" s="275"/>
    </row>
    <row r="229" spans="1:14" s="253" customFormat="1" ht="25.5" customHeight="1">
      <c r="A229" s="242">
        <v>223</v>
      </c>
      <c r="B229" s="276"/>
      <c r="C229" s="277">
        <v>41</v>
      </c>
      <c r="D229" s="278" t="s">
        <v>20</v>
      </c>
      <c r="E229" s="279" t="s">
        <v>781</v>
      </c>
      <c r="F229" s="265"/>
      <c r="G229" s="265"/>
      <c r="H229" s="266"/>
      <c r="I229" s="267"/>
      <c r="J229" s="279"/>
      <c r="K229" s="279"/>
      <c r="L229" s="279"/>
      <c r="M229" s="279"/>
      <c r="N229" s="280"/>
    </row>
    <row r="230" spans="1:14" ht="16.5">
      <c r="A230" s="242">
        <v>224</v>
      </c>
      <c r="B230" s="276"/>
      <c r="C230" s="277"/>
      <c r="D230" s="281" t="s">
        <v>580</v>
      </c>
      <c r="E230" s="282"/>
      <c r="F230" s="262"/>
      <c r="G230" s="262"/>
      <c r="H230" s="263"/>
      <c r="I230" s="264">
        <f>SUM(J230:N230)</f>
        <v>5000</v>
      </c>
      <c r="J230" s="216"/>
      <c r="K230" s="216"/>
      <c r="L230" s="216"/>
      <c r="M230" s="216">
        <v>5000</v>
      </c>
      <c r="N230" s="217"/>
    </row>
    <row r="231" spans="1:14" ht="16.5">
      <c r="A231" s="242">
        <v>225</v>
      </c>
      <c r="B231" s="276"/>
      <c r="C231" s="277"/>
      <c r="D231" s="278" t="s">
        <v>581</v>
      </c>
      <c r="E231" s="279"/>
      <c r="F231" s="265"/>
      <c r="G231" s="265"/>
      <c r="H231" s="266"/>
      <c r="I231" s="267">
        <f>SUM(J231:N231)</f>
        <v>3800</v>
      </c>
      <c r="J231" s="68"/>
      <c r="K231" s="68"/>
      <c r="L231" s="68"/>
      <c r="M231" s="68">
        <v>3800</v>
      </c>
      <c r="N231" s="69"/>
    </row>
    <row r="232" spans="1:14" ht="17.25">
      <c r="A232" s="242">
        <v>226</v>
      </c>
      <c r="B232" s="268"/>
      <c r="C232" s="269"/>
      <c r="D232" s="270" t="s">
        <v>579</v>
      </c>
      <c r="E232" s="271"/>
      <c r="F232" s="272"/>
      <c r="G232" s="272"/>
      <c r="H232" s="273"/>
      <c r="I232" s="274">
        <f>SUM(J232:N232)</f>
        <v>2489</v>
      </c>
      <c r="J232" s="272"/>
      <c r="K232" s="272"/>
      <c r="L232" s="272"/>
      <c r="M232" s="272">
        <v>2489</v>
      </c>
      <c r="N232" s="275"/>
    </row>
    <row r="233" spans="1:14" s="253" customFormat="1" ht="25.5" customHeight="1">
      <c r="A233" s="242">
        <v>227</v>
      </c>
      <c r="B233" s="276"/>
      <c r="C233" s="277">
        <v>42</v>
      </c>
      <c r="D233" s="278" t="s">
        <v>539</v>
      </c>
      <c r="E233" s="279" t="s">
        <v>781</v>
      </c>
      <c r="F233" s="265"/>
      <c r="G233" s="265">
        <v>500</v>
      </c>
      <c r="H233" s="266"/>
      <c r="I233" s="267"/>
      <c r="J233" s="279"/>
      <c r="K233" s="279"/>
      <c r="L233" s="279"/>
      <c r="M233" s="279"/>
      <c r="N233" s="280"/>
    </row>
    <row r="234" spans="1:14" ht="16.5">
      <c r="A234" s="242">
        <v>228</v>
      </c>
      <c r="B234" s="276"/>
      <c r="C234" s="277"/>
      <c r="D234" s="281" t="s">
        <v>580</v>
      </c>
      <c r="E234" s="282"/>
      <c r="F234" s="262"/>
      <c r="G234" s="262"/>
      <c r="H234" s="263"/>
      <c r="I234" s="264">
        <f>SUM(J234:N234)</f>
        <v>500</v>
      </c>
      <c r="J234" s="216"/>
      <c r="K234" s="216"/>
      <c r="L234" s="216"/>
      <c r="M234" s="216">
        <v>500</v>
      </c>
      <c r="N234" s="217"/>
    </row>
    <row r="235" spans="1:14" ht="16.5">
      <c r="A235" s="242">
        <v>229</v>
      </c>
      <c r="B235" s="276"/>
      <c r="C235" s="277"/>
      <c r="D235" s="278" t="s">
        <v>581</v>
      </c>
      <c r="E235" s="279"/>
      <c r="F235" s="265"/>
      <c r="G235" s="265"/>
      <c r="H235" s="266"/>
      <c r="I235" s="267">
        <f>SUM(J235:N235)</f>
        <v>0</v>
      </c>
      <c r="J235" s="68"/>
      <c r="K235" s="68"/>
      <c r="L235" s="68"/>
      <c r="M235" s="68"/>
      <c r="N235" s="69"/>
    </row>
    <row r="236" spans="1:14" ht="17.25">
      <c r="A236" s="242">
        <v>230</v>
      </c>
      <c r="B236" s="268"/>
      <c r="C236" s="269"/>
      <c r="D236" s="270" t="s">
        <v>579</v>
      </c>
      <c r="E236" s="271"/>
      <c r="F236" s="272"/>
      <c r="G236" s="272"/>
      <c r="H236" s="273"/>
      <c r="I236" s="274">
        <f>SUM(J236:N236)</f>
        <v>0</v>
      </c>
      <c r="J236" s="272"/>
      <c r="K236" s="272"/>
      <c r="L236" s="272"/>
      <c r="M236" s="272"/>
      <c r="N236" s="275"/>
    </row>
    <row r="237" spans="1:14" s="253" customFormat="1" ht="25.5" customHeight="1">
      <c r="A237" s="242">
        <v>231</v>
      </c>
      <c r="B237" s="276"/>
      <c r="C237" s="277">
        <v>43</v>
      </c>
      <c r="D237" s="278" t="s">
        <v>21</v>
      </c>
      <c r="E237" s="279" t="s">
        <v>815</v>
      </c>
      <c r="F237" s="265"/>
      <c r="G237" s="265"/>
      <c r="H237" s="266"/>
      <c r="I237" s="267"/>
      <c r="J237" s="279"/>
      <c r="K237" s="279"/>
      <c r="L237" s="279"/>
      <c r="M237" s="279"/>
      <c r="N237" s="280"/>
    </row>
    <row r="238" spans="1:14" ht="16.5">
      <c r="A238" s="242">
        <v>232</v>
      </c>
      <c r="B238" s="276"/>
      <c r="C238" s="277"/>
      <c r="D238" s="281" t="s">
        <v>580</v>
      </c>
      <c r="E238" s="282"/>
      <c r="F238" s="262"/>
      <c r="G238" s="262"/>
      <c r="H238" s="263"/>
      <c r="I238" s="264">
        <f>SUM(J238:N238)</f>
        <v>18660</v>
      </c>
      <c r="J238" s="216"/>
      <c r="K238" s="216"/>
      <c r="L238" s="216"/>
      <c r="M238" s="216">
        <v>18660</v>
      </c>
      <c r="N238" s="217"/>
    </row>
    <row r="239" spans="1:14" ht="16.5">
      <c r="A239" s="242">
        <v>233</v>
      </c>
      <c r="B239" s="276"/>
      <c r="C239" s="277"/>
      <c r="D239" s="278" t="s">
        <v>581</v>
      </c>
      <c r="E239" s="279"/>
      <c r="F239" s="265"/>
      <c r="G239" s="265"/>
      <c r="H239" s="266"/>
      <c r="I239" s="267">
        <f>SUM(J239:N239)</f>
        <v>10160</v>
      </c>
      <c r="J239" s="68"/>
      <c r="K239" s="68"/>
      <c r="L239" s="68"/>
      <c r="M239" s="68">
        <v>10160</v>
      </c>
      <c r="N239" s="69"/>
    </row>
    <row r="240" spans="1:15" ht="17.25">
      <c r="A240" s="242">
        <v>234</v>
      </c>
      <c r="B240" s="268"/>
      <c r="C240" s="269"/>
      <c r="D240" s="270" t="s">
        <v>579</v>
      </c>
      <c r="E240" s="271"/>
      <c r="F240" s="272"/>
      <c r="G240" s="272"/>
      <c r="H240" s="273"/>
      <c r="I240" s="274">
        <f>SUM(J240:N240)</f>
        <v>8914</v>
      </c>
      <c r="J240" s="272"/>
      <c r="K240" s="272"/>
      <c r="L240" s="272"/>
      <c r="M240" s="272">
        <v>8914</v>
      </c>
      <c r="N240" s="275"/>
      <c r="O240" s="247">
        <f>SUM(L240)</f>
        <v>0</v>
      </c>
    </row>
    <row r="241" spans="1:14" s="253" customFormat="1" ht="25.5" customHeight="1">
      <c r="A241" s="242">
        <v>235</v>
      </c>
      <c r="B241" s="276"/>
      <c r="C241" s="277">
        <v>44</v>
      </c>
      <c r="D241" s="278" t="s">
        <v>453</v>
      </c>
      <c r="E241" s="279" t="s">
        <v>815</v>
      </c>
      <c r="F241" s="265">
        <v>10000</v>
      </c>
      <c r="G241" s="265">
        <v>11000</v>
      </c>
      <c r="H241" s="266">
        <v>11000</v>
      </c>
      <c r="I241" s="267"/>
      <c r="J241" s="279"/>
      <c r="K241" s="279"/>
      <c r="L241" s="279"/>
      <c r="M241" s="279"/>
      <c r="N241" s="280"/>
    </row>
    <row r="242" spans="1:14" ht="16.5">
      <c r="A242" s="242">
        <v>236</v>
      </c>
      <c r="B242" s="276"/>
      <c r="C242" s="277"/>
      <c r="D242" s="281" t="s">
        <v>580</v>
      </c>
      <c r="E242" s="282"/>
      <c r="F242" s="262"/>
      <c r="G242" s="262"/>
      <c r="H242" s="263"/>
      <c r="I242" s="264">
        <f t="shared" si="5"/>
        <v>11500</v>
      </c>
      <c r="J242" s="216"/>
      <c r="K242" s="216"/>
      <c r="L242" s="216"/>
      <c r="M242" s="216"/>
      <c r="N242" s="217">
        <v>11500</v>
      </c>
    </row>
    <row r="243" spans="1:14" ht="16.5">
      <c r="A243" s="242">
        <v>237</v>
      </c>
      <c r="B243" s="276"/>
      <c r="C243" s="277"/>
      <c r="D243" s="278" t="s">
        <v>581</v>
      </c>
      <c r="E243" s="279"/>
      <c r="F243" s="265"/>
      <c r="G243" s="265"/>
      <c r="H243" s="266"/>
      <c r="I243" s="267">
        <f t="shared" si="5"/>
        <v>11500</v>
      </c>
      <c r="J243" s="68"/>
      <c r="K243" s="68"/>
      <c r="L243" s="68"/>
      <c r="M243" s="68"/>
      <c r="N243" s="69">
        <v>11500</v>
      </c>
    </row>
    <row r="244" spans="1:14" ht="17.25">
      <c r="A244" s="242">
        <v>238</v>
      </c>
      <c r="B244" s="268"/>
      <c r="C244" s="269"/>
      <c r="D244" s="270" t="s">
        <v>579</v>
      </c>
      <c r="E244" s="271"/>
      <c r="F244" s="272"/>
      <c r="G244" s="272"/>
      <c r="H244" s="273"/>
      <c r="I244" s="274">
        <f t="shared" si="5"/>
        <v>11500</v>
      </c>
      <c r="J244" s="272"/>
      <c r="K244" s="272"/>
      <c r="L244" s="272"/>
      <c r="M244" s="272"/>
      <c r="N244" s="275">
        <v>11500</v>
      </c>
    </row>
    <row r="245" spans="1:14" s="253" customFormat="1" ht="25.5" customHeight="1">
      <c r="A245" s="242">
        <v>239</v>
      </c>
      <c r="B245" s="276"/>
      <c r="C245" s="277">
        <v>45</v>
      </c>
      <c r="D245" s="278" t="s">
        <v>455</v>
      </c>
      <c r="E245" s="279" t="s">
        <v>815</v>
      </c>
      <c r="F245" s="265">
        <v>54000</v>
      </c>
      <c r="G245" s="265">
        <v>60000</v>
      </c>
      <c r="H245" s="266">
        <v>60000</v>
      </c>
      <c r="I245" s="267"/>
      <c r="J245" s="279"/>
      <c r="K245" s="279"/>
      <c r="L245" s="279"/>
      <c r="M245" s="279"/>
      <c r="N245" s="280"/>
    </row>
    <row r="246" spans="1:14" ht="16.5">
      <c r="A246" s="242">
        <v>240</v>
      </c>
      <c r="B246" s="276"/>
      <c r="C246" s="277"/>
      <c r="D246" s="281" t="s">
        <v>580</v>
      </c>
      <c r="E246" s="282"/>
      <c r="F246" s="262"/>
      <c r="G246" s="262"/>
      <c r="H246" s="263"/>
      <c r="I246" s="264">
        <f t="shared" si="5"/>
        <v>60000</v>
      </c>
      <c r="J246" s="216"/>
      <c r="K246" s="216"/>
      <c r="L246" s="216"/>
      <c r="M246" s="216"/>
      <c r="N246" s="217">
        <v>60000</v>
      </c>
    </row>
    <row r="247" spans="1:14" ht="16.5">
      <c r="A247" s="242">
        <v>241</v>
      </c>
      <c r="B247" s="276"/>
      <c r="C247" s="277"/>
      <c r="D247" s="278" t="s">
        <v>581</v>
      </c>
      <c r="E247" s="279"/>
      <c r="F247" s="265"/>
      <c r="G247" s="265"/>
      <c r="H247" s="266"/>
      <c r="I247" s="267">
        <f t="shared" si="5"/>
        <v>60000</v>
      </c>
      <c r="J247" s="68"/>
      <c r="K247" s="68"/>
      <c r="L247" s="68"/>
      <c r="M247" s="68"/>
      <c r="N247" s="69">
        <v>60000</v>
      </c>
    </row>
    <row r="248" spans="1:14" ht="17.25">
      <c r="A248" s="242">
        <v>242</v>
      </c>
      <c r="B248" s="268"/>
      <c r="C248" s="269"/>
      <c r="D248" s="270" t="s">
        <v>579</v>
      </c>
      <c r="E248" s="271"/>
      <c r="F248" s="272"/>
      <c r="G248" s="272"/>
      <c r="H248" s="273"/>
      <c r="I248" s="274">
        <f t="shared" si="5"/>
        <v>60000</v>
      </c>
      <c r="J248" s="272"/>
      <c r="K248" s="272"/>
      <c r="L248" s="272"/>
      <c r="M248" s="272"/>
      <c r="N248" s="275">
        <v>60000</v>
      </c>
    </row>
    <row r="249" spans="1:14" s="253" customFormat="1" ht="25.5" customHeight="1">
      <c r="A249" s="242">
        <v>243</v>
      </c>
      <c r="B249" s="276"/>
      <c r="C249" s="277">
        <v>46</v>
      </c>
      <c r="D249" s="278" t="s">
        <v>456</v>
      </c>
      <c r="E249" s="279" t="s">
        <v>815</v>
      </c>
      <c r="F249" s="265">
        <v>201585</v>
      </c>
      <c r="G249" s="265">
        <v>268213</v>
      </c>
      <c r="H249" s="266">
        <v>294413</v>
      </c>
      <c r="I249" s="267"/>
      <c r="J249" s="279"/>
      <c r="K249" s="279"/>
      <c r="L249" s="279"/>
      <c r="M249" s="279"/>
      <c r="N249" s="280"/>
    </row>
    <row r="250" spans="1:14" ht="16.5">
      <c r="A250" s="242">
        <v>244</v>
      </c>
      <c r="B250" s="276"/>
      <c r="C250" s="277"/>
      <c r="D250" s="281" t="s">
        <v>580</v>
      </c>
      <c r="E250" s="282"/>
      <c r="F250" s="262"/>
      <c r="G250" s="262"/>
      <c r="H250" s="263"/>
      <c r="I250" s="264">
        <f t="shared" si="5"/>
        <v>275966</v>
      </c>
      <c r="J250" s="216"/>
      <c r="K250" s="216"/>
      <c r="L250" s="216"/>
      <c r="M250" s="216"/>
      <c r="N250" s="217">
        <v>275966</v>
      </c>
    </row>
    <row r="251" spans="1:14" ht="16.5">
      <c r="A251" s="242">
        <v>245</v>
      </c>
      <c r="B251" s="276"/>
      <c r="C251" s="277"/>
      <c r="D251" s="278" t="s">
        <v>581</v>
      </c>
      <c r="E251" s="279"/>
      <c r="F251" s="265"/>
      <c r="G251" s="265"/>
      <c r="H251" s="266"/>
      <c r="I251" s="267">
        <f t="shared" si="5"/>
        <v>318047</v>
      </c>
      <c r="J251" s="68"/>
      <c r="K251" s="68"/>
      <c r="L251" s="68"/>
      <c r="M251" s="68"/>
      <c r="N251" s="69">
        <v>318047</v>
      </c>
    </row>
    <row r="252" spans="1:14" ht="17.25">
      <c r="A252" s="242">
        <v>246</v>
      </c>
      <c r="B252" s="268"/>
      <c r="C252" s="269"/>
      <c r="D252" s="270" t="s">
        <v>579</v>
      </c>
      <c r="E252" s="271"/>
      <c r="F252" s="272"/>
      <c r="G252" s="272"/>
      <c r="H252" s="273"/>
      <c r="I252" s="274">
        <f t="shared" si="5"/>
        <v>318047</v>
      </c>
      <c r="J252" s="272"/>
      <c r="K252" s="272"/>
      <c r="L252" s="272"/>
      <c r="M252" s="272"/>
      <c r="N252" s="275">
        <v>318047</v>
      </c>
    </row>
    <row r="253" spans="1:14" s="253" customFormat="1" ht="25.5" customHeight="1">
      <c r="A253" s="242">
        <v>247</v>
      </c>
      <c r="B253" s="276"/>
      <c r="C253" s="277">
        <v>47</v>
      </c>
      <c r="D253" s="278" t="s">
        <v>550</v>
      </c>
      <c r="E253" s="279" t="s">
        <v>815</v>
      </c>
      <c r="F253" s="265">
        <v>128658</v>
      </c>
      <c r="G253" s="265">
        <v>128806</v>
      </c>
      <c r="H253" s="266">
        <v>139612</v>
      </c>
      <c r="I253" s="267"/>
      <c r="J253" s="279"/>
      <c r="K253" s="279"/>
      <c r="L253" s="279"/>
      <c r="M253" s="279"/>
      <c r="N253" s="280"/>
    </row>
    <row r="254" spans="1:14" ht="16.5">
      <c r="A254" s="242">
        <v>248</v>
      </c>
      <c r="B254" s="276"/>
      <c r="C254" s="277"/>
      <c r="D254" s="281" t="s">
        <v>580</v>
      </c>
      <c r="E254" s="282"/>
      <c r="F254" s="262"/>
      <c r="G254" s="262"/>
      <c r="H254" s="263"/>
      <c r="I254" s="264">
        <f t="shared" si="5"/>
        <v>134866</v>
      </c>
      <c r="J254" s="216"/>
      <c r="K254" s="216"/>
      <c r="L254" s="216"/>
      <c r="M254" s="216"/>
      <c r="N254" s="217">
        <v>134866</v>
      </c>
    </row>
    <row r="255" spans="1:14" ht="16.5">
      <c r="A255" s="242">
        <v>249</v>
      </c>
      <c r="B255" s="276"/>
      <c r="C255" s="277"/>
      <c r="D255" s="278" t="s">
        <v>581</v>
      </c>
      <c r="E255" s="279"/>
      <c r="F255" s="265"/>
      <c r="G255" s="265"/>
      <c r="H255" s="266"/>
      <c r="I255" s="267">
        <f t="shared" si="5"/>
        <v>158972</v>
      </c>
      <c r="J255" s="68"/>
      <c r="K255" s="68"/>
      <c r="L255" s="68"/>
      <c r="M255" s="68"/>
      <c r="N255" s="69">
        <v>158972</v>
      </c>
    </row>
    <row r="256" spans="1:14" ht="17.25">
      <c r="A256" s="242">
        <v>250</v>
      </c>
      <c r="B256" s="268"/>
      <c r="C256" s="269"/>
      <c r="D256" s="270" t="s">
        <v>579</v>
      </c>
      <c r="E256" s="271"/>
      <c r="F256" s="272"/>
      <c r="G256" s="272"/>
      <c r="H256" s="273"/>
      <c r="I256" s="274">
        <f t="shared" si="5"/>
        <v>145642</v>
      </c>
      <c r="J256" s="272"/>
      <c r="K256" s="272"/>
      <c r="L256" s="272"/>
      <c r="M256" s="272"/>
      <c r="N256" s="275">
        <v>145642</v>
      </c>
    </row>
    <row r="257" spans="1:14" s="253" customFormat="1" ht="25.5" customHeight="1">
      <c r="A257" s="242">
        <v>251</v>
      </c>
      <c r="B257" s="276"/>
      <c r="C257" s="277">
        <v>48</v>
      </c>
      <c r="D257" s="278" t="s">
        <v>756</v>
      </c>
      <c r="E257" s="279" t="s">
        <v>815</v>
      </c>
      <c r="F257" s="265"/>
      <c r="G257" s="265">
        <v>17400</v>
      </c>
      <c r="H257" s="266">
        <v>17125</v>
      </c>
      <c r="I257" s="267"/>
      <c r="J257" s="279"/>
      <c r="K257" s="279"/>
      <c r="L257" s="279"/>
      <c r="M257" s="279"/>
      <c r="N257" s="280"/>
    </row>
    <row r="258" spans="1:14" ht="16.5">
      <c r="A258" s="242">
        <v>252</v>
      </c>
      <c r="B258" s="276"/>
      <c r="C258" s="277"/>
      <c r="D258" s="281" t="s">
        <v>580</v>
      </c>
      <c r="E258" s="282"/>
      <c r="F258" s="262"/>
      <c r="G258" s="262"/>
      <c r="H258" s="263"/>
      <c r="I258" s="264">
        <f t="shared" si="5"/>
        <v>29800</v>
      </c>
      <c r="J258" s="216"/>
      <c r="K258" s="216"/>
      <c r="L258" s="216">
        <v>29800</v>
      </c>
      <c r="M258" s="216"/>
      <c r="N258" s="217"/>
    </row>
    <row r="259" spans="1:14" ht="16.5">
      <c r="A259" s="242">
        <v>253</v>
      </c>
      <c r="B259" s="276"/>
      <c r="C259" s="277"/>
      <c r="D259" s="278" t="s">
        <v>581</v>
      </c>
      <c r="E259" s="279"/>
      <c r="F259" s="265"/>
      <c r="G259" s="265"/>
      <c r="H259" s="266"/>
      <c r="I259" s="267">
        <f t="shared" si="5"/>
        <v>29800</v>
      </c>
      <c r="J259" s="68"/>
      <c r="K259" s="68"/>
      <c r="L259" s="68">
        <v>29800</v>
      </c>
      <c r="M259" s="68"/>
      <c r="N259" s="69"/>
    </row>
    <row r="260" spans="1:14" ht="17.25">
      <c r="A260" s="242">
        <v>254</v>
      </c>
      <c r="B260" s="268"/>
      <c r="C260" s="269"/>
      <c r="D260" s="270" t="s">
        <v>579</v>
      </c>
      <c r="E260" s="271"/>
      <c r="F260" s="272"/>
      <c r="G260" s="272"/>
      <c r="H260" s="273"/>
      <c r="I260" s="274">
        <f t="shared" si="5"/>
        <v>26911</v>
      </c>
      <c r="J260" s="272"/>
      <c r="K260" s="272"/>
      <c r="L260" s="272">
        <v>26911</v>
      </c>
      <c r="M260" s="272"/>
      <c r="N260" s="275"/>
    </row>
    <row r="261" spans="1:14" s="253" customFormat="1" ht="30" customHeight="1">
      <c r="A261" s="242">
        <v>255</v>
      </c>
      <c r="B261" s="276"/>
      <c r="C261" s="277">
        <v>49</v>
      </c>
      <c r="D261" s="278" t="s">
        <v>449</v>
      </c>
      <c r="E261" s="279" t="s">
        <v>781</v>
      </c>
      <c r="F261" s="265">
        <v>1000</v>
      </c>
      <c r="G261" s="265">
        <v>1700</v>
      </c>
      <c r="H261" s="266">
        <v>1700</v>
      </c>
      <c r="I261" s="267"/>
      <c r="J261" s="279"/>
      <c r="K261" s="279"/>
      <c r="L261" s="279"/>
      <c r="M261" s="279"/>
      <c r="N261" s="280"/>
    </row>
    <row r="262" spans="1:14" ht="16.5">
      <c r="A262" s="242">
        <v>256</v>
      </c>
      <c r="B262" s="276"/>
      <c r="C262" s="277"/>
      <c r="D262" s="281" t="s">
        <v>580</v>
      </c>
      <c r="E262" s="282"/>
      <c r="F262" s="262"/>
      <c r="G262" s="262"/>
      <c r="H262" s="263"/>
      <c r="I262" s="264">
        <f t="shared" si="5"/>
        <v>1700</v>
      </c>
      <c r="J262" s="216"/>
      <c r="K262" s="216"/>
      <c r="L262" s="216">
        <v>1700</v>
      </c>
      <c r="M262" s="216"/>
      <c r="N262" s="217"/>
    </row>
    <row r="263" spans="1:14" ht="16.5">
      <c r="A263" s="242">
        <v>257</v>
      </c>
      <c r="B263" s="276"/>
      <c r="C263" s="277"/>
      <c r="D263" s="278" t="s">
        <v>581</v>
      </c>
      <c r="E263" s="279"/>
      <c r="F263" s="265"/>
      <c r="G263" s="265"/>
      <c r="H263" s="266"/>
      <c r="I263" s="267">
        <f t="shared" si="5"/>
        <v>1700</v>
      </c>
      <c r="J263" s="68"/>
      <c r="K263" s="68"/>
      <c r="L263" s="68">
        <v>1700</v>
      </c>
      <c r="M263" s="68"/>
      <c r="N263" s="69"/>
    </row>
    <row r="264" spans="1:14" ht="17.25">
      <c r="A264" s="242">
        <v>258</v>
      </c>
      <c r="B264" s="268"/>
      <c r="C264" s="269"/>
      <c r="D264" s="270" t="s">
        <v>579</v>
      </c>
      <c r="E264" s="271"/>
      <c r="F264" s="272"/>
      <c r="G264" s="272"/>
      <c r="H264" s="273"/>
      <c r="I264" s="274">
        <f t="shared" si="5"/>
        <v>1700</v>
      </c>
      <c r="J264" s="272"/>
      <c r="K264" s="272"/>
      <c r="L264" s="272">
        <v>1700</v>
      </c>
      <c r="M264" s="272"/>
      <c r="N264" s="275"/>
    </row>
    <row r="265" spans="1:14" s="253" customFormat="1" ht="30" customHeight="1">
      <c r="A265" s="242">
        <v>259</v>
      </c>
      <c r="B265" s="276"/>
      <c r="C265" s="277">
        <v>50</v>
      </c>
      <c r="D265" s="278" t="s">
        <v>458</v>
      </c>
      <c r="E265" s="279" t="s">
        <v>781</v>
      </c>
      <c r="F265" s="265">
        <v>2110</v>
      </c>
      <c r="G265" s="265">
        <v>6000</v>
      </c>
      <c r="H265" s="266"/>
      <c r="I265" s="267"/>
      <c r="J265" s="279"/>
      <c r="K265" s="279"/>
      <c r="L265" s="279"/>
      <c r="M265" s="279"/>
      <c r="N265" s="280"/>
    </row>
    <row r="266" spans="1:14" ht="16.5">
      <c r="A266" s="242">
        <v>260</v>
      </c>
      <c r="B266" s="276"/>
      <c r="C266" s="277"/>
      <c r="D266" s="278" t="s">
        <v>581</v>
      </c>
      <c r="E266" s="279"/>
      <c r="F266" s="265"/>
      <c r="G266" s="265"/>
      <c r="H266" s="266"/>
      <c r="I266" s="267">
        <f t="shared" si="5"/>
        <v>1000</v>
      </c>
      <c r="J266" s="68"/>
      <c r="K266" s="68"/>
      <c r="L266" s="68"/>
      <c r="M266" s="68"/>
      <c r="N266" s="69">
        <v>1000</v>
      </c>
    </row>
    <row r="267" spans="1:14" ht="17.25">
      <c r="A267" s="242">
        <v>261</v>
      </c>
      <c r="B267" s="268"/>
      <c r="C267" s="269"/>
      <c r="D267" s="270" t="s">
        <v>579</v>
      </c>
      <c r="E267" s="271"/>
      <c r="F267" s="272"/>
      <c r="G267" s="272"/>
      <c r="H267" s="273"/>
      <c r="I267" s="274">
        <f t="shared" si="5"/>
        <v>0</v>
      </c>
      <c r="J267" s="272"/>
      <c r="K267" s="272"/>
      <c r="L267" s="272"/>
      <c r="M267" s="272"/>
      <c r="N267" s="275"/>
    </row>
    <row r="268" spans="1:14" s="253" customFormat="1" ht="30" customHeight="1">
      <c r="A268" s="242">
        <v>262</v>
      </c>
      <c r="B268" s="276"/>
      <c r="C268" s="277">
        <v>51</v>
      </c>
      <c r="D268" s="278" t="s">
        <v>474</v>
      </c>
      <c r="E268" s="279" t="s">
        <v>781</v>
      </c>
      <c r="F268" s="265">
        <v>500</v>
      </c>
      <c r="G268" s="265">
        <v>2000</v>
      </c>
      <c r="H268" s="266">
        <v>2000</v>
      </c>
      <c r="I268" s="267"/>
      <c r="J268" s="279"/>
      <c r="K268" s="279"/>
      <c r="L268" s="279"/>
      <c r="M268" s="279"/>
      <c r="N268" s="280"/>
    </row>
    <row r="269" spans="1:14" ht="16.5">
      <c r="A269" s="242">
        <v>263</v>
      </c>
      <c r="B269" s="276"/>
      <c r="C269" s="277"/>
      <c r="D269" s="281" t="s">
        <v>580</v>
      </c>
      <c r="E269" s="282"/>
      <c r="F269" s="262"/>
      <c r="G269" s="262"/>
      <c r="H269" s="263"/>
      <c r="I269" s="264">
        <f t="shared" si="5"/>
        <v>1000</v>
      </c>
      <c r="J269" s="216"/>
      <c r="K269" s="216"/>
      <c r="L269" s="216">
        <v>1000</v>
      </c>
      <c r="M269" s="216"/>
      <c r="N269" s="217"/>
    </row>
    <row r="270" spans="1:14" ht="16.5">
      <c r="A270" s="242">
        <v>264</v>
      </c>
      <c r="B270" s="276"/>
      <c r="C270" s="277"/>
      <c r="D270" s="278" t="s">
        <v>581</v>
      </c>
      <c r="E270" s="279"/>
      <c r="F270" s="265"/>
      <c r="G270" s="265"/>
      <c r="H270" s="266"/>
      <c r="I270" s="267">
        <f t="shared" si="5"/>
        <v>1000</v>
      </c>
      <c r="J270" s="68"/>
      <c r="K270" s="68"/>
      <c r="L270" s="68">
        <v>1000</v>
      </c>
      <c r="M270" s="68"/>
      <c r="N270" s="69"/>
    </row>
    <row r="271" spans="1:14" ht="17.25">
      <c r="A271" s="242">
        <v>265</v>
      </c>
      <c r="B271" s="268"/>
      <c r="C271" s="269"/>
      <c r="D271" s="270" t="s">
        <v>579</v>
      </c>
      <c r="E271" s="271"/>
      <c r="F271" s="272"/>
      <c r="G271" s="272"/>
      <c r="H271" s="273"/>
      <c r="I271" s="274">
        <f t="shared" si="5"/>
        <v>1000</v>
      </c>
      <c r="J271" s="272"/>
      <c r="K271" s="272"/>
      <c r="L271" s="272">
        <v>1000</v>
      </c>
      <c r="M271" s="272"/>
      <c r="N271" s="275"/>
    </row>
    <row r="272" spans="1:14" s="253" customFormat="1" ht="30" customHeight="1">
      <c r="A272" s="242">
        <v>266</v>
      </c>
      <c r="B272" s="276"/>
      <c r="C272" s="277">
        <v>52</v>
      </c>
      <c r="D272" s="278" t="s">
        <v>571</v>
      </c>
      <c r="E272" s="279" t="s">
        <v>815</v>
      </c>
      <c r="F272" s="265">
        <v>5000</v>
      </c>
      <c r="G272" s="265">
        <v>5000</v>
      </c>
      <c r="H272" s="266">
        <v>5000</v>
      </c>
      <c r="I272" s="267"/>
      <c r="J272" s="279"/>
      <c r="K272" s="279"/>
      <c r="L272" s="279"/>
      <c r="M272" s="279"/>
      <c r="N272" s="280"/>
    </row>
    <row r="273" spans="1:14" ht="16.5">
      <c r="A273" s="242">
        <v>267</v>
      </c>
      <c r="B273" s="276"/>
      <c r="C273" s="277"/>
      <c r="D273" s="281" t="s">
        <v>580</v>
      </c>
      <c r="E273" s="282"/>
      <c r="F273" s="262"/>
      <c r="G273" s="262"/>
      <c r="H273" s="263"/>
      <c r="I273" s="264">
        <f t="shared" si="5"/>
        <v>5000</v>
      </c>
      <c r="J273" s="216"/>
      <c r="K273" s="216"/>
      <c r="L273" s="216">
        <v>5000</v>
      </c>
      <c r="M273" s="216"/>
      <c r="N273" s="217"/>
    </row>
    <row r="274" spans="1:14" ht="16.5">
      <c r="A274" s="242">
        <v>268</v>
      </c>
      <c r="B274" s="276"/>
      <c r="C274" s="277"/>
      <c r="D274" s="278" t="s">
        <v>581</v>
      </c>
      <c r="E274" s="279"/>
      <c r="F274" s="265"/>
      <c r="G274" s="265"/>
      <c r="H274" s="266"/>
      <c r="I274" s="267">
        <f t="shared" si="5"/>
        <v>5000</v>
      </c>
      <c r="J274" s="68"/>
      <c r="K274" s="68"/>
      <c r="L274" s="68">
        <v>5000</v>
      </c>
      <c r="M274" s="68"/>
      <c r="N274" s="69"/>
    </row>
    <row r="275" spans="1:14" ht="17.25">
      <c r="A275" s="242">
        <v>269</v>
      </c>
      <c r="B275" s="268"/>
      <c r="C275" s="269"/>
      <c r="D275" s="270" t="s">
        <v>579</v>
      </c>
      <c r="E275" s="271"/>
      <c r="F275" s="272"/>
      <c r="G275" s="272"/>
      <c r="H275" s="273"/>
      <c r="I275" s="274">
        <f t="shared" si="5"/>
        <v>5000</v>
      </c>
      <c r="J275" s="272"/>
      <c r="K275" s="272"/>
      <c r="L275" s="272">
        <v>5000</v>
      </c>
      <c r="M275" s="272"/>
      <c r="N275" s="275"/>
    </row>
    <row r="276" spans="1:14" s="253" customFormat="1" ht="30" customHeight="1">
      <c r="A276" s="242">
        <v>270</v>
      </c>
      <c r="B276" s="276"/>
      <c r="C276" s="277">
        <v>53</v>
      </c>
      <c r="D276" s="278" t="s">
        <v>459</v>
      </c>
      <c r="E276" s="279" t="s">
        <v>781</v>
      </c>
      <c r="F276" s="265">
        <v>5760</v>
      </c>
      <c r="G276" s="265">
        <v>5760</v>
      </c>
      <c r="H276" s="266">
        <v>5785</v>
      </c>
      <c r="I276" s="267"/>
      <c r="J276" s="279"/>
      <c r="K276" s="279"/>
      <c r="L276" s="279"/>
      <c r="M276" s="279"/>
      <c r="N276" s="280"/>
    </row>
    <row r="277" spans="1:14" ht="16.5">
      <c r="A277" s="242">
        <v>271</v>
      </c>
      <c r="B277" s="276"/>
      <c r="C277" s="277"/>
      <c r="D277" s="281" t="s">
        <v>580</v>
      </c>
      <c r="E277" s="282"/>
      <c r="F277" s="262"/>
      <c r="G277" s="262"/>
      <c r="H277" s="263"/>
      <c r="I277" s="264">
        <f t="shared" si="5"/>
        <v>5760</v>
      </c>
      <c r="J277" s="216"/>
      <c r="K277" s="216"/>
      <c r="L277" s="216">
        <v>5760</v>
      </c>
      <c r="M277" s="216"/>
      <c r="N277" s="217"/>
    </row>
    <row r="278" spans="1:14" ht="16.5">
      <c r="A278" s="242">
        <v>272</v>
      </c>
      <c r="B278" s="276"/>
      <c r="C278" s="277"/>
      <c r="D278" s="278" t="s">
        <v>581</v>
      </c>
      <c r="E278" s="279"/>
      <c r="F278" s="265"/>
      <c r="G278" s="265"/>
      <c r="H278" s="266"/>
      <c r="I278" s="267">
        <f t="shared" si="5"/>
        <v>6240</v>
      </c>
      <c r="J278" s="68"/>
      <c r="K278" s="68"/>
      <c r="L278" s="68">
        <v>6240</v>
      </c>
      <c r="M278" s="68"/>
      <c r="N278" s="69"/>
    </row>
    <row r="279" spans="1:14" ht="17.25">
      <c r="A279" s="242">
        <v>273</v>
      </c>
      <c r="B279" s="268"/>
      <c r="C279" s="269"/>
      <c r="D279" s="270" t="s">
        <v>579</v>
      </c>
      <c r="E279" s="271"/>
      <c r="F279" s="272"/>
      <c r="G279" s="272"/>
      <c r="H279" s="273"/>
      <c r="I279" s="274">
        <f t="shared" si="5"/>
        <v>6240</v>
      </c>
      <c r="J279" s="272"/>
      <c r="K279" s="272"/>
      <c r="L279" s="272">
        <v>6240</v>
      </c>
      <c r="M279" s="272"/>
      <c r="N279" s="275"/>
    </row>
    <row r="280" spans="1:14" s="253" customFormat="1" ht="30" customHeight="1">
      <c r="A280" s="242">
        <v>274</v>
      </c>
      <c r="B280" s="276"/>
      <c r="C280" s="277">
        <v>54</v>
      </c>
      <c r="D280" s="278" t="s">
        <v>573</v>
      </c>
      <c r="E280" s="279" t="s">
        <v>781</v>
      </c>
      <c r="F280" s="265">
        <v>1942</v>
      </c>
      <c r="G280" s="265">
        <v>3000</v>
      </c>
      <c r="H280" s="266">
        <v>913</v>
      </c>
      <c r="I280" s="267"/>
      <c r="J280" s="279"/>
      <c r="K280" s="279"/>
      <c r="L280" s="279"/>
      <c r="M280" s="279"/>
      <c r="N280" s="280"/>
    </row>
    <row r="281" spans="1:14" ht="16.5">
      <c r="A281" s="242">
        <v>275</v>
      </c>
      <c r="B281" s="276"/>
      <c r="C281" s="277"/>
      <c r="D281" s="281" t="s">
        <v>580</v>
      </c>
      <c r="E281" s="282"/>
      <c r="F281" s="262"/>
      <c r="G281" s="262"/>
      <c r="H281" s="263"/>
      <c r="I281" s="264">
        <f t="shared" si="5"/>
        <v>2000</v>
      </c>
      <c r="J281" s="216"/>
      <c r="K281" s="216"/>
      <c r="L281" s="216">
        <v>2000</v>
      </c>
      <c r="M281" s="216"/>
      <c r="N281" s="217"/>
    </row>
    <row r="282" spans="1:14" ht="16.5">
      <c r="A282" s="242">
        <v>276</v>
      </c>
      <c r="B282" s="276"/>
      <c r="C282" s="277"/>
      <c r="D282" s="278" t="s">
        <v>581</v>
      </c>
      <c r="E282" s="279"/>
      <c r="F282" s="265"/>
      <c r="G282" s="265"/>
      <c r="H282" s="266"/>
      <c r="I282" s="267">
        <f t="shared" si="5"/>
        <v>4087</v>
      </c>
      <c r="J282" s="68"/>
      <c r="K282" s="68"/>
      <c r="L282" s="68">
        <v>4087</v>
      </c>
      <c r="M282" s="68"/>
      <c r="N282" s="69"/>
    </row>
    <row r="283" spans="1:14" ht="17.25">
      <c r="A283" s="242">
        <v>277</v>
      </c>
      <c r="B283" s="268"/>
      <c r="C283" s="269"/>
      <c r="D283" s="270" t="s">
        <v>579</v>
      </c>
      <c r="E283" s="271"/>
      <c r="F283" s="272"/>
      <c r="G283" s="272"/>
      <c r="H283" s="273"/>
      <c r="I283" s="274">
        <f t="shared" si="5"/>
        <v>672</v>
      </c>
      <c r="J283" s="272"/>
      <c r="K283" s="272"/>
      <c r="L283" s="272">
        <v>672</v>
      </c>
      <c r="M283" s="272"/>
      <c r="N283" s="275"/>
    </row>
    <row r="284" spans="1:15" s="253" customFormat="1" ht="25.5" customHeight="1">
      <c r="A284" s="242">
        <v>278</v>
      </c>
      <c r="B284" s="276"/>
      <c r="C284" s="277">
        <v>55</v>
      </c>
      <c r="D284" s="278" t="s">
        <v>22</v>
      </c>
      <c r="E284" s="279" t="s">
        <v>781</v>
      </c>
      <c r="F284" s="265">
        <v>42854</v>
      </c>
      <c r="G284" s="265">
        <v>59233</v>
      </c>
      <c r="H284" s="266">
        <v>53465</v>
      </c>
      <c r="I284" s="267"/>
      <c r="J284" s="279"/>
      <c r="K284" s="279"/>
      <c r="L284" s="279"/>
      <c r="M284" s="279"/>
      <c r="N284" s="280"/>
      <c r="O284" s="253">
        <f>SUM(L283,L279,L275,L271,L264,L260)</f>
        <v>41523</v>
      </c>
    </row>
    <row r="285" spans="1:14" ht="16.5">
      <c r="A285" s="242">
        <v>279</v>
      </c>
      <c r="B285" s="276"/>
      <c r="C285" s="277"/>
      <c r="D285" s="281" t="s">
        <v>580</v>
      </c>
      <c r="E285" s="282"/>
      <c r="F285" s="262"/>
      <c r="G285" s="262"/>
      <c r="H285" s="263"/>
      <c r="I285" s="264">
        <f t="shared" si="5"/>
        <v>65000</v>
      </c>
      <c r="J285" s="216">
        <v>8711</v>
      </c>
      <c r="K285" s="216">
        <v>2117</v>
      </c>
      <c r="L285" s="216">
        <v>54172</v>
      </c>
      <c r="M285" s="216"/>
      <c r="N285" s="217"/>
    </row>
    <row r="286" spans="1:14" ht="16.5">
      <c r="A286" s="242">
        <v>280</v>
      </c>
      <c r="B286" s="276"/>
      <c r="C286" s="277"/>
      <c r="D286" s="278" t="s">
        <v>581</v>
      </c>
      <c r="E286" s="279"/>
      <c r="F286" s="265"/>
      <c r="G286" s="265"/>
      <c r="H286" s="266"/>
      <c r="I286" s="267">
        <f t="shared" si="5"/>
        <v>70288</v>
      </c>
      <c r="J286" s="68">
        <v>10972</v>
      </c>
      <c r="K286" s="68">
        <v>2703</v>
      </c>
      <c r="L286" s="68">
        <v>56613</v>
      </c>
      <c r="M286" s="68"/>
      <c r="N286" s="69"/>
    </row>
    <row r="287" spans="1:14" ht="17.25">
      <c r="A287" s="242">
        <v>281</v>
      </c>
      <c r="B287" s="268"/>
      <c r="C287" s="269"/>
      <c r="D287" s="270" t="s">
        <v>579</v>
      </c>
      <c r="E287" s="271"/>
      <c r="F287" s="272"/>
      <c r="G287" s="272"/>
      <c r="H287" s="273"/>
      <c r="I287" s="274">
        <f t="shared" si="5"/>
        <v>57011</v>
      </c>
      <c r="J287" s="272">
        <v>5602</v>
      </c>
      <c r="K287" s="272">
        <v>1361</v>
      </c>
      <c r="L287" s="272">
        <v>50048</v>
      </c>
      <c r="M287" s="272"/>
      <c r="N287" s="275"/>
    </row>
    <row r="288" spans="1:14" s="253" customFormat="1" ht="19.5" customHeight="1">
      <c r="A288" s="242">
        <v>282</v>
      </c>
      <c r="B288" s="276"/>
      <c r="C288" s="277">
        <v>56</v>
      </c>
      <c r="D288" s="278" t="s">
        <v>32</v>
      </c>
      <c r="E288" s="279" t="s">
        <v>815</v>
      </c>
      <c r="F288" s="265"/>
      <c r="G288" s="265"/>
      <c r="H288" s="266"/>
      <c r="I288" s="267"/>
      <c r="J288" s="279"/>
      <c r="K288" s="279"/>
      <c r="L288" s="279"/>
      <c r="M288" s="279"/>
      <c r="N288" s="280"/>
    </row>
    <row r="289" spans="1:14" ht="16.5">
      <c r="A289" s="242">
        <v>283</v>
      </c>
      <c r="B289" s="276"/>
      <c r="C289" s="277"/>
      <c r="D289" s="278" t="s">
        <v>581</v>
      </c>
      <c r="E289" s="279"/>
      <c r="F289" s="265"/>
      <c r="G289" s="265"/>
      <c r="H289" s="266"/>
      <c r="I289" s="267">
        <f>SUM(J289:N289)</f>
        <v>0</v>
      </c>
      <c r="J289" s="68"/>
      <c r="K289" s="68"/>
      <c r="L289" s="68"/>
      <c r="M289" s="68"/>
      <c r="N289" s="69"/>
    </row>
    <row r="290" spans="1:14" ht="17.25">
      <c r="A290" s="242">
        <v>284</v>
      </c>
      <c r="B290" s="268"/>
      <c r="C290" s="269"/>
      <c r="D290" s="270" t="s">
        <v>579</v>
      </c>
      <c r="E290" s="271"/>
      <c r="F290" s="272"/>
      <c r="G290" s="272"/>
      <c r="H290" s="273"/>
      <c r="I290" s="274">
        <f>SUM(J290:N290)</f>
        <v>0</v>
      </c>
      <c r="J290" s="272"/>
      <c r="K290" s="272"/>
      <c r="L290" s="272"/>
      <c r="M290" s="272"/>
      <c r="N290" s="275"/>
    </row>
    <row r="291" spans="1:14" s="253" customFormat="1" ht="19.5" customHeight="1">
      <c r="A291" s="242">
        <v>285</v>
      </c>
      <c r="B291" s="276"/>
      <c r="C291" s="277">
        <v>57</v>
      </c>
      <c r="D291" s="278" t="s">
        <v>574</v>
      </c>
      <c r="E291" s="279" t="s">
        <v>781</v>
      </c>
      <c r="F291" s="265">
        <v>21</v>
      </c>
      <c r="G291" s="265"/>
      <c r="H291" s="266">
        <v>18241</v>
      </c>
      <c r="I291" s="274"/>
      <c r="J291" s="279"/>
      <c r="K291" s="279"/>
      <c r="L291" s="279"/>
      <c r="M291" s="279"/>
      <c r="N291" s="280"/>
    </row>
    <row r="292" spans="1:14" ht="16.5">
      <c r="A292" s="242">
        <v>286</v>
      </c>
      <c r="B292" s="276"/>
      <c r="C292" s="277"/>
      <c r="D292" s="278" t="s">
        <v>581</v>
      </c>
      <c r="E292" s="279"/>
      <c r="F292" s="265"/>
      <c r="G292" s="265"/>
      <c r="H292" s="266"/>
      <c r="I292" s="267">
        <f>SUM(J292:N292)</f>
        <v>84170</v>
      </c>
      <c r="J292" s="68"/>
      <c r="K292" s="68"/>
      <c r="L292" s="68"/>
      <c r="M292" s="68"/>
      <c r="N292" s="69">
        <v>84170</v>
      </c>
    </row>
    <row r="293" spans="1:14" ht="17.25">
      <c r="A293" s="242">
        <v>287</v>
      </c>
      <c r="B293" s="268"/>
      <c r="C293" s="269"/>
      <c r="D293" s="270" t="s">
        <v>579</v>
      </c>
      <c r="E293" s="271"/>
      <c r="F293" s="272"/>
      <c r="G293" s="272"/>
      <c r="H293" s="273"/>
      <c r="I293" s="274">
        <f>SUM(J293:N293)</f>
        <v>3847</v>
      </c>
      <c r="J293" s="272"/>
      <c r="K293" s="272"/>
      <c r="L293" s="272"/>
      <c r="M293" s="272"/>
      <c r="N293" s="275">
        <v>3847</v>
      </c>
    </row>
    <row r="294" spans="1:14" s="253" customFormat="1" ht="19.5" customHeight="1">
      <c r="A294" s="242">
        <v>288</v>
      </c>
      <c r="B294" s="276"/>
      <c r="C294" s="277">
        <v>58</v>
      </c>
      <c r="D294" s="278" t="s">
        <v>417</v>
      </c>
      <c r="E294" s="279" t="s">
        <v>781</v>
      </c>
      <c r="F294" s="265">
        <v>80327</v>
      </c>
      <c r="G294" s="265">
        <v>67500</v>
      </c>
      <c r="H294" s="266">
        <v>43987</v>
      </c>
      <c r="I294" s="267"/>
      <c r="J294" s="279"/>
      <c r="K294" s="279"/>
      <c r="L294" s="279"/>
      <c r="M294" s="279"/>
      <c r="N294" s="280"/>
    </row>
    <row r="295" spans="1:14" ht="16.5">
      <c r="A295" s="242">
        <v>289</v>
      </c>
      <c r="B295" s="276"/>
      <c r="C295" s="277"/>
      <c r="D295" s="281" t="s">
        <v>580</v>
      </c>
      <c r="E295" s="282"/>
      <c r="F295" s="262"/>
      <c r="G295" s="262"/>
      <c r="H295" s="263"/>
      <c r="I295" s="264">
        <f aca="true" t="shared" si="6" ref="I295:I364">SUM(J295:N295)</f>
        <v>137800</v>
      </c>
      <c r="J295" s="216"/>
      <c r="K295" s="216"/>
      <c r="L295" s="216">
        <v>137800</v>
      </c>
      <c r="M295" s="216"/>
      <c r="N295" s="217"/>
    </row>
    <row r="296" spans="1:14" ht="16.5">
      <c r="A296" s="242">
        <v>290</v>
      </c>
      <c r="B296" s="276"/>
      <c r="C296" s="277"/>
      <c r="D296" s="278" t="s">
        <v>581</v>
      </c>
      <c r="E296" s="279"/>
      <c r="F296" s="265"/>
      <c r="G296" s="265"/>
      <c r="H296" s="266"/>
      <c r="I296" s="267">
        <f t="shared" si="6"/>
        <v>103355</v>
      </c>
      <c r="J296" s="68"/>
      <c r="K296" s="68"/>
      <c r="L296" s="68">
        <v>103355</v>
      </c>
      <c r="M296" s="68"/>
      <c r="N296" s="69"/>
    </row>
    <row r="297" spans="1:14" ht="17.25">
      <c r="A297" s="242">
        <v>291</v>
      </c>
      <c r="B297" s="268"/>
      <c r="C297" s="269"/>
      <c r="D297" s="270" t="s">
        <v>579</v>
      </c>
      <c r="E297" s="271"/>
      <c r="F297" s="272"/>
      <c r="G297" s="272"/>
      <c r="H297" s="273"/>
      <c r="I297" s="274">
        <f t="shared" si="6"/>
        <v>78718</v>
      </c>
      <c r="J297" s="272"/>
      <c r="K297" s="272"/>
      <c r="L297" s="272">
        <v>78718</v>
      </c>
      <c r="M297" s="272"/>
      <c r="N297" s="275"/>
    </row>
    <row r="298" spans="1:14" s="253" customFormat="1" ht="19.5" customHeight="1">
      <c r="A298" s="242">
        <v>292</v>
      </c>
      <c r="B298" s="276"/>
      <c r="C298" s="277">
        <v>59</v>
      </c>
      <c r="D298" s="278" t="s">
        <v>662</v>
      </c>
      <c r="E298" s="279" t="s">
        <v>781</v>
      </c>
      <c r="F298" s="265">
        <v>263651</v>
      </c>
      <c r="G298" s="265">
        <v>87500</v>
      </c>
      <c r="H298" s="266">
        <v>27660</v>
      </c>
      <c r="I298" s="267"/>
      <c r="J298" s="279"/>
      <c r="K298" s="279"/>
      <c r="L298" s="279"/>
      <c r="M298" s="279"/>
      <c r="N298" s="280"/>
    </row>
    <row r="299" spans="1:14" ht="16.5">
      <c r="A299" s="242">
        <v>293</v>
      </c>
      <c r="B299" s="276"/>
      <c r="C299" s="277"/>
      <c r="D299" s="281" t="s">
        <v>580</v>
      </c>
      <c r="E299" s="282"/>
      <c r="F299" s="262"/>
      <c r="G299" s="262"/>
      <c r="H299" s="263"/>
      <c r="I299" s="264">
        <f t="shared" si="6"/>
        <v>52417</v>
      </c>
      <c r="J299" s="216"/>
      <c r="K299" s="216"/>
      <c r="L299" s="216">
        <v>52417</v>
      </c>
      <c r="M299" s="216"/>
      <c r="N299" s="217"/>
    </row>
    <row r="300" spans="1:14" ht="16.5">
      <c r="A300" s="242">
        <v>294</v>
      </c>
      <c r="B300" s="276"/>
      <c r="C300" s="277"/>
      <c r="D300" s="278" t="s">
        <v>581</v>
      </c>
      <c r="E300" s="279"/>
      <c r="F300" s="265"/>
      <c r="G300" s="265"/>
      <c r="H300" s="266"/>
      <c r="I300" s="267">
        <f t="shared" si="6"/>
        <v>32417</v>
      </c>
      <c r="J300" s="68"/>
      <c r="K300" s="68"/>
      <c r="L300" s="68">
        <v>32417</v>
      </c>
      <c r="M300" s="68"/>
      <c r="N300" s="69"/>
    </row>
    <row r="301" spans="1:14" ht="17.25">
      <c r="A301" s="242">
        <v>295</v>
      </c>
      <c r="B301" s="268"/>
      <c r="C301" s="269"/>
      <c r="D301" s="270" t="s">
        <v>579</v>
      </c>
      <c r="E301" s="271"/>
      <c r="F301" s="272"/>
      <c r="G301" s="272"/>
      <c r="H301" s="273"/>
      <c r="I301" s="274">
        <f t="shared" si="6"/>
        <v>23905</v>
      </c>
      <c r="J301" s="272"/>
      <c r="K301" s="272"/>
      <c r="L301" s="272">
        <v>23905</v>
      </c>
      <c r="M301" s="272"/>
      <c r="N301" s="275"/>
    </row>
    <row r="302" spans="1:14" s="253" customFormat="1" ht="19.5" customHeight="1">
      <c r="A302" s="242">
        <v>296</v>
      </c>
      <c r="B302" s="276"/>
      <c r="C302" s="277">
        <v>60</v>
      </c>
      <c r="D302" s="278" t="s">
        <v>457</v>
      </c>
      <c r="E302" s="279" t="s">
        <v>781</v>
      </c>
      <c r="F302" s="265">
        <v>2387</v>
      </c>
      <c r="G302" s="265">
        <v>3000</v>
      </c>
      <c r="H302" s="266">
        <v>2841</v>
      </c>
      <c r="I302" s="267"/>
      <c r="J302" s="279"/>
      <c r="K302" s="279"/>
      <c r="L302" s="279"/>
      <c r="M302" s="279"/>
      <c r="N302" s="280"/>
    </row>
    <row r="303" spans="1:14" ht="16.5">
      <c r="A303" s="242">
        <v>297</v>
      </c>
      <c r="B303" s="276"/>
      <c r="C303" s="277"/>
      <c r="D303" s="281" t="s">
        <v>580</v>
      </c>
      <c r="E303" s="282"/>
      <c r="F303" s="262"/>
      <c r="G303" s="262"/>
      <c r="H303" s="263"/>
      <c r="I303" s="264">
        <f t="shared" si="6"/>
        <v>3000</v>
      </c>
      <c r="J303" s="216">
        <v>1200</v>
      </c>
      <c r="K303" s="216">
        <v>324</v>
      </c>
      <c r="L303" s="216">
        <v>1476</v>
      </c>
      <c r="M303" s="216"/>
      <c r="N303" s="217"/>
    </row>
    <row r="304" spans="1:14" ht="16.5">
      <c r="A304" s="242">
        <v>298</v>
      </c>
      <c r="B304" s="276"/>
      <c r="C304" s="277"/>
      <c r="D304" s="278" t="s">
        <v>581</v>
      </c>
      <c r="E304" s="279"/>
      <c r="F304" s="265"/>
      <c r="G304" s="265"/>
      <c r="H304" s="266"/>
      <c r="I304" s="267">
        <f t="shared" si="6"/>
        <v>1944</v>
      </c>
      <c r="J304" s="68">
        <v>53</v>
      </c>
      <c r="K304" s="68">
        <v>14</v>
      </c>
      <c r="L304" s="68">
        <v>1877</v>
      </c>
      <c r="M304" s="68"/>
      <c r="N304" s="69"/>
    </row>
    <row r="305" spans="1:14" ht="17.25">
      <c r="A305" s="242">
        <v>299</v>
      </c>
      <c r="B305" s="268"/>
      <c r="C305" s="269"/>
      <c r="D305" s="270" t="s">
        <v>579</v>
      </c>
      <c r="E305" s="271"/>
      <c r="F305" s="272"/>
      <c r="G305" s="272"/>
      <c r="H305" s="273"/>
      <c r="I305" s="274">
        <f t="shared" si="6"/>
        <v>1935</v>
      </c>
      <c r="J305" s="272">
        <v>53</v>
      </c>
      <c r="K305" s="272">
        <v>14</v>
      </c>
      <c r="L305" s="272">
        <v>1868</v>
      </c>
      <c r="M305" s="272"/>
      <c r="N305" s="275"/>
    </row>
    <row r="306" spans="1:14" s="253" customFormat="1" ht="19.5" customHeight="1">
      <c r="A306" s="242">
        <v>300</v>
      </c>
      <c r="B306" s="276"/>
      <c r="C306" s="277">
        <v>61</v>
      </c>
      <c r="D306" s="278" t="s">
        <v>572</v>
      </c>
      <c r="E306" s="279" t="s">
        <v>781</v>
      </c>
      <c r="F306" s="265">
        <v>1200</v>
      </c>
      <c r="G306" s="265">
        <v>1200</v>
      </c>
      <c r="H306" s="266">
        <v>1200</v>
      </c>
      <c r="I306" s="267"/>
      <c r="J306" s="279"/>
      <c r="K306" s="279"/>
      <c r="L306" s="279"/>
      <c r="M306" s="279"/>
      <c r="N306" s="280"/>
    </row>
    <row r="307" spans="1:14" ht="16.5">
      <c r="A307" s="242">
        <v>301</v>
      </c>
      <c r="B307" s="276"/>
      <c r="C307" s="277"/>
      <c r="D307" s="281" t="s">
        <v>580</v>
      </c>
      <c r="E307" s="282"/>
      <c r="F307" s="262"/>
      <c r="G307" s="262"/>
      <c r="H307" s="263"/>
      <c r="I307" s="264">
        <f t="shared" si="6"/>
        <v>5000</v>
      </c>
      <c r="J307" s="216"/>
      <c r="K307" s="216"/>
      <c r="L307" s="216"/>
      <c r="M307" s="216"/>
      <c r="N307" s="217">
        <v>5000</v>
      </c>
    </row>
    <row r="308" spans="1:14" ht="16.5">
      <c r="A308" s="242">
        <v>302</v>
      </c>
      <c r="B308" s="276"/>
      <c r="C308" s="277"/>
      <c r="D308" s="278" t="s">
        <v>581</v>
      </c>
      <c r="E308" s="279"/>
      <c r="F308" s="265"/>
      <c r="G308" s="265"/>
      <c r="H308" s="266"/>
      <c r="I308" s="267">
        <f t="shared" si="6"/>
        <v>5000</v>
      </c>
      <c r="J308" s="68"/>
      <c r="K308" s="68"/>
      <c r="L308" s="68"/>
      <c r="M308" s="68"/>
      <c r="N308" s="69">
        <v>5000</v>
      </c>
    </row>
    <row r="309" spans="1:14" ht="17.25">
      <c r="A309" s="242">
        <v>303</v>
      </c>
      <c r="B309" s="268"/>
      <c r="C309" s="269"/>
      <c r="D309" s="270" t="s">
        <v>579</v>
      </c>
      <c r="E309" s="271"/>
      <c r="F309" s="272"/>
      <c r="G309" s="272"/>
      <c r="H309" s="273"/>
      <c r="I309" s="274">
        <f t="shared" si="6"/>
        <v>4740</v>
      </c>
      <c r="J309" s="272"/>
      <c r="K309" s="272"/>
      <c r="L309" s="272"/>
      <c r="M309" s="272"/>
      <c r="N309" s="275">
        <v>4740</v>
      </c>
    </row>
    <row r="310" spans="1:14" s="612" customFormat="1" ht="17.25">
      <c r="A310" s="242">
        <v>304</v>
      </c>
      <c r="B310" s="310"/>
      <c r="C310" s="902"/>
      <c r="D310" s="311" t="s">
        <v>1237</v>
      </c>
      <c r="E310" s="286"/>
      <c r="F310" s="287"/>
      <c r="G310" s="287"/>
      <c r="H310" s="288"/>
      <c r="I310" s="274"/>
      <c r="J310" s="287"/>
      <c r="K310" s="287"/>
      <c r="L310" s="287"/>
      <c r="M310" s="287"/>
      <c r="N310" s="903"/>
    </row>
    <row r="311" spans="1:14" ht="17.25">
      <c r="A311" s="242">
        <v>305</v>
      </c>
      <c r="B311" s="276"/>
      <c r="C311" s="277"/>
      <c r="D311" s="311" t="s">
        <v>581</v>
      </c>
      <c r="E311" s="279"/>
      <c r="F311" s="265"/>
      <c r="G311" s="265"/>
      <c r="H311" s="266"/>
      <c r="I311" s="289">
        <f t="shared" si="6"/>
        <v>3800</v>
      </c>
      <c r="J311" s="218"/>
      <c r="K311" s="218"/>
      <c r="L311" s="218"/>
      <c r="M311" s="218"/>
      <c r="N311" s="219">
        <v>3800</v>
      </c>
    </row>
    <row r="312" spans="1:14" s="612" customFormat="1" ht="17.25">
      <c r="A312" s="242">
        <v>306</v>
      </c>
      <c r="B312" s="310"/>
      <c r="C312" s="902"/>
      <c r="D312" s="311" t="s">
        <v>579</v>
      </c>
      <c r="E312" s="286"/>
      <c r="F312" s="287"/>
      <c r="G312" s="287"/>
      <c r="H312" s="288"/>
      <c r="I312" s="289">
        <f t="shared" si="6"/>
        <v>3800</v>
      </c>
      <c r="J312" s="287"/>
      <c r="K312" s="287"/>
      <c r="L312" s="287"/>
      <c r="M312" s="287"/>
      <c r="N312" s="903">
        <v>3800</v>
      </c>
    </row>
    <row r="313" spans="1:14" s="253" customFormat="1" ht="19.5" customHeight="1">
      <c r="A313" s="242">
        <v>307</v>
      </c>
      <c r="B313" s="276"/>
      <c r="C313" s="277">
        <v>62</v>
      </c>
      <c r="D313" s="278" t="s">
        <v>526</v>
      </c>
      <c r="E313" s="279" t="s">
        <v>815</v>
      </c>
      <c r="F313" s="265">
        <v>20955</v>
      </c>
      <c r="G313" s="265">
        <v>22860</v>
      </c>
      <c r="H313" s="266">
        <v>22860</v>
      </c>
      <c r="I313" s="267"/>
      <c r="J313" s="279"/>
      <c r="K313" s="279"/>
      <c r="L313" s="279"/>
      <c r="M313" s="279"/>
      <c r="N313" s="280"/>
    </row>
    <row r="314" spans="1:14" ht="16.5">
      <c r="A314" s="242">
        <v>308</v>
      </c>
      <c r="B314" s="276"/>
      <c r="C314" s="277"/>
      <c r="D314" s="281" t="s">
        <v>580</v>
      </c>
      <c r="E314" s="282"/>
      <c r="F314" s="262"/>
      <c r="G314" s="262"/>
      <c r="H314" s="263"/>
      <c r="I314" s="264">
        <f t="shared" si="6"/>
        <v>22860</v>
      </c>
      <c r="J314" s="216"/>
      <c r="K314" s="216"/>
      <c r="L314" s="216">
        <v>22860</v>
      </c>
      <c r="M314" s="216"/>
      <c r="N314" s="217"/>
    </row>
    <row r="315" spans="1:14" ht="16.5">
      <c r="A315" s="242">
        <v>309</v>
      </c>
      <c r="B315" s="276"/>
      <c r="C315" s="277"/>
      <c r="D315" s="278" t="s">
        <v>581</v>
      </c>
      <c r="E315" s="279"/>
      <c r="F315" s="265"/>
      <c r="G315" s="265"/>
      <c r="H315" s="266"/>
      <c r="I315" s="267">
        <f t="shared" si="6"/>
        <v>24765</v>
      </c>
      <c r="J315" s="68"/>
      <c r="K315" s="68"/>
      <c r="L315" s="68">
        <v>24765</v>
      </c>
      <c r="M315" s="68"/>
      <c r="N315" s="69"/>
    </row>
    <row r="316" spans="1:14" ht="17.25">
      <c r="A316" s="242">
        <v>310</v>
      </c>
      <c r="B316" s="268"/>
      <c r="C316" s="269"/>
      <c r="D316" s="270" t="s">
        <v>579</v>
      </c>
      <c r="E316" s="271"/>
      <c r="F316" s="272"/>
      <c r="G316" s="272"/>
      <c r="H316" s="273"/>
      <c r="I316" s="274">
        <f t="shared" si="6"/>
        <v>22860</v>
      </c>
      <c r="J316" s="272"/>
      <c r="K316" s="272"/>
      <c r="L316" s="272">
        <v>22860</v>
      </c>
      <c r="M316" s="272"/>
      <c r="N316" s="275"/>
    </row>
    <row r="317" spans="1:14" s="253" customFormat="1" ht="19.5" customHeight="1">
      <c r="A317" s="242">
        <v>311</v>
      </c>
      <c r="B317" s="276"/>
      <c r="C317" s="277">
        <v>63</v>
      </c>
      <c r="D317" s="278" t="s">
        <v>427</v>
      </c>
      <c r="E317" s="279" t="s">
        <v>815</v>
      </c>
      <c r="F317" s="265">
        <v>222353</v>
      </c>
      <c r="G317" s="265">
        <v>289200</v>
      </c>
      <c r="H317" s="266">
        <v>284386</v>
      </c>
      <c r="I317" s="267"/>
      <c r="J317" s="279"/>
      <c r="K317" s="279"/>
      <c r="L317" s="279"/>
      <c r="M317" s="279"/>
      <c r="N317" s="280"/>
    </row>
    <row r="318" spans="1:14" ht="16.5">
      <c r="A318" s="242">
        <v>312</v>
      </c>
      <c r="B318" s="276"/>
      <c r="C318" s="277"/>
      <c r="D318" s="281" t="s">
        <v>580</v>
      </c>
      <c r="E318" s="282"/>
      <c r="F318" s="262"/>
      <c r="G318" s="262"/>
      <c r="H318" s="263"/>
      <c r="I318" s="264">
        <f t="shared" si="6"/>
        <v>317495</v>
      </c>
      <c r="J318" s="216"/>
      <c r="K318" s="216"/>
      <c r="L318" s="216">
        <v>317495</v>
      </c>
      <c r="M318" s="216"/>
      <c r="N318" s="217"/>
    </row>
    <row r="319" spans="1:14" ht="16.5">
      <c r="A319" s="242">
        <v>313</v>
      </c>
      <c r="B319" s="276"/>
      <c r="C319" s="277"/>
      <c r="D319" s="278" t="s">
        <v>581</v>
      </c>
      <c r="E319" s="279"/>
      <c r="F319" s="265"/>
      <c r="G319" s="265"/>
      <c r="H319" s="266"/>
      <c r="I319" s="267">
        <f t="shared" si="6"/>
        <v>330853</v>
      </c>
      <c r="J319" s="68"/>
      <c r="K319" s="68"/>
      <c r="L319" s="68">
        <v>330853</v>
      </c>
      <c r="M319" s="68"/>
      <c r="N319" s="69"/>
    </row>
    <row r="320" spans="1:14" ht="17.25">
      <c r="A320" s="242">
        <v>314</v>
      </c>
      <c r="B320" s="268"/>
      <c r="C320" s="269"/>
      <c r="D320" s="270" t="s">
        <v>579</v>
      </c>
      <c r="E320" s="271"/>
      <c r="F320" s="272"/>
      <c r="G320" s="272"/>
      <c r="H320" s="273"/>
      <c r="I320" s="274">
        <f t="shared" si="6"/>
        <v>315137</v>
      </c>
      <c r="J320" s="272"/>
      <c r="K320" s="272"/>
      <c r="L320" s="272">
        <v>315137</v>
      </c>
      <c r="M320" s="272"/>
      <c r="N320" s="275"/>
    </row>
    <row r="321" spans="1:14" s="253" customFormat="1" ht="19.5" customHeight="1">
      <c r="A321" s="242">
        <v>315</v>
      </c>
      <c r="B321" s="276"/>
      <c r="C321" s="277">
        <v>64</v>
      </c>
      <c r="D321" s="278" t="s">
        <v>757</v>
      </c>
      <c r="E321" s="279" t="s">
        <v>815</v>
      </c>
      <c r="F321" s="265">
        <v>686546</v>
      </c>
      <c r="G321" s="265">
        <v>550000</v>
      </c>
      <c r="H321" s="266">
        <v>688112</v>
      </c>
      <c r="I321" s="267"/>
      <c r="J321" s="279"/>
      <c r="K321" s="279"/>
      <c r="L321" s="279"/>
      <c r="M321" s="279"/>
      <c r="N321" s="280"/>
    </row>
    <row r="322" spans="1:14" ht="16.5">
      <c r="A322" s="242">
        <v>316</v>
      </c>
      <c r="B322" s="276"/>
      <c r="C322" s="277"/>
      <c r="D322" s="281" t="s">
        <v>580</v>
      </c>
      <c r="E322" s="282"/>
      <c r="F322" s="262"/>
      <c r="G322" s="262"/>
      <c r="H322" s="263"/>
      <c r="I322" s="264">
        <f t="shared" si="6"/>
        <v>600000</v>
      </c>
      <c r="J322" s="216"/>
      <c r="K322" s="216"/>
      <c r="L322" s="216">
        <v>600000</v>
      </c>
      <c r="M322" s="216"/>
      <c r="N322" s="217"/>
    </row>
    <row r="323" spans="1:14" ht="16.5">
      <c r="A323" s="242">
        <v>317</v>
      </c>
      <c r="B323" s="276"/>
      <c r="C323" s="277"/>
      <c r="D323" s="278" t="s">
        <v>581</v>
      </c>
      <c r="E323" s="279"/>
      <c r="F323" s="265"/>
      <c r="G323" s="265"/>
      <c r="H323" s="266"/>
      <c r="I323" s="267">
        <f t="shared" si="6"/>
        <v>676067</v>
      </c>
      <c r="J323" s="68"/>
      <c r="K323" s="68"/>
      <c r="L323" s="68">
        <v>676067</v>
      </c>
      <c r="M323" s="68"/>
      <c r="N323" s="69"/>
    </row>
    <row r="324" spans="1:14" ht="17.25">
      <c r="A324" s="242">
        <v>318</v>
      </c>
      <c r="B324" s="268"/>
      <c r="C324" s="269"/>
      <c r="D324" s="270" t="s">
        <v>579</v>
      </c>
      <c r="E324" s="271"/>
      <c r="F324" s="272"/>
      <c r="G324" s="272"/>
      <c r="H324" s="273"/>
      <c r="I324" s="274">
        <f t="shared" si="6"/>
        <v>674357</v>
      </c>
      <c r="J324" s="272"/>
      <c r="K324" s="272"/>
      <c r="L324" s="272">
        <v>674357</v>
      </c>
      <c r="M324" s="272"/>
      <c r="N324" s="275"/>
    </row>
    <row r="325" spans="1:14" s="253" customFormat="1" ht="19.5" customHeight="1">
      <c r="A325" s="242">
        <v>319</v>
      </c>
      <c r="B325" s="276"/>
      <c r="C325" s="277">
        <v>65</v>
      </c>
      <c r="D325" s="278" t="s">
        <v>527</v>
      </c>
      <c r="E325" s="279" t="s">
        <v>815</v>
      </c>
      <c r="F325" s="265">
        <v>18144</v>
      </c>
      <c r="G325" s="265">
        <v>19200</v>
      </c>
      <c r="H325" s="266">
        <v>15705</v>
      </c>
      <c r="I325" s="267"/>
      <c r="J325" s="279"/>
      <c r="K325" s="279"/>
      <c r="L325" s="279"/>
      <c r="M325" s="279"/>
      <c r="N325" s="280"/>
    </row>
    <row r="326" spans="1:14" ht="16.5">
      <c r="A326" s="242">
        <v>320</v>
      </c>
      <c r="B326" s="276"/>
      <c r="C326" s="277"/>
      <c r="D326" s="281" t="s">
        <v>580</v>
      </c>
      <c r="E326" s="282"/>
      <c r="F326" s="262"/>
      <c r="G326" s="262"/>
      <c r="H326" s="263"/>
      <c r="I326" s="264">
        <f t="shared" si="6"/>
        <v>13307</v>
      </c>
      <c r="J326" s="216"/>
      <c r="K326" s="216"/>
      <c r="L326" s="216">
        <v>13307</v>
      </c>
      <c r="M326" s="216"/>
      <c r="N326" s="217"/>
    </row>
    <row r="327" spans="1:14" ht="16.5">
      <c r="A327" s="242">
        <v>321</v>
      </c>
      <c r="B327" s="276"/>
      <c r="C327" s="277"/>
      <c r="D327" s="278" t="s">
        <v>581</v>
      </c>
      <c r="E327" s="279"/>
      <c r="F327" s="265"/>
      <c r="G327" s="265"/>
      <c r="H327" s="266"/>
      <c r="I327" s="267">
        <f t="shared" si="6"/>
        <v>18100</v>
      </c>
      <c r="J327" s="68"/>
      <c r="K327" s="68"/>
      <c r="L327" s="68">
        <v>18100</v>
      </c>
      <c r="M327" s="68"/>
      <c r="N327" s="69"/>
    </row>
    <row r="328" spans="1:14" ht="17.25">
      <c r="A328" s="242">
        <v>322</v>
      </c>
      <c r="B328" s="268"/>
      <c r="C328" s="269"/>
      <c r="D328" s="270" t="s">
        <v>579</v>
      </c>
      <c r="E328" s="271"/>
      <c r="F328" s="272"/>
      <c r="G328" s="272"/>
      <c r="H328" s="273"/>
      <c r="I328" s="274">
        <f t="shared" si="6"/>
        <v>18034</v>
      </c>
      <c r="J328" s="272"/>
      <c r="K328" s="272"/>
      <c r="L328" s="272">
        <v>18034</v>
      </c>
      <c r="M328" s="272"/>
      <c r="N328" s="275"/>
    </row>
    <row r="329" spans="1:14" s="253" customFormat="1" ht="19.5" customHeight="1">
      <c r="A329" s="242">
        <v>323</v>
      </c>
      <c r="B329" s="276"/>
      <c r="C329" s="277">
        <v>66</v>
      </c>
      <c r="D329" s="278" t="s">
        <v>634</v>
      </c>
      <c r="E329" s="279" t="s">
        <v>815</v>
      </c>
      <c r="F329" s="265">
        <v>20000</v>
      </c>
      <c r="G329" s="265">
        <v>23000</v>
      </c>
      <c r="H329" s="266">
        <v>23000</v>
      </c>
      <c r="I329" s="267"/>
      <c r="J329" s="279"/>
      <c r="K329" s="279"/>
      <c r="L329" s="279"/>
      <c r="M329" s="279"/>
      <c r="N329" s="280"/>
    </row>
    <row r="330" spans="1:14" ht="16.5">
      <c r="A330" s="242">
        <v>324</v>
      </c>
      <c r="B330" s="276"/>
      <c r="C330" s="277"/>
      <c r="D330" s="281" t="s">
        <v>580</v>
      </c>
      <c r="E330" s="282"/>
      <c r="F330" s="262"/>
      <c r="G330" s="262"/>
      <c r="H330" s="263"/>
      <c r="I330" s="264">
        <f t="shared" si="6"/>
        <v>21000</v>
      </c>
      <c r="J330" s="216"/>
      <c r="K330" s="216"/>
      <c r="L330" s="216"/>
      <c r="M330" s="216"/>
      <c r="N330" s="217">
        <v>21000</v>
      </c>
    </row>
    <row r="331" spans="1:14" ht="16.5">
      <c r="A331" s="242">
        <v>325</v>
      </c>
      <c r="B331" s="276"/>
      <c r="C331" s="277"/>
      <c r="D331" s="278" t="s">
        <v>581</v>
      </c>
      <c r="E331" s="279"/>
      <c r="F331" s="265"/>
      <c r="G331" s="265"/>
      <c r="H331" s="266"/>
      <c r="I331" s="267">
        <f t="shared" si="6"/>
        <v>21000</v>
      </c>
      <c r="J331" s="68"/>
      <c r="K331" s="68"/>
      <c r="L331" s="68"/>
      <c r="M331" s="68"/>
      <c r="N331" s="69">
        <v>21000</v>
      </c>
    </row>
    <row r="332" spans="1:15" ht="17.25">
      <c r="A332" s="242">
        <v>326</v>
      </c>
      <c r="B332" s="268"/>
      <c r="C332" s="269"/>
      <c r="D332" s="270" t="s">
        <v>579</v>
      </c>
      <c r="E332" s="271"/>
      <c r="F332" s="272"/>
      <c r="G332" s="272"/>
      <c r="H332" s="273"/>
      <c r="I332" s="274">
        <f t="shared" si="6"/>
        <v>19265</v>
      </c>
      <c r="J332" s="272"/>
      <c r="K332" s="272"/>
      <c r="L332" s="272"/>
      <c r="M332" s="272"/>
      <c r="N332" s="275">
        <v>19265</v>
      </c>
      <c r="O332" s="247">
        <f>SUM(L328,L324,L320,L316,L305,L301,L297,L287)</f>
        <v>1184927</v>
      </c>
    </row>
    <row r="333" spans="1:14" s="253" customFormat="1" ht="25.5" customHeight="1">
      <c r="A333" s="242">
        <v>327</v>
      </c>
      <c r="B333" s="276"/>
      <c r="C333" s="277">
        <v>67</v>
      </c>
      <c r="D333" s="278" t="s">
        <v>758</v>
      </c>
      <c r="E333" s="279" t="s">
        <v>815</v>
      </c>
      <c r="F333" s="265"/>
      <c r="G333" s="265">
        <v>50000</v>
      </c>
      <c r="H333" s="266"/>
      <c r="I333" s="267"/>
      <c r="J333" s="279"/>
      <c r="K333" s="279"/>
      <c r="L333" s="279"/>
      <c r="M333" s="279"/>
      <c r="N333" s="280"/>
    </row>
    <row r="334" spans="1:14" ht="16.5">
      <c r="A334" s="242">
        <v>328</v>
      </c>
      <c r="B334" s="276"/>
      <c r="C334" s="277"/>
      <c r="D334" s="281" t="s">
        <v>580</v>
      </c>
      <c r="E334" s="282"/>
      <c r="F334" s="262"/>
      <c r="G334" s="262"/>
      <c r="H334" s="263"/>
      <c r="I334" s="264">
        <f t="shared" si="6"/>
        <v>60000</v>
      </c>
      <c r="J334" s="216"/>
      <c r="K334" s="216"/>
      <c r="L334" s="216"/>
      <c r="M334" s="216"/>
      <c r="N334" s="217">
        <v>60000</v>
      </c>
    </row>
    <row r="335" spans="1:14" ht="16.5">
      <c r="A335" s="242">
        <v>329</v>
      </c>
      <c r="B335" s="276"/>
      <c r="C335" s="277"/>
      <c r="D335" s="278" t="s">
        <v>581</v>
      </c>
      <c r="E335" s="279"/>
      <c r="F335" s="265"/>
      <c r="G335" s="265"/>
      <c r="H335" s="266"/>
      <c r="I335" s="267">
        <f t="shared" si="6"/>
        <v>110000</v>
      </c>
      <c r="J335" s="68"/>
      <c r="K335" s="68"/>
      <c r="L335" s="68"/>
      <c r="M335" s="68"/>
      <c r="N335" s="69">
        <v>110000</v>
      </c>
    </row>
    <row r="336" spans="1:14" ht="17.25">
      <c r="A336" s="242">
        <v>330</v>
      </c>
      <c r="B336" s="268"/>
      <c r="C336" s="269"/>
      <c r="D336" s="270" t="s">
        <v>579</v>
      </c>
      <c r="E336" s="271"/>
      <c r="F336" s="272"/>
      <c r="G336" s="272"/>
      <c r="H336" s="273"/>
      <c r="I336" s="274">
        <f t="shared" si="6"/>
        <v>110000</v>
      </c>
      <c r="J336" s="272"/>
      <c r="K336" s="272"/>
      <c r="L336" s="272"/>
      <c r="M336" s="272"/>
      <c r="N336" s="275">
        <v>110000</v>
      </c>
    </row>
    <row r="337" spans="1:14" s="253" customFormat="1" ht="25.5" customHeight="1">
      <c r="A337" s="242">
        <v>331</v>
      </c>
      <c r="B337" s="276"/>
      <c r="C337" s="277">
        <v>68</v>
      </c>
      <c r="D337" s="278" t="s">
        <v>418</v>
      </c>
      <c r="E337" s="279" t="s">
        <v>815</v>
      </c>
      <c r="F337" s="265">
        <v>5445</v>
      </c>
      <c r="G337" s="265"/>
      <c r="H337" s="266">
        <v>6140</v>
      </c>
      <c r="I337" s="267"/>
      <c r="J337" s="279"/>
      <c r="K337" s="279"/>
      <c r="L337" s="279"/>
      <c r="M337" s="279"/>
      <c r="N337" s="280"/>
    </row>
    <row r="338" spans="1:14" ht="16.5">
      <c r="A338" s="242">
        <v>332</v>
      </c>
      <c r="B338" s="276"/>
      <c r="C338" s="277"/>
      <c r="D338" s="281" t="s">
        <v>580</v>
      </c>
      <c r="E338" s="282"/>
      <c r="F338" s="262"/>
      <c r="G338" s="262"/>
      <c r="H338" s="263"/>
      <c r="I338" s="264">
        <f>SUM(J338:N338)</f>
        <v>31019</v>
      </c>
      <c r="J338" s="216"/>
      <c r="K338" s="216"/>
      <c r="L338" s="216">
        <v>31019</v>
      </c>
      <c r="M338" s="216"/>
      <c r="N338" s="217"/>
    </row>
    <row r="339" spans="1:14" ht="16.5">
      <c r="A339" s="242">
        <v>333</v>
      </c>
      <c r="B339" s="276"/>
      <c r="C339" s="277"/>
      <c r="D339" s="278" t="s">
        <v>581</v>
      </c>
      <c r="E339" s="279"/>
      <c r="F339" s="265"/>
      <c r="G339" s="265"/>
      <c r="H339" s="266"/>
      <c r="I339" s="267">
        <f>SUM(J339:N339)</f>
        <v>18236</v>
      </c>
      <c r="J339" s="68"/>
      <c r="K339" s="68"/>
      <c r="L339" s="68">
        <v>18236</v>
      </c>
      <c r="M339" s="68"/>
      <c r="N339" s="69"/>
    </row>
    <row r="340" spans="1:14" ht="17.25">
      <c r="A340" s="242">
        <v>334</v>
      </c>
      <c r="B340" s="268"/>
      <c r="C340" s="269"/>
      <c r="D340" s="270" t="s">
        <v>579</v>
      </c>
      <c r="E340" s="271"/>
      <c r="F340" s="272"/>
      <c r="G340" s="272"/>
      <c r="H340" s="273"/>
      <c r="I340" s="274">
        <f>SUM(J340:N340)</f>
        <v>5157</v>
      </c>
      <c r="J340" s="272"/>
      <c r="K340" s="272"/>
      <c r="L340" s="272">
        <v>5157</v>
      </c>
      <c r="M340" s="272"/>
      <c r="N340" s="275"/>
    </row>
    <row r="341" spans="1:14" s="253" customFormat="1" ht="25.5" customHeight="1">
      <c r="A341" s="242">
        <v>335</v>
      </c>
      <c r="B341" s="276"/>
      <c r="C341" s="277">
        <v>69</v>
      </c>
      <c r="D341" s="278" t="s">
        <v>759</v>
      </c>
      <c r="E341" s="279" t="s">
        <v>815</v>
      </c>
      <c r="F341" s="265">
        <v>291122</v>
      </c>
      <c r="G341" s="265">
        <v>250000</v>
      </c>
      <c r="H341" s="266">
        <v>321551</v>
      </c>
      <c r="I341" s="267"/>
      <c r="J341" s="279"/>
      <c r="K341" s="279"/>
      <c r="L341" s="279"/>
      <c r="M341" s="279"/>
      <c r="N341" s="280"/>
    </row>
    <row r="342" spans="1:14" ht="16.5">
      <c r="A342" s="242">
        <v>336</v>
      </c>
      <c r="B342" s="276"/>
      <c r="C342" s="277"/>
      <c r="D342" s="281" t="s">
        <v>580</v>
      </c>
      <c r="E342" s="282"/>
      <c r="F342" s="262"/>
      <c r="G342" s="262"/>
      <c r="H342" s="263"/>
      <c r="I342" s="264">
        <f t="shared" si="6"/>
        <v>210000</v>
      </c>
      <c r="J342" s="216"/>
      <c r="K342" s="216"/>
      <c r="L342" s="216"/>
      <c r="M342" s="216"/>
      <c r="N342" s="217">
        <v>210000</v>
      </c>
    </row>
    <row r="343" spans="1:14" ht="16.5">
      <c r="A343" s="242">
        <v>337</v>
      </c>
      <c r="B343" s="276"/>
      <c r="C343" s="277"/>
      <c r="D343" s="278" t="s">
        <v>581</v>
      </c>
      <c r="E343" s="279"/>
      <c r="F343" s="265"/>
      <c r="G343" s="265"/>
      <c r="H343" s="266"/>
      <c r="I343" s="267">
        <f t="shared" si="6"/>
        <v>257376</v>
      </c>
      <c r="J343" s="68"/>
      <c r="K343" s="68"/>
      <c r="L343" s="68"/>
      <c r="M343" s="68"/>
      <c r="N343" s="69">
        <v>257376</v>
      </c>
    </row>
    <row r="344" spans="1:14" ht="17.25">
      <c r="A344" s="242">
        <v>338</v>
      </c>
      <c r="B344" s="268"/>
      <c r="C344" s="269"/>
      <c r="D344" s="270" t="s">
        <v>579</v>
      </c>
      <c r="E344" s="271"/>
      <c r="F344" s="272"/>
      <c r="G344" s="272"/>
      <c r="H344" s="273"/>
      <c r="I344" s="274">
        <f t="shared" si="6"/>
        <v>146021</v>
      </c>
      <c r="J344" s="272"/>
      <c r="K344" s="272"/>
      <c r="L344" s="272"/>
      <c r="M344" s="272"/>
      <c r="N344" s="275">
        <v>146021</v>
      </c>
    </row>
    <row r="345" spans="1:14" s="253" customFormat="1" ht="25.5" customHeight="1">
      <c r="A345" s="242">
        <v>339</v>
      </c>
      <c r="B345" s="276"/>
      <c r="C345" s="277">
        <v>70</v>
      </c>
      <c r="D345" s="278" t="s">
        <v>540</v>
      </c>
      <c r="E345" s="279" t="s">
        <v>781</v>
      </c>
      <c r="F345" s="265">
        <v>24355</v>
      </c>
      <c r="G345" s="265">
        <v>26055</v>
      </c>
      <c r="H345" s="266">
        <v>26055</v>
      </c>
      <c r="I345" s="267"/>
      <c r="J345" s="279"/>
      <c r="K345" s="279"/>
      <c r="L345" s="279"/>
      <c r="M345" s="279"/>
      <c r="N345" s="280"/>
    </row>
    <row r="346" spans="1:14" ht="16.5">
      <c r="A346" s="242">
        <v>340</v>
      </c>
      <c r="B346" s="276"/>
      <c r="C346" s="277"/>
      <c r="D346" s="281" t="s">
        <v>580</v>
      </c>
      <c r="E346" s="282"/>
      <c r="F346" s="262"/>
      <c r="G346" s="262"/>
      <c r="H346" s="263"/>
      <c r="I346" s="264">
        <f t="shared" si="6"/>
        <v>26055</v>
      </c>
      <c r="J346" s="216"/>
      <c r="K346" s="216"/>
      <c r="L346" s="216"/>
      <c r="M346" s="216"/>
      <c r="N346" s="217">
        <v>26055</v>
      </c>
    </row>
    <row r="347" spans="1:14" ht="16.5">
      <c r="A347" s="242">
        <v>341</v>
      </c>
      <c r="B347" s="276"/>
      <c r="C347" s="277"/>
      <c r="D347" s="278" t="s">
        <v>581</v>
      </c>
      <c r="E347" s="279"/>
      <c r="F347" s="265"/>
      <c r="G347" s="265"/>
      <c r="H347" s="266"/>
      <c r="I347" s="267">
        <f t="shared" si="6"/>
        <v>26055</v>
      </c>
      <c r="J347" s="68"/>
      <c r="K347" s="68"/>
      <c r="L347" s="68"/>
      <c r="M347" s="68"/>
      <c r="N347" s="69">
        <v>26055</v>
      </c>
    </row>
    <row r="348" spans="1:14" ht="17.25">
      <c r="A348" s="242">
        <v>342</v>
      </c>
      <c r="B348" s="268"/>
      <c r="C348" s="269"/>
      <c r="D348" s="270" t="s">
        <v>579</v>
      </c>
      <c r="E348" s="271"/>
      <c r="F348" s="272"/>
      <c r="G348" s="272"/>
      <c r="H348" s="273"/>
      <c r="I348" s="274">
        <f t="shared" si="6"/>
        <v>26055</v>
      </c>
      <c r="J348" s="272"/>
      <c r="K348" s="272"/>
      <c r="L348" s="272"/>
      <c r="M348" s="272"/>
      <c r="N348" s="275">
        <v>26055</v>
      </c>
    </row>
    <row r="349" spans="1:14" s="253" customFormat="1" ht="25.5" customHeight="1">
      <c r="A349" s="242">
        <v>343</v>
      </c>
      <c r="B349" s="276"/>
      <c r="C349" s="277">
        <v>71</v>
      </c>
      <c r="D349" s="278" t="s">
        <v>464</v>
      </c>
      <c r="E349" s="279" t="s">
        <v>781</v>
      </c>
      <c r="F349" s="265">
        <v>45000</v>
      </c>
      <c r="G349" s="265">
        <v>50000</v>
      </c>
      <c r="H349" s="266">
        <v>50000</v>
      </c>
      <c r="I349" s="267"/>
      <c r="J349" s="279"/>
      <c r="K349" s="279"/>
      <c r="L349" s="279"/>
      <c r="M349" s="279"/>
      <c r="N349" s="280"/>
    </row>
    <row r="350" spans="1:14" ht="16.5">
      <c r="A350" s="242">
        <v>344</v>
      </c>
      <c r="B350" s="276"/>
      <c r="C350" s="277"/>
      <c r="D350" s="281" t="s">
        <v>580</v>
      </c>
      <c r="E350" s="282"/>
      <c r="F350" s="262"/>
      <c r="G350" s="262"/>
      <c r="H350" s="263"/>
      <c r="I350" s="264">
        <f t="shared" si="6"/>
        <v>50000</v>
      </c>
      <c r="J350" s="216"/>
      <c r="K350" s="216"/>
      <c r="L350" s="216"/>
      <c r="M350" s="216"/>
      <c r="N350" s="217">
        <v>50000</v>
      </c>
    </row>
    <row r="351" spans="1:14" ht="16.5">
      <c r="A351" s="242">
        <v>345</v>
      </c>
      <c r="B351" s="276"/>
      <c r="C351" s="277"/>
      <c r="D351" s="278" t="s">
        <v>581</v>
      </c>
      <c r="E351" s="279"/>
      <c r="F351" s="265"/>
      <c r="G351" s="265"/>
      <c r="H351" s="266"/>
      <c r="I351" s="267">
        <f t="shared" si="6"/>
        <v>50000</v>
      </c>
      <c r="J351" s="68"/>
      <c r="K351" s="68"/>
      <c r="L351" s="68"/>
      <c r="M351" s="68"/>
      <c r="N351" s="69">
        <v>50000</v>
      </c>
    </row>
    <row r="352" spans="1:14" ht="17.25">
      <c r="A352" s="242">
        <v>346</v>
      </c>
      <c r="B352" s="268"/>
      <c r="C352" s="269"/>
      <c r="D352" s="270" t="s">
        <v>579</v>
      </c>
      <c r="E352" s="271"/>
      <c r="F352" s="272"/>
      <c r="G352" s="272"/>
      <c r="H352" s="273"/>
      <c r="I352" s="274">
        <f t="shared" si="6"/>
        <v>50000</v>
      </c>
      <c r="J352" s="272"/>
      <c r="K352" s="272"/>
      <c r="L352" s="272"/>
      <c r="M352" s="272"/>
      <c r="N352" s="275">
        <v>50000</v>
      </c>
    </row>
    <row r="353" spans="1:14" s="253" customFormat="1" ht="25.5" customHeight="1">
      <c r="A353" s="242">
        <v>347</v>
      </c>
      <c r="B353" s="276"/>
      <c r="C353" s="277">
        <v>72</v>
      </c>
      <c r="D353" s="278" t="s">
        <v>511</v>
      </c>
      <c r="E353" s="279" t="s">
        <v>781</v>
      </c>
      <c r="F353" s="265"/>
      <c r="G353" s="265">
        <v>13900</v>
      </c>
      <c r="H353" s="266"/>
      <c r="I353" s="267"/>
      <c r="J353" s="279"/>
      <c r="K353" s="279"/>
      <c r="L353" s="279"/>
      <c r="M353" s="279"/>
      <c r="N353" s="280"/>
    </row>
    <row r="354" spans="1:14" ht="16.5">
      <c r="A354" s="242">
        <v>348</v>
      </c>
      <c r="B354" s="276"/>
      <c r="C354" s="277"/>
      <c r="D354" s="281" t="s">
        <v>580</v>
      </c>
      <c r="E354" s="282"/>
      <c r="F354" s="262"/>
      <c r="G354" s="262"/>
      <c r="H354" s="263"/>
      <c r="I354" s="264">
        <f t="shared" si="6"/>
        <v>5000</v>
      </c>
      <c r="J354" s="216"/>
      <c r="K354" s="216"/>
      <c r="L354" s="216">
        <v>5000</v>
      </c>
      <c r="M354" s="216"/>
      <c r="N354" s="217"/>
    </row>
    <row r="355" spans="1:14" ht="16.5">
      <c r="A355" s="242">
        <v>349</v>
      </c>
      <c r="B355" s="276"/>
      <c r="C355" s="277"/>
      <c r="D355" s="278" t="s">
        <v>581</v>
      </c>
      <c r="E355" s="279"/>
      <c r="F355" s="265"/>
      <c r="G355" s="265"/>
      <c r="H355" s="266"/>
      <c r="I355" s="267">
        <f t="shared" si="6"/>
        <v>0</v>
      </c>
      <c r="J355" s="68"/>
      <c r="K355" s="68"/>
      <c r="L355" s="68"/>
      <c r="M355" s="68"/>
      <c r="N355" s="69"/>
    </row>
    <row r="356" spans="1:14" ht="17.25">
      <c r="A356" s="242">
        <v>350</v>
      </c>
      <c r="B356" s="268"/>
      <c r="C356" s="269"/>
      <c r="D356" s="270" t="s">
        <v>579</v>
      </c>
      <c r="E356" s="271"/>
      <c r="F356" s="272"/>
      <c r="G356" s="272"/>
      <c r="H356" s="273"/>
      <c r="I356" s="274">
        <f t="shared" si="6"/>
        <v>0</v>
      </c>
      <c r="J356" s="272"/>
      <c r="K356" s="272"/>
      <c r="L356" s="272"/>
      <c r="M356" s="272"/>
      <c r="N356" s="275"/>
    </row>
    <row r="357" spans="1:14" s="253" customFormat="1" ht="25.5" customHeight="1">
      <c r="A357" s="242">
        <v>351</v>
      </c>
      <c r="B357" s="276"/>
      <c r="C357" s="277">
        <v>73</v>
      </c>
      <c r="D357" s="278" t="s">
        <v>408</v>
      </c>
      <c r="E357" s="279" t="s">
        <v>781</v>
      </c>
      <c r="F357" s="265">
        <v>60000</v>
      </c>
      <c r="G357" s="265">
        <v>85000</v>
      </c>
      <c r="H357" s="266">
        <v>85000</v>
      </c>
      <c r="I357" s="267"/>
      <c r="J357" s="279"/>
      <c r="K357" s="279"/>
      <c r="L357" s="279"/>
      <c r="M357" s="279"/>
      <c r="N357" s="280"/>
    </row>
    <row r="358" spans="1:14" ht="16.5">
      <c r="A358" s="242">
        <v>352</v>
      </c>
      <c r="B358" s="276"/>
      <c r="C358" s="277"/>
      <c r="D358" s="281" t="s">
        <v>580</v>
      </c>
      <c r="E358" s="282"/>
      <c r="F358" s="262"/>
      <c r="G358" s="262"/>
      <c r="H358" s="263"/>
      <c r="I358" s="264">
        <f t="shared" si="6"/>
        <v>100000</v>
      </c>
      <c r="J358" s="216"/>
      <c r="K358" s="216"/>
      <c r="L358" s="216"/>
      <c r="M358" s="216"/>
      <c r="N358" s="217">
        <v>100000</v>
      </c>
    </row>
    <row r="359" spans="1:14" ht="16.5">
      <c r="A359" s="242">
        <v>353</v>
      </c>
      <c r="B359" s="276"/>
      <c r="C359" s="277"/>
      <c r="D359" s="278" t="s">
        <v>581</v>
      </c>
      <c r="E359" s="279"/>
      <c r="F359" s="265"/>
      <c r="G359" s="265"/>
      <c r="H359" s="266"/>
      <c r="I359" s="267">
        <f t="shared" si="6"/>
        <v>100000</v>
      </c>
      <c r="J359" s="68"/>
      <c r="K359" s="68"/>
      <c r="L359" s="68"/>
      <c r="M359" s="68"/>
      <c r="N359" s="69">
        <v>100000</v>
      </c>
    </row>
    <row r="360" spans="1:14" ht="17.25">
      <c r="A360" s="242">
        <v>354</v>
      </c>
      <c r="B360" s="268"/>
      <c r="C360" s="269"/>
      <c r="D360" s="270" t="s">
        <v>579</v>
      </c>
      <c r="E360" s="271"/>
      <c r="F360" s="272"/>
      <c r="G360" s="272"/>
      <c r="H360" s="273"/>
      <c r="I360" s="274">
        <f t="shared" si="6"/>
        <v>100000</v>
      </c>
      <c r="J360" s="272"/>
      <c r="K360" s="272"/>
      <c r="L360" s="272"/>
      <c r="M360" s="272"/>
      <c r="N360" s="275">
        <v>100000</v>
      </c>
    </row>
    <row r="361" spans="1:14" s="253" customFormat="1" ht="25.5" customHeight="1">
      <c r="A361" s="242">
        <v>355</v>
      </c>
      <c r="B361" s="276"/>
      <c r="C361" s="277">
        <v>74</v>
      </c>
      <c r="D361" s="278" t="s">
        <v>530</v>
      </c>
      <c r="E361" s="279" t="s">
        <v>781</v>
      </c>
      <c r="F361" s="265">
        <v>4957</v>
      </c>
      <c r="G361" s="265">
        <v>17500</v>
      </c>
      <c r="H361" s="266"/>
      <c r="I361" s="267"/>
      <c r="J361" s="279"/>
      <c r="K361" s="279"/>
      <c r="L361" s="279"/>
      <c r="M361" s="279"/>
      <c r="N361" s="280"/>
    </row>
    <row r="362" spans="1:14" ht="16.5">
      <c r="A362" s="242">
        <v>356</v>
      </c>
      <c r="B362" s="276"/>
      <c r="C362" s="277"/>
      <c r="D362" s="281" t="s">
        <v>580</v>
      </c>
      <c r="E362" s="282"/>
      <c r="F362" s="262"/>
      <c r="G362" s="262"/>
      <c r="H362" s="263"/>
      <c r="I362" s="264">
        <f t="shared" si="6"/>
        <v>17500</v>
      </c>
      <c r="J362" s="216"/>
      <c r="K362" s="216"/>
      <c r="L362" s="216">
        <v>17500</v>
      </c>
      <c r="M362" s="216"/>
      <c r="N362" s="217"/>
    </row>
    <row r="363" spans="1:14" ht="16.5">
      <c r="A363" s="242">
        <v>357</v>
      </c>
      <c r="B363" s="276"/>
      <c r="C363" s="277"/>
      <c r="D363" s="278" t="s">
        <v>581</v>
      </c>
      <c r="E363" s="279"/>
      <c r="F363" s="265"/>
      <c r="G363" s="265"/>
      <c r="H363" s="266"/>
      <c r="I363" s="267">
        <f t="shared" si="6"/>
        <v>10800</v>
      </c>
      <c r="J363" s="68"/>
      <c r="K363" s="68"/>
      <c r="L363" s="68">
        <v>10800</v>
      </c>
      <c r="M363" s="68"/>
      <c r="N363" s="69"/>
    </row>
    <row r="364" spans="1:14" ht="17.25">
      <c r="A364" s="242">
        <v>358</v>
      </c>
      <c r="B364" s="268"/>
      <c r="C364" s="269"/>
      <c r="D364" s="270" t="s">
        <v>579</v>
      </c>
      <c r="E364" s="271"/>
      <c r="F364" s="272"/>
      <c r="G364" s="272"/>
      <c r="H364" s="273"/>
      <c r="I364" s="274">
        <f t="shared" si="6"/>
        <v>9911</v>
      </c>
      <c r="J364" s="272"/>
      <c r="K364" s="272"/>
      <c r="L364" s="272">
        <v>9911</v>
      </c>
      <c r="M364" s="272"/>
      <c r="N364" s="275"/>
    </row>
    <row r="365" spans="1:14" s="253" customFormat="1" ht="25.5" customHeight="1">
      <c r="A365" s="242">
        <v>359</v>
      </c>
      <c r="B365" s="276"/>
      <c r="C365" s="277">
        <v>75</v>
      </c>
      <c r="D365" s="278" t="s">
        <v>531</v>
      </c>
      <c r="E365" s="279" t="s">
        <v>781</v>
      </c>
      <c r="F365" s="265">
        <v>12573</v>
      </c>
      <c r="G365" s="265">
        <v>14000</v>
      </c>
      <c r="H365" s="266">
        <v>14203</v>
      </c>
      <c r="I365" s="267"/>
      <c r="J365" s="279"/>
      <c r="K365" s="279"/>
      <c r="L365" s="279"/>
      <c r="M365" s="279"/>
      <c r="N365" s="280"/>
    </row>
    <row r="366" spans="1:14" ht="16.5">
      <c r="A366" s="242">
        <v>360</v>
      </c>
      <c r="B366" s="276"/>
      <c r="C366" s="277"/>
      <c r="D366" s="281" t="s">
        <v>580</v>
      </c>
      <c r="E366" s="282"/>
      <c r="F366" s="262"/>
      <c r="G366" s="262"/>
      <c r="H366" s="263"/>
      <c r="I366" s="264">
        <f aca="true" t="shared" si="7" ref="I366:I418">SUM(J366:N366)</f>
        <v>19000</v>
      </c>
      <c r="J366" s="216"/>
      <c r="K366" s="216"/>
      <c r="L366" s="216">
        <v>19000</v>
      </c>
      <c r="M366" s="216"/>
      <c r="N366" s="217"/>
    </row>
    <row r="367" spans="1:14" ht="16.5">
      <c r="A367" s="242">
        <v>361</v>
      </c>
      <c r="B367" s="276"/>
      <c r="C367" s="277"/>
      <c r="D367" s="278" t="s">
        <v>581</v>
      </c>
      <c r="E367" s="279"/>
      <c r="F367" s="265"/>
      <c r="G367" s="265"/>
      <c r="H367" s="266"/>
      <c r="I367" s="267">
        <f t="shared" si="7"/>
        <v>19000</v>
      </c>
      <c r="J367" s="68"/>
      <c r="K367" s="68"/>
      <c r="L367" s="68">
        <v>19000</v>
      </c>
      <c r="M367" s="68"/>
      <c r="N367" s="69"/>
    </row>
    <row r="368" spans="1:14" ht="17.25">
      <c r="A368" s="242">
        <v>362</v>
      </c>
      <c r="B368" s="268"/>
      <c r="C368" s="269"/>
      <c r="D368" s="270" t="s">
        <v>579</v>
      </c>
      <c r="E368" s="271"/>
      <c r="F368" s="272"/>
      <c r="G368" s="272"/>
      <c r="H368" s="273"/>
      <c r="I368" s="274">
        <f t="shared" si="7"/>
        <v>18581</v>
      </c>
      <c r="J368" s="272"/>
      <c r="K368" s="272"/>
      <c r="L368" s="272">
        <v>18581</v>
      </c>
      <c r="M368" s="272"/>
      <c r="N368" s="275"/>
    </row>
    <row r="369" spans="1:14" s="253" customFormat="1" ht="25.5" customHeight="1">
      <c r="A369" s="242">
        <v>363</v>
      </c>
      <c r="B369" s="276"/>
      <c r="C369" s="277">
        <v>76</v>
      </c>
      <c r="D369" s="278" t="s">
        <v>575</v>
      </c>
      <c r="E369" s="279" t="s">
        <v>781</v>
      </c>
      <c r="F369" s="265">
        <v>33263</v>
      </c>
      <c r="G369" s="265">
        <v>34200</v>
      </c>
      <c r="H369" s="266">
        <v>34148</v>
      </c>
      <c r="I369" s="267"/>
      <c r="J369" s="279"/>
      <c r="K369" s="279"/>
      <c r="L369" s="279"/>
      <c r="M369" s="279"/>
      <c r="N369" s="280"/>
    </row>
    <row r="370" spans="1:14" ht="16.5">
      <c r="A370" s="242">
        <v>364</v>
      </c>
      <c r="B370" s="276"/>
      <c r="C370" s="277"/>
      <c r="D370" s="281" t="s">
        <v>580</v>
      </c>
      <c r="E370" s="282"/>
      <c r="F370" s="262"/>
      <c r="G370" s="262"/>
      <c r="H370" s="263"/>
      <c r="I370" s="264">
        <f t="shared" si="7"/>
        <v>44450</v>
      </c>
      <c r="J370" s="216"/>
      <c r="K370" s="216"/>
      <c r="L370" s="216">
        <v>44450</v>
      </c>
      <c r="M370" s="216"/>
      <c r="N370" s="217"/>
    </row>
    <row r="371" spans="1:14" ht="16.5">
      <c r="A371" s="242">
        <v>365</v>
      </c>
      <c r="B371" s="276"/>
      <c r="C371" s="277"/>
      <c r="D371" s="278" t="s">
        <v>581</v>
      </c>
      <c r="E371" s="279"/>
      <c r="F371" s="265"/>
      <c r="G371" s="265"/>
      <c r="H371" s="266"/>
      <c r="I371" s="267">
        <f t="shared" si="7"/>
        <v>37067</v>
      </c>
      <c r="J371" s="68"/>
      <c r="K371" s="68"/>
      <c r="L371" s="68">
        <v>37067</v>
      </c>
      <c r="M371" s="68"/>
      <c r="N371" s="69"/>
    </row>
    <row r="372" spans="1:14" ht="17.25">
      <c r="A372" s="242">
        <v>366</v>
      </c>
      <c r="B372" s="268"/>
      <c r="C372" s="269"/>
      <c r="D372" s="270" t="s">
        <v>579</v>
      </c>
      <c r="E372" s="271"/>
      <c r="F372" s="272"/>
      <c r="G372" s="272"/>
      <c r="H372" s="273"/>
      <c r="I372" s="274">
        <f t="shared" si="7"/>
        <v>37066</v>
      </c>
      <c r="J372" s="272"/>
      <c r="K372" s="272"/>
      <c r="L372" s="272">
        <v>37066</v>
      </c>
      <c r="M372" s="272"/>
      <c r="N372" s="275"/>
    </row>
    <row r="373" spans="1:14" s="253" customFormat="1" ht="25.5" customHeight="1">
      <c r="A373" s="242">
        <v>367</v>
      </c>
      <c r="B373" s="276"/>
      <c r="C373" s="277">
        <v>77</v>
      </c>
      <c r="D373" s="278" t="s">
        <v>636</v>
      </c>
      <c r="E373" s="279" t="s">
        <v>781</v>
      </c>
      <c r="F373" s="265"/>
      <c r="G373" s="265">
        <v>38100</v>
      </c>
      <c r="H373" s="266">
        <v>38100</v>
      </c>
      <c r="I373" s="267"/>
      <c r="J373" s="279"/>
      <c r="K373" s="279"/>
      <c r="L373" s="279"/>
      <c r="M373" s="279"/>
      <c r="N373" s="280"/>
    </row>
    <row r="374" spans="1:14" ht="16.5">
      <c r="A374" s="242">
        <v>368</v>
      </c>
      <c r="B374" s="276"/>
      <c r="C374" s="277"/>
      <c r="D374" s="281" t="s">
        <v>580</v>
      </c>
      <c r="E374" s="282"/>
      <c r="F374" s="262"/>
      <c r="G374" s="262"/>
      <c r="H374" s="263"/>
      <c r="I374" s="264">
        <f t="shared" si="7"/>
        <v>38100</v>
      </c>
      <c r="J374" s="216"/>
      <c r="K374" s="216"/>
      <c r="L374" s="216">
        <v>38100</v>
      </c>
      <c r="M374" s="216"/>
      <c r="N374" s="217"/>
    </row>
    <row r="375" spans="1:14" ht="16.5">
      <c r="A375" s="242">
        <v>369</v>
      </c>
      <c r="B375" s="276"/>
      <c r="C375" s="277"/>
      <c r="D375" s="278" t="s">
        <v>581</v>
      </c>
      <c r="E375" s="279"/>
      <c r="F375" s="265"/>
      <c r="G375" s="265"/>
      <c r="H375" s="266"/>
      <c r="I375" s="267">
        <f t="shared" si="7"/>
        <v>38100</v>
      </c>
      <c r="J375" s="68"/>
      <c r="K375" s="68"/>
      <c r="L375" s="68">
        <v>38100</v>
      </c>
      <c r="M375" s="68"/>
      <c r="N375" s="69"/>
    </row>
    <row r="376" spans="1:15" ht="17.25">
      <c r="A376" s="242">
        <v>370</v>
      </c>
      <c r="B376" s="268"/>
      <c r="C376" s="269"/>
      <c r="D376" s="270" t="s">
        <v>579</v>
      </c>
      <c r="E376" s="271"/>
      <c r="F376" s="272"/>
      <c r="G376" s="272"/>
      <c r="H376" s="273"/>
      <c r="I376" s="274">
        <f t="shared" si="7"/>
        <v>38100</v>
      </c>
      <c r="J376" s="272"/>
      <c r="K376" s="272"/>
      <c r="L376" s="272">
        <v>38100</v>
      </c>
      <c r="M376" s="272"/>
      <c r="N376" s="275"/>
      <c r="O376" s="247">
        <f>SUM(L376,L372,L368,L364,L340)</f>
        <v>108815</v>
      </c>
    </row>
    <row r="377" spans="1:14" s="253" customFormat="1" ht="25.5" customHeight="1">
      <c r="A377" s="242">
        <v>371</v>
      </c>
      <c r="B377" s="276"/>
      <c r="C377" s="277">
        <v>78</v>
      </c>
      <c r="D377" s="278" t="s">
        <v>409</v>
      </c>
      <c r="E377" s="279" t="s">
        <v>781</v>
      </c>
      <c r="F377" s="265">
        <v>34750</v>
      </c>
      <c r="G377" s="265">
        <v>38848</v>
      </c>
      <c r="H377" s="266">
        <v>38348</v>
      </c>
      <c r="I377" s="267"/>
      <c r="J377" s="279"/>
      <c r="K377" s="279"/>
      <c r="L377" s="279"/>
      <c r="M377" s="279"/>
      <c r="N377" s="280"/>
    </row>
    <row r="378" spans="1:14" ht="16.5">
      <c r="A378" s="242">
        <v>372</v>
      </c>
      <c r="B378" s="276"/>
      <c r="C378" s="277"/>
      <c r="D378" s="281" t="s">
        <v>580</v>
      </c>
      <c r="E378" s="282"/>
      <c r="F378" s="262"/>
      <c r="G378" s="262"/>
      <c r="H378" s="263"/>
      <c r="I378" s="264">
        <f t="shared" si="7"/>
        <v>49172</v>
      </c>
      <c r="J378" s="216"/>
      <c r="K378" s="216"/>
      <c r="L378" s="216">
        <v>49172</v>
      </c>
      <c r="M378" s="216"/>
      <c r="N378" s="217"/>
    </row>
    <row r="379" spans="1:14" ht="16.5">
      <c r="A379" s="242">
        <v>373</v>
      </c>
      <c r="B379" s="276"/>
      <c r="C379" s="277"/>
      <c r="D379" s="278" t="s">
        <v>581</v>
      </c>
      <c r="E379" s="279"/>
      <c r="F379" s="265"/>
      <c r="G379" s="265"/>
      <c r="H379" s="266"/>
      <c r="I379" s="267">
        <f t="shared" si="7"/>
        <v>49172</v>
      </c>
      <c r="J379" s="68"/>
      <c r="K379" s="68"/>
      <c r="L379" s="68">
        <v>49172</v>
      </c>
      <c r="M379" s="68"/>
      <c r="N379" s="69"/>
    </row>
    <row r="380" spans="1:14" ht="17.25">
      <c r="A380" s="242">
        <v>374</v>
      </c>
      <c r="B380" s="268"/>
      <c r="C380" s="269"/>
      <c r="D380" s="270" t="s">
        <v>579</v>
      </c>
      <c r="E380" s="271"/>
      <c r="F380" s="272"/>
      <c r="G380" s="272"/>
      <c r="H380" s="273"/>
      <c r="I380" s="274">
        <f t="shared" si="7"/>
        <v>48172</v>
      </c>
      <c r="J380" s="272"/>
      <c r="K380" s="272"/>
      <c r="L380" s="272">
        <v>48172</v>
      </c>
      <c r="M380" s="272"/>
      <c r="N380" s="275"/>
    </row>
    <row r="381" spans="1:14" s="253" customFormat="1" ht="19.5" customHeight="1">
      <c r="A381" s="242">
        <v>375</v>
      </c>
      <c r="B381" s="276"/>
      <c r="C381" s="277">
        <v>79</v>
      </c>
      <c r="D381" s="278" t="s">
        <v>512</v>
      </c>
      <c r="E381" s="279" t="s">
        <v>781</v>
      </c>
      <c r="F381" s="265"/>
      <c r="G381" s="265">
        <v>1500</v>
      </c>
      <c r="H381" s="266"/>
      <c r="I381" s="267"/>
      <c r="J381" s="279"/>
      <c r="K381" s="279"/>
      <c r="L381" s="279"/>
      <c r="M381" s="279"/>
      <c r="N381" s="280"/>
    </row>
    <row r="382" spans="1:14" ht="16.5">
      <c r="A382" s="242">
        <v>376</v>
      </c>
      <c r="B382" s="276"/>
      <c r="C382" s="277"/>
      <c r="D382" s="278" t="s">
        <v>581</v>
      </c>
      <c r="E382" s="279"/>
      <c r="F382" s="265"/>
      <c r="G382" s="265"/>
      <c r="H382" s="266"/>
      <c r="I382" s="267">
        <f t="shared" si="7"/>
        <v>1500</v>
      </c>
      <c r="J382" s="68"/>
      <c r="K382" s="68"/>
      <c r="L382" s="68">
        <v>1500</v>
      </c>
      <c r="M382" s="68"/>
      <c r="N382" s="69"/>
    </row>
    <row r="383" spans="1:14" ht="17.25">
      <c r="A383" s="242">
        <v>377</v>
      </c>
      <c r="B383" s="268"/>
      <c r="C383" s="269"/>
      <c r="D383" s="270" t="s">
        <v>579</v>
      </c>
      <c r="E383" s="271"/>
      <c r="F383" s="272"/>
      <c r="G383" s="272"/>
      <c r="H383" s="273"/>
      <c r="I383" s="274">
        <f t="shared" si="7"/>
        <v>0</v>
      </c>
      <c r="J383" s="272"/>
      <c r="K383" s="272"/>
      <c r="L383" s="272"/>
      <c r="M383" s="272"/>
      <c r="N383" s="275"/>
    </row>
    <row r="384" spans="1:14" s="253" customFormat="1" ht="19.5" customHeight="1">
      <c r="A384" s="242">
        <v>378</v>
      </c>
      <c r="B384" s="276"/>
      <c r="C384" s="277">
        <v>80</v>
      </c>
      <c r="D384" s="278" t="s">
        <v>513</v>
      </c>
      <c r="E384" s="279" t="s">
        <v>781</v>
      </c>
      <c r="F384" s="265"/>
      <c r="G384" s="265">
        <v>12300</v>
      </c>
      <c r="H384" s="266">
        <v>12700</v>
      </c>
      <c r="I384" s="267"/>
      <c r="J384" s="279"/>
      <c r="K384" s="279"/>
      <c r="L384" s="279"/>
      <c r="M384" s="279"/>
      <c r="N384" s="280"/>
    </row>
    <row r="385" spans="1:14" ht="16.5">
      <c r="A385" s="242">
        <v>379</v>
      </c>
      <c r="B385" s="276"/>
      <c r="C385" s="277"/>
      <c r="D385" s="281" t="s">
        <v>580</v>
      </c>
      <c r="E385" s="282"/>
      <c r="F385" s="262"/>
      <c r="G385" s="262"/>
      <c r="H385" s="263"/>
      <c r="I385" s="264">
        <f t="shared" si="7"/>
        <v>24851</v>
      </c>
      <c r="J385" s="216"/>
      <c r="K385" s="216"/>
      <c r="L385" s="216">
        <v>24851</v>
      </c>
      <c r="M385" s="216"/>
      <c r="N385" s="217"/>
    </row>
    <row r="386" spans="1:14" ht="16.5">
      <c r="A386" s="242">
        <v>380</v>
      </c>
      <c r="B386" s="276"/>
      <c r="C386" s="277"/>
      <c r="D386" s="278" t="s">
        <v>581</v>
      </c>
      <c r="E386" s="279"/>
      <c r="F386" s="265"/>
      <c r="G386" s="265"/>
      <c r="H386" s="266"/>
      <c r="I386" s="267">
        <f t="shared" si="7"/>
        <v>24851</v>
      </c>
      <c r="J386" s="68"/>
      <c r="K386" s="68"/>
      <c r="L386" s="68">
        <v>24851</v>
      </c>
      <c r="M386" s="68"/>
      <c r="N386" s="69"/>
    </row>
    <row r="387" spans="1:14" ht="17.25">
      <c r="A387" s="242">
        <v>381</v>
      </c>
      <c r="B387" s="268"/>
      <c r="C387" s="269"/>
      <c r="D387" s="270" t="s">
        <v>579</v>
      </c>
      <c r="E387" s="271"/>
      <c r="F387" s="272"/>
      <c r="G387" s="272"/>
      <c r="H387" s="273"/>
      <c r="I387" s="274">
        <f t="shared" si="7"/>
        <v>22781</v>
      </c>
      <c r="J387" s="272"/>
      <c r="K387" s="272"/>
      <c r="L387" s="272">
        <v>22781</v>
      </c>
      <c r="M387" s="272"/>
      <c r="N387" s="275"/>
    </row>
    <row r="388" spans="1:14" ht="33">
      <c r="A388" s="242">
        <v>382</v>
      </c>
      <c r="B388" s="307"/>
      <c r="C388" s="308">
        <v>81</v>
      </c>
      <c r="D388" s="309" t="s">
        <v>1189</v>
      </c>
      <c r="E388" s="279" t="s">
        <v>781</v>
      </c>
      <c r="F388" s="265"/>
      <c r="G388" s="265">
        <v>400</v>
      </c>
      <c r="H388" s="266">
        <v>201</v>
      </c>
      <c r="I388" s="267"/>
      <c r="J388" s="279"/>
      <c r="K388" s="279"/>
      <c r="L388" s="279"/>
      <c r="M388" s="279"/>
      <c r="N388" s="280"/>
    </row>
    <row r="389" spans="1:14" ht="16.5">
      <c r="A389" s="242">
        <v>383</v>
      </c>
      <c r="B389" s="276"/>
      <c r="C389" s="277"/>
      <c r="D389" s="281" t="s">
        <v>580</v>
      </c>
      <c r="E389" s="282"/>
      <c r="F389" s="262"/>
      <c r="G389" s="262"/>
      <c r="H389" s="263"/>
      <c r="I389" s="264">
        <f t="shared" si="7"/>
        <v>400</v>
      </c>
      <c r="J389" s="216"/>
      <c r="K389" s="216"/>
      <c r="L389" s="216">
        <v>400</v>
      </c>
      <c r="M389" s="216"/>
      <c r="N389" s="217"/>
    </row>
    <row r="390" spans="1:14" ht="16.5">
      <c r="A390" s="242">
        <v>384</v>
      </c>
      <c r="B390" s="276"/>
      <c r="C390" s="277"/>
      <c r="D390" s="278" t="s">
        <v>581</v>
      </c>
      <c r="E390" s="279"/>
      <c r="F390" s="265"/>
      <c r="G390" s="265"/>
      <c r="H390" s="266"/>
      <c r="I390" s="267">
        <f t="shared" si="7"/>
        <v>557</v>
      </c>
      <c r="J390" s="68"/>
      <c r="K390" s="68"/>
      <c r="L390" s="68">
        <v>557</v>
      </c>
      <c r="M390" s="68"/>
      <c r="N390" s="69"/>
    </row>
    <row r="391" spans="1:14" ht="17.25">
      <c r="A391" s="242">
        <v>385</v>
      </c>
      <c r="B391" s="268"/>
      <c r="C391" s="269"/>
      <c r="D391" s="270" t="s">
        <v>579</v>
      </c>
      <c r="E391" s="271"/>
      <c r="F391" s="272"/>
      <c r="G391" s="272"/>
      <c r="H391" s="273"/>
      <c r="I391" s="274">
        <f t="shared" si="7"/>
        <v>191</v>
      </c>
      <c r="J391" s="272"/>
      <c r="K391" s="272"/>
      <c r="L391" s="272">
        <v>191</v>
      </c>
      <c r="M391" s="272"/>
      <c r="N391" s="275"/>
    </row>
    <row r="392" spans="1:14" ht="33">
      <c r="A392" s="242">
        <v>386</v>
      </c>
      <c r="B392" s="307"/>
      <c r="C392" s="308">
        <v>82</v>
      </c>
      <c r="D392" s="309" t="s">
        <v>425</v>
      </c>
      <c r="E392" s="279" t="s">
        <v>781</v>
      </c>
      <c r="F392" s="265"/>
      <c r="G392" s="265">
        <v>1000</v>
      </c>
      <c r="H392" s="266">
        <v>500</v>
      </c>
      <c r="I392" s="267"/>
      <c r="J392" s="279"/>
      <c r="K392" s="279"/>
      <c r="L392" s="279"/>
      <c r="M392" s="279"/>
      <c r="N392" s="280"/>
    </row>
    <row r="393" spans="1:14" ht="16.5">
      <c r="A393" s="242">
        <v>387</v>
      </c>
      <c r="B393" s="276"/>
      <c r="C393" s="277"/>
      <c r="D393" s="278" t="s">
        <v>581</v>
      </c>
      <c r="E393" s="279"/>
      <c r="F393" s="265"/>
      <c r="G393" s="265"/>
      <c r="H393" s="266"/>
      <c r="I393" s="267">
        <f t="shared" si="7"/>
        <v>500</v>
      </c>
      <c r="J393" s="68"/>
      <c r="K393" s="68"/>
      <c r="L393" s="68">
        <v>500</v>
      </c>
      <c r="M393" s="68"/>
      <c r="N393" s="69"/>
    </row>
    <row r="394" spans="1:14" ht="17.25">
      <c r="A394" s="242">
        <v>388</v>
      </c>
      <c r="B394" s="268"/>
      <c r="C394" s="269"/>
      <c r="D394" s="270" t="s">
        <v>579</v>
      </c>
      <c r="E394" s="271"/>
      <c r="F394" s="272"/>
      <c r="G394" s="272"/>
      <c r="H394" s="273"/>
      <c r="I394" s="274">
        <f t="shared" si="7"/>
        <v>500</v>
      </c>
      <c r="J394" s="272"/>
      <c r="K394" s="272"/>
      <c r="L394" s="272">
        <v>500</v>
      </c>
      <c r="M394" s="272"/>
      <c r="N394" s="275"/>
    </row>
    <row r="395" spans="1:14" ht="33">
      <c r="A395" s="242">
        <v>389</v>
      </c>
      <c r="B395" s="307"/>
      <c r="C395" s="308">
        <v>83</v>
      </c>
      <c r="D395" s="309" t="s">
        <v>764</v>
      </c>
      <c r="E395" s="279" t="s">
        <v>781</v>
      </c>
      <c r="F395" s="265"/>
      <c r="G395" s="265">
        <v>1000</v>
      </c>
      <c r="H395" s="266">
        <v>841</v>
      </c>
      <c r="I395" s="267"/>
      <c r="J395" s="279"/>
      <c r="K395" s="279"/>
      <c r="L395" s="279"/>
      <c r="M395" s="279"/>
      <c r="N395" s="280"/>
    </row>
    <row r="396" spans="1:14" ht="16.5">
      <c r="A396" s="242">
        <v>390</v>
      </c>
      <c r="B396" s="276"/>
      <c r="C396" s="277"/>
      <c r="D396" s="281" t="s">
        <v>580</v>
      </c>
      <c r="E396" s="282"/>
      <c r="F396" s="262"/>
      <c r="G396" s="262"/>
      <c r="H396" s="263"/>
      <c r="I396" s="264">
        <f t="shared" si="7"/>
        <v>1000</v>
      </c>
      <c r="J396" s="216"/>
      <c r="K396" s="216"/>
      <c r="L396" s="216">
        <v>1000</v>
      </c>
      <c r="M396" s="216"/>
      <c r="N396" s="217"/>
    </row>
    <row r="397" spans="1:14" ht="16.5">
      <c r="A397" s="242">
        <v>391</v>
      </c>
      <c r="B397" s="276"/>
      <c r="C397" s="277"/>
      <c r="D397" s="278" t="s">
        <v>581</v>
      </c>
      <c r="E397" s="279"/>
      <c r="F397" s="265"/>
      <c r="G397" s="265"/>
      <c r="H397" s="266"/>
      <c r="I397" s="267">
        <f t="shared" si="7"/>
        <v>1159</v>
      </c>
      <c r="J397" s="68"/>
      <c r="K397" s="68"/>
      <c r="L397" s="68">
        <v>1159</v>
      </c>
      <c r="M397" s="68"/>
      <c r="N397" s="69"/>
    </row>
    <row r="398" spans="1:14" ht="17.25">
      <c r="A398" s="242">
        <v>392</v>
      </c>
      <c r="B398" s="268"/>
      <c r="C398" s="269"/>
      <c r="D398" s="270" t="s">
        <v>579</v>
      </c>
      <c r="E398" s="271"/>
      <c r="F398" s="272"/>
      <c r="G398" s="272"/>
      <c r="H398" s="273"/>
      <c r="I398" s="274">
        <f t="shared" si="7"/>
        <v>1159</v>
      </c>
      <c r="J398" s="272"/>
      <c r="K398" s="272"/>
      <c r="L398" s="272">
        <v>1159</v>
      </c>
      <c r="M398" s="272"/>
      <c r="N398" s="275"/>
    </row>
    <row r="399" spans="1:14" s="253" customFormat="1" ht="21.75" customHeight="1">
      <c r="A399" s="242">
        <v>393</v>
      </c>
      <c r="B399" s="276"/>
      <c r="C399" s="277">
        <v>84</v>
      </c>
      <c r="D399" s="278" t="s">
        <v>472</v>
      </c>
      <c r="E399" s="279" t="s">
        <v>815</v>
      </c>
      <c r="F399" s="265">
        <v>46</v>
      </c>
      <c r="G399" s="265">
        <v>1700</v>
      </c>
      <c r="H399" s="266"/>
      <c r="I399" s="267"/>
      <c r="J399" s="279"/>
      <c r="K399" s="279"/>
      <c r="L399" s="279"/>
      <c r="M399" s="279"/>
      <c r="N399" s="280"/>
    </row>
    <row r="400" spans="1:14" ht="16.5">
      <c r="A400" s="242">
        <v>394</v>
      </c>
      <c r="B400" s="276"/>
      <c r="C400" s="277"/>
      <c r="D400" s="281" t="s">
        <v>580</v>
      </c>
      <c r="E400" s="282"/>
      <c r="F400" s="262"/>
      <c r="G400" s="262"/>
      <c r="H400" s="263"/>
      <c r="I400" s="264">
        <f t="shared" si="7"/>
        <v>2000</v>
      </c>
      <c r="J400" s="216"/>
      <c r="K400" s="216"/>
      <c r="L400" s="216">
        <v>2000</v>
      </c>
      <c r="M400" s="216"/>
      <c r="N400" s="217"/>
    </row>
    <row r="401" spans="1:14" ht="16.5">
      <c r="A401" s="242">
        <v>395</v>
      </c>
      <c r="B401" s="276"/>
      <c r="C401" s="277"/>
      <c r="D401" s="278" t="s">
        <v>581</v>
      </c>
      <c r="E401" s="279"/>
      <c r="F401" s="265"/>
      <c r="G401" s="265"/>
      <c r="H401" s="266"/>
      <c r="I401" s="267">
        <f t="shared" si="7"/>
        <v>3490</v>
      </c>
      <c r="J401" s="68"/>
      <c r="K401" s="68"/>
      <c r="L401" s="68">
        <v>3490</v>
      </c>
      <c r="M401" s="68"/>
      <c r="N401" s="69"/>
    </row>
    <row r="402" spans="1:14" ht="17.25">
      <c r="A402" s="242">
        <v>396</v>
      </c>
      <c r="B402" s="268"/>
      <c r="C402" s="269"/>
      <c r="D402" s="270" t="s">
        <v>579</v>
      </c>
      <c r="E402" s="271"/>
      <c r="F402" s="272"/>
      <c r="G402" s="272"/>
      <c r="H402" s="273"/>
      <c r="I402" s="274">
        <f t="shared" si="7"/>
        <v>251</v>
      </c>
      <c r="J402" s="272"/>
      <c r="K402" s="272"/>
      <c r="L402" s="272">
        <v>251</v>
      </c>
      <c r="M402" s="272"/>
      <c r="N402" s="275"/>
    </row>
    <row r="403" spans="1:14" s="253" customFormat="1" ht="21.75" customHeight="1">
      <c r="A403" s="242">
        <v>397</v>
      </c>
      <c r="B403" s="276"/>
      <c r="C403" s="277">
        <v>85</v>
      </c>
      <c r="D403" s="278" t="s">
        <v>465</v>
      </c>
      <c r="E403" s="279" t="s">
        <v>815</v>
      </c>
      <c r="F403" s="265">
        <v>843</v>
      </c>
      <c r="G403" s="265">
        <v>4800</v>
      </c>
      <c r="H403" s="266">
        <v>244</v>
      </c>
      <c r="I403" s="267"/>
      <c r="J403" s="279"/>
      <c r="K403" s="279"/>
      <c r="L403" s="279"/>
      <c r="M403" s="279"/>
      <c r="N403" s="280"/>
    </row>
    <row r="404" spans="1:14" ht="16.5">
      <c r="A404" s="242">
        <v>398</v>
      </c>
      <c r="B404" s="276"/>
      <c r="C404" s="277"/>
      <c r="D404" s="281" t="s">
        <v>580</v>
      </c>
      <c r="E404" s="282"/>
      <c r="F404" s="262"/>
      <c r="G404" s="262"/>
      <c r="H404" s="263"/>
      <c r="I404" s="264">
        <f t="shared" si="7"/>
        <v>6000</v>
      </c>
      <c r="J404" s="216"/>
      <c r="K404" s="216"/>
      <c r="L404" s="216">
        <v>6000</v>
      </c>
      <c r="M404" s="216"/>
      <c r="N404" s="217"/>
    </row>
    <row r="405" spans="1:14" ht="16.5">
      <c r="A405" s="242">
        <v>399</v>
      </c>
      <c r="B405" s="276"/>
      <c r="C405" s="277"/>
      <c r="D405" s="278" t="s">
        <v>581</v>
      </c>
      <c r="E405" s="279"/>
      <c r="F405" s="265"/>
      <c r="G405" s="265"/>
      <c r="H405" s="266"/>
      <c r="I405" s="267">
        <f t="shared" si="7"/>
        <v>9363</v>
      </c>
      <c r="J405" s="68"/>
      <c r="K405" s="68">
        <v>15</v>
      </c>
      <c r="L405" s="68">
        <v>9348</v>
      </c>
      <c r="M405" s="68"/>
      <c r="N405" s="69"/>
    </row>
    <row r="406" spans="1:14" ht="17.25">
      <c r="A406" s="242">
        <v>400</v>
      </c>
      <c r="B406" s="268"/>
      <c r="C406" s="269"/>
      <c r="D406" s="270" t="s">
        <v>579</v>
      </c>
      <c r="E406" s="271"/>
      <c r="F406" s="272"/>
      <c r="G406" s="272"/>
      <c r="H406" s="273"/>
      <c r="I406" s="274">
        <f t="shared" si="7"/>
        <v>710</v>
      </c>
      <c r="J406" s="272"/>
      <c r="K406" s="272">
        <v>15</v>
      </c>
      <c r="L406" s="272">
        <v>695</v>
      </c>
      <c r="M406" s="272"/>
      <c r="N406" s="275"/>
    </row>
    <row r="407" spans="1:14" s="253" customFormat="1" ht="21.75" customHeight="1">
      <c r="A407" s="242">
        <v>401</v>
      </c>
      <c r="B407" s="276"/>
      <c r="C407" s="277">
        <v>86</v>
      </c>
      <c r="D407" s="278" t="s">
        <v>401</v>
      </c>
      <c r="E407" s="279" t="s">
        <v>815</v>
      </c>
      <c r="F407" s="265">
        <v>88514</v>
      </c>
      <c r="G407" s="265">
        <v>148000</v>
      </c>
      <c r="H407" s="266">
        <v>141137</v>
      </c>
      <c r="I407" s="267"/>
      <c r="J407" s="279"/>
      <c r="K407" s="279"/>
      <c r="L407" s="279"/>
      <c r="M407" s="279"/>
      <c r="N407" s="280"/>
    </row>
    <row r="408" spans="1:14" ht="16.5">
      <c r="A408" s="242">
        <v>402</v>
      </c>
      <c r="B408" s="276"/>
      <c r="C408" s="277"/>
      <c r="D408" s="281" t="s">
        <v>580</v>
      </c>
      <c r="E408" s="282"/>
      <c r="F408" s="262"/>
      <c r="G408" s="262"/>
      <c r="H408" s="263"/>
      <c r="I408" s="264">
        <f t="shared" si="7"/>
        <v>150000</v>
      </c>
      <c r="J408" s="216"/>
      <c r="K408" s="216"/>
      <c r="L408" s="216">
        <v>150000</v>
      </c>
      <c r="M408" s="216"/>
      <c r="N408" s="217"/>
    </row>
    <row r="409" spans="1:14" ht="16.5">
      <c r="A409" s="242">
        <v>403</v>
      </c>
      <c r="B409" s="276"/>
      <c r="C409" s="277"/>
      <c r="D409" s="278" t="s">
        <v>581</v>
      </c>
      <c r="E409" s="279"/>
      <c r="F409" s="265"/>
      <c r="G409" s="265"/>
      <c r="H409" s="266"/>
      <c r="I409" s="267">
        <f t="shared" si="7"/>
        <v>197924</v>
      </c>
      <c r="J409" s="68"/>
      <c r="K409" s="68"/>
      <c r="L409" s="68">
        <v>197924</v>
      </c>
      <c r="M409" s="68"/>
      <c r="N409" s="69"/>
    </row>
    <row r="410" spans="1:14" ht="17.25">
      <c r="A410" s="242">
        <v>404</v>
      </c>
      <c r="B410" s="268"/>
      <c r="C410" s="269"/>
      <c r="D410" s="270" t="s">
        <v>579</v>
      </c>
      <c r="E410" s="271"/>
      <c r="F410" s="272"/>
      <c r="G410" s="272"/>
      <c r="H410" s="273"/>
      <c r="I410" s="274">
        <f t="shared" si="7"/>
        <v>145970</v>
      </c>
      <c r="J410" s="272"/>
      <c r="K410" s="272"/>
      <c r="L410" s="272">
        <v>145970</v>
      </c>
      <c r="M410" s="272"/>
      <c r="N410" s="275"/>
    </row>
    <row r="411" spans="1:14" s="253" customFormat="1" ht="21.75" customHeight="1">
      <c r="A411" s="242">
        <v>405</v>
      </c>
      <c r="B411" s="276"/>
      <c r="C411" s="277">
        <v>87</v>
      </c>
      <c r="D411" s="278" t="s">
        <v>635</v>
      </c>
      <c r="E411" s="279" t="s">
        <v>815</v>
      </c>
      <c r="F411" s="265">
        <v>251820</v>
      </c>
      <c r="G411" s="265">
        <v>278000</v>
      </c>
      <c r="H411" s="266">
        <v>279334</v>
      </c>
      <c r="I411" s="267"/>
      <c r="J411" s="279"/>
      <c r="K411" s="279"/>
      <c r="L411" s="279"/>
      <c r="M411" s="279"/>
      <c r="N411" s="280"/>
    </row>
    <row r="412" spans="1:14" ht="16.5">
      <c r="A412" s="242">
        <v>406</v>
      </c>
      <c r="B412" s="276"/>
      <c r="C412" s="277"/>
      <c r="D412" s="281" t="s">
        <v>580</v>
      </c>
      <c r="E412" s="282"/>
      <c r="F412" s="262"/>
      <c r="G412" s="262"/>
      <c r="H412" s="263"/>
      <c r="I412" s="264">
        <f t="shared" si="7"/>
        <v>285000</v>
      </c>
      <c r="J412" s="216"/>
      <c r="K412" s="216"/>
      <c r="L412" s="216">
        <v>285000</v>
      </c>
      <c r="M412" s="216"/>
      <c r="N412" s="217"/>
    </row>
    <row r="413" spans="1:14" ht="16.5">
      <c r="A413" s="242">
        <v>407</v>
      </c>
      <c r="B413" s="276"/>
      <c r="C413" s="277"/>
      <c r="D413" s="278" t="s">
        <v>581</v>
      </c>
      <c r="E413" s="279"/>
      <c r="F413" s="265"/>
      <c r="G413" s="265"/>
      <c r="H413" s="266"/>
      <c r="I413" s="267">
        <f t="shared" si="7"/>
        <v>306377</v>
      </c>
      <c r="J413" s="68"/>
      <c r="K413" s="68"/>
      <c r="L413" s="68">
        <v>306377</v>
      </c>
      <c r="M413" s="68"/>
      <c r="N413" s="69"/>
    </row>
    <row r="414" spans="1:14" ht="17.25">
      <c r="A414" s="242">
        <v>408</v>
      </c>
      <c r="B414" s="268"/>
      <c r="C414" s="269"/>
      <c r="D414" s="270" t="s">
        <v>579</v>
      </c>
      <c r="E414" s="271"/>
      <c r="F414" s="272"/>
      <c r="G414" s="272"/>
      <c r="H414" s="273"/>
      <c r="I414" s="274">
        <f>SUM(J414:N414)</f>
        <v>294475</v>
      </c>
      <c r="J414" s="272"/>
      <c r="K414" s="272"/>
      <c r="L414" s="272">
        <v>294475</v>
      </c>
      <c r="M414" s="272"/>
      <c r="N414" s="275"/>
    </row>
    <row r="415" spans="1:14" s="253" customFormat="1" ht="21.75" customHeight="1">
      <c r="A415" s="242">
        <v>409</v>
      </c>
      <c r="B415" s="276"/>
      <c r="C415" s="277">
        <v>88</v>
      </c>
      <c r="D415" s="278" t="s">
        <v>466</v>
      </c>
      <c r="E415" s="279" t="s">
        <v>815</v>
      </c>
      <c r="F415" s="265">
        <v>39200</v>
      </c>
      <c r="G415" s="265">
        <v>50000</v>
      </c>
      <c r="H415" s="266">
        <v>50472</v>
      </c>
      <c r="I415" s="267"/>
      <c r="J415" s="279"/>
      <c r="K415" s="279"/>
      <c r="L415" s="279"/>
      <c r="M415" s="279"/>
      <c r="N415" s="280"/>
    </row>
    <row r="416" spans="1:14" ht="16.5">
      <c r="A416" s="242">
        <v>410</v>
      </c>
      <c r="B416" s="276"/>
      <c r="C416" s="277"/>
      <c r="D416" s="281" t="s">
        <v>580</v>
      </c>
      <c r="E416" s="282"/>
      <c r="F416" s="262"/>
      <c r="G416" s="262"/>
      <c r="H416" s="263"/>
      <c r="I416" s="264">
        <f t="shared" si="7"/>
        <v>50000</v>
      </c>
      <c r="J416" s="216"/>
      <c r="K416" s="216"/>
      <c r="L416" s="216">
        <v>50000</v>
      </c>
      <c r="M416" s="216"/>
      <c r="N416" s="217"/>
    </row>
    <row r="417" spans="1:14" ht="16.5">
      <c r="A417" s="242">
        <v>411</v>
      </c>
      <c r="B417" s="276"/>
      <c r="C417" s="277"/>
      <c r="D417" s="278" t="s">
        <v>581</v>
      </c>
      <c r="E417" s="279"/>
      <c r="F417" s="265"/>
      <c r="G417" s="265"/>
      <c r="H417" s="266"/>
      <c r="I417" s="267">
        <f t="shared" si="7"/>
        <v>53428</v>
      </c>
      <c r="J417" s="68"/>
      <c r="K417" s="68"/>
      <c r="L417" s="68">
        <v>53428</v>
      </c>
      <c r="M417" s="68"/>
      <c r="N417" s="69"/>
    </row>
    <row r="418" spans="1:14" ht="17.25">
      <c r="A418" s="242">
        <v>412</v>
      </c>
      <c r="B418" s="268"/>
      <c r="C418" s="269"/>
      <c r="D418" s="270" t="s">
        <v>579</v>
      </c>
      <c r="E418" s="271"/>
      <c r="F418" s="272"/>
      <c r="G418" s="272"/>
      <c r="H418" s="273"/>
      <c r="I418" s="274">
        <f t="shared" si="7"/>
        <v>49828</v>
      </c>
      <c r="J418" s="272"/>
      <c r="K418" s="272"/>
      <c r="L418" s="272">
        <v>49828</v>
      </c>
      <c r="M418" s="272"/>
      <c r="N418" s="275"/>
    </row>
    <row r="419" spans="1:15" s="253" customFormat="1" ht="21.75" customHeight="1">
      <c r="A419" s="242">
        <v>413</v>
      </c>
      <c r="B419" s="276"/>
      <c r="C419" s="277">
        <v>89</v>
      </c>
      <c r="D419" s="278" t="s">
        <v>23</v>
      </c>
      <c r="E419" s="279" t="s">
        <v>815</v>
      </c>
      <c r="F419" s="265">
        <v>261079</v>
      </c>
      <c r="G419" s="265">
        <v>300000</v>
      </c>
      <c r="H419" s="266">
        <v>302093</v>
      </c>
      <c r="I419" s="267"/>
      <c r="J419" s="279"/>
      <c r="K419" s="279"/>
      <c r="L419" s="279"/>
      <c r="M419" s="279"/>
      <c r="N419" s="280"/>
      <c r="O419" s="253">
        <f>SUM(L418,L414,L410,L406,L402,L391,L387,L380)</f>
        <v>562363</v>
      </c>
    </row>
    <row r="420" spans="1:14" ht="16.5">
      <c r="A420" s="242">
        <v>414</v>
      </c>
      <c r="B420" s="276"/>
      <c r="C420" s="277"/>
      <c r="D420" s="281" t="s">
        <v>580</v>
      </c>
      <c r="E420" s="282"/>
      <c r="F420" s="262"/>
      <c r="G420" s="262"/>
      <c r="H420" s="263"/>
      <c r="I420" s="264">
        <f>SUM(J420:N420)</f>
        <v>295000</v>
      </c>
      <c r="J420" s="216"/>
      <c r="K420" s="216"/>
      <c r="L420" s="216">
        <v>295000</v>
      </c>
      <c r="M420" s="216"/>
      <c r="N420" s="217"/>
    </row>
    <row r="421" spans="1:14" ht="16.5">
      <c r="A421" s="242">
        <v>415</v>
      </c>
      <c r="B421" s="276"/>
      <c r="C421" s="277"/>
      <c r="D421" s="278" t="s">
        <v>581</v>
      </c>
      <c r="E421" s="279"/>
      <c r="F421" s="265"/>
      <c r="G421" s="265"/>
      <c r="H421" s="266"/>
      <c r="I421" s="267">
        <f>SUM(J421:N421)</f>
        <v>320762</v>
      </c>
      <c r="J421" s="68"/>
      <c r="K421" s="68"/>
      <c r="L421" s="68">
        <v>320762</v>
      </c>
      <c r="M421" s="68"/>
      <c r="N421" s="69"/>
    </row>
    <row r="422" spans="1:14" ht="17.25">
      <c r="A422" s="242">
        <v>416</v>
      </c>
      <c r="B422" s="268"/>
      <c r="C422" s="269"/>
      <c r="D422" s="270" t="s">
        <v>579</v>
      </c>
      <c r="E422" s="271"/>
      <c r="F422" s="272"/>
      <c r="G422" s="272"/>
      <c r="H422" s="273"/>
      <c r="I422" s="274">
        <f>SUM(J422:N422)</f>
        <v>295487</v>
      </c>
      <c r="J422" s="272"/>
      <c r="K422" s="272"/>
      <c r="L422" s="272">
        <v>295487</v>
      </c>
      <c r="M422" s="272"/>
      <c r="N422" s="275"/>
    </row>
    <row r="423" spans="1:14" s="253" customFormat="1" ht="27.75" customHeight="1">
      <c r="A423" s="242">
        <v>417</v>
      </c>
      <c r="B423" s="276"/>
      <c r="C423" s="277">
        <v>90</v>
      </c>
      <c r="D423" s="278" t="s">
        <v>589</v>
      </c>
      <c r="E423" s="279" t="s">
        <v>815</v>
      </c>
      <c r="F423" s="265"/>
      <c r="G423" s="265">
        <v>30000</v>
      </c>
      <c r="H423" s="266">
        <v>19527</v>
      </c>
      <c r="I423" s="267"/>
      <c r="J423" s="279"/>
      <c r="K423" s="279"/>
      <c r="L423" s="279"/>
      <c r="M423" s="279"/>
      <c r="N423" s="280"/>
    </row>
    <row r="424" spans="1:14" ht="16.5">
      <c r="A424" s="242">
        <v>418</v>
      </c>
      <c r="B424" s="276"/>
      <c r="C424" s="277"/>
      <c r="D424" s="281" t="s">
        <v>580</v>
      </c>
      <c r="E424" s="282"/>
      <c r="F424" s="262"/>
      <c r="G424" s="262"/>
      <c r="H424" s="263"/>
      <c r="I424" s="264">
        <f>SUM(J424:N424)</f>
        <v>15000</v>
      </c>
      <c r="J424" s="216"/>
      <c r="K424" s="216"/>
      <c r="L424" s="216">
        <v>15000</v>
      </c>
      <c r="M424" s="216"/>
      <c r="N424" s="217"/>
    </row>
    <row r="425" spans="1:14" ht="16.5">
      <c r="A425" s="242">
        <v>419</v>
      </c>
      <c r="B425" s="276"/>
      <c r="C425" s="277"/>
      <c r="D425" s="278" t="s">
        <v>581</v>
      </c>
      <c r="E425" s="279"/>
      <c r="F425" s="265"/>
      <c r="G425" s="265"/>
      <c r="H425" s="266"/>
      <c r="I425" s="267">
        <f>SUM(J425:N425)</f>
        <v>25473</v>
      </c>
      <c r="J425" s="68"/>
      <c r="K425" s="68"/>
      <c r="L425" s="68">
        <v>25473</v>
      </c>
      <c r="M425" s="68"/>
      <c r="N425" s="69"/>
    </row>
    <row r="426" spans="1:14" ht="17.25">
      <c r="A426" s="242">
        <v>420</v>
      </c>
      <c r="B426" s="268"/>
      <c r="C426" s="269"/>
      <c r="D426" s="270" t="s">
        <v>579</v>
      </c>
      <c r="E426" s="271"/>
      <c r="F426" s="272"/>
      <c r="G426" s="272"/>
      <c r="H426" s="273"/>
      <c r="I426" s="274">
        <f>SUM(J426:N426)</f>
        <v>25473</v>
      </c>
      <c r="J426" s="272"/>
      <c r="K426" s="272"/>
      <c r="L426" s="272">
        <v>25473</v>
      </c>
      <c r="M426" s="272"/>
      <c r="N426" s="275"/>
    </row>
    <row r="427" spans="1:14" s="253" customFormat="1" ht="27.75" customHeight="1">
      <c r="A427" s="242">
        <v>421</v>
      </c>
      <c r="B427" s="276"/>
      <c r="C427" s="277">
        <v>91</v>
      </c>
      <c r="D427" s="278" t="s">
        <v>389</v>
      </c>
      <c r="E427" s="279" t="s">
        <v>815</v>
      </c>
      <c r="F427" s="265"/>
      <c r="G427" s="265">
        <v>1000</v>
      </c>
      <c r="H427" s="266"/>
      <c r="I427" s="267"/>
      <c r="J427" s="279"/>
      <c r="K427" s="279"/>
      <c r="L427" s="279"/>
      <c r="M427" s="279"/>
      <c r="N427" s="280"/>
    </row>
    <row r="428" spans="1:14" ht="16.5">
      <c r="A428" s="242">
        <v>422</v>
      </c>
      <c r="B428" s="276"/>
      <c r="C428" s="277"/>
      <c r="D428" s="281" t="s">
        <v>580</v>
      </c>
      <c r="E428" s="282"/>
      <c r="F428" s="262"/>
      <c r="G428" s="262"/>
      <c r="H428" s="263"/>
      <c r="I428" s="264">
        <f aca="true" t="shared" si="8" ref="I428:I480">SUM(J428:N428)</f>
        <v>1000</v>
      </c>
      <c r="J428" s="216"/>
      <c r="K428" s="216"/>
      <c r="L428" s="216">
        <v>1000</v>
      </c>
      <c r="M428" s="216"/>
      <c r="N428" s="217"/>
    </row>
    <row r="429" spans="1:14" ht="16.5">
      <c r="A429" s="242">
        <v>423</v>
      </c>
      <c r="B429" s="276"/>
      <c r="C429" s="277"/>
      <c r="D429" s="278" t="s">
        <v>581</v>
      </c>
      <c r="E429" s="279"/>
      <c r="F429" s="265"/>
      <c r="G429" s="265"/>
      <c r="H429" s="266"/>
      <c r="I429" s="267">
        <f t="shared" si="8"/>
        <v>2000</v>
      </c>
      <c r="J429" s="68"/>
      <c r="K429" s="68"/>
      <c r="L429" s="68">
        <v>2000</v>
      </c>
      <c r="M429" s="68"/>
      <c r="N429" s="69"/>
    </row>
    <row r="430" spans="1:14" ht="17.25">
      <c r="A430" s="242">
        <v>424</v>
      </c>
      <c r="B430" s="268"/>
      <c r="C430" s="269"/>
      <c r="D430" s="270" t="s">
        <v>579</v>
      </c>
      <c r="E430" s="271"/>
      <c r="F430" s="272"/>
      <c r="G430" s="272"/>
      <c r="H430" s="273"/>
      <c r="I430" s="274">
        <f t="shared" si="8"/>
        <v>1000</v>
      </c>
      <c r="J430" s="272"/>
      <c r="K430" s="272"/>
      <c r="L430" s="272">
        <v>1000</v>
      </c>
      <c r="M430" s="272"/>
      <c r="N430" s="275"/>
    </row>
    <row r="431" spans="1:14" s="253" customFormat="1" ht="21.75" customHeight="1">
      <c r="A431" s="242">
        <v>425</v>
      </c>
      <c r="B431" s="276"/>
      <c r="C431" s="277">
        <v>92</v>
      </c>
      <c r="D431" s="278" t="s">
        <v>799</v>
      </c>
      <c r="E431" s="279" t="s">
        <v>815</v>
      </c>
      <c r="F431" s="265"/>
      <c r="G431" s="265">
        <v>5000</v>
      </c>
      <c r="H431" s="266">
        <v>3665</v>
      </c>
      <c r="I431" s="267"/>
      <c r="J431" s="279"/>
      <c r="K431" s="279"/>
      <c r="L431" s="279"/>
      <c r="M431" s="279"/>
      <c r="N431" s="280"/>
    </row>
    <row r="432" spans="1:14" ht="16.5">
      <c r="A432" s="242">
        <v>426</v>
      </c>
      <c r="B432" s="276"/>
      <c r="C432" s="277"/>
      <c r="D432" s="281" t="s">
        <v>580</v>
      </c>
      <c r="E432" s="282"/>
      <c r="F432" s="262"/>
      <c r="G432" s="262"/>
      <c r="H432" s="263"/>
      <c r="I432" s="264">
        <f t="shared" si="8"/>
        <v>5000</v>
      </c>
      <c r="J432" s="216"/>
      <c r="K432" s="216"/>
      <c r="L432" s="216">
        <v>5000</v>
      </c>
      <c r="M432" s="216"/>
      <c r="N432" s="217"/>
    </row>
    <row r="433" spans="1:14" ht="16.5">
      <c r="A433" s="242">
        <v>427</v>
      </c>
      <c r="B433" s="276"/>
      <c r="C433" s="277"/>
      <c r="D433" s="278" t="s">
        <v>581</v>
      </c>
      <c r="E433" s="279"/>
      <c r="F433" s="265"/>
      <c r="G433" s="265"/>
      <c r="H433" s="266"/>
      <c r="I433" s="267">
        <f t="shared" si="8"/>
        <v>10491</v>
      </c>
      <c r="J433" s="68"/>
      <c r="K433" s="68"/>
      <c r="L433" s="68">
        <v>10491</v>
      </c>
      <c r="M433" s="68"/>
      <c r="N433" s="69"/>
    </row>
    <row r="434" spans="1:14" ht="17.25">
      <c r="A434" s="242">
        <v>428</v>
      </c>
      <c r="B434" s="268"/>
      <c r="C434" s="269"/>
      <c r="D434" s="270" t="s">
        <v>579</v>
      </c>
      <c r="E434" s="271"/>
      <c r="F434" s="272"/>
      <c r="G434" s="272"/>
      <c r="H434" s="273"/>
      <c r="I434" s="274">
        <f t="shared" si="8"/>
        <v>6474</v>
      </c>
      <c r="J434" s="272"/>
      <c r="K434" s="272"/>
      <c r="L434" s="272">
        <v>6474</v>
      </c>
      <c r="M434" s="272"/>
      <c r="N434" s="275"/>
    </row>
    <row r="435" spans="1:14" s="253" customFormat="1" ht="21.75" customHeight="1">
      <c r="A435" s="242">
        <v>429</v>
      </c>
      <c r="B435" s="276"/>
      <c r="C435" s="277">
        <v>93</v>
      </c>
      <c r="D435" s="278" t="s">
        <v>467</v>
      </c>
      <c r="E435" s="279" t="s">
        <v>815</v>
      </c>
      <c r="F435" s="265">
        <v>10392</v>
      </c>
      <c r="G435" s="265">
        <v>13000</v>
      </c>
      <c r="H435" s="266">
        <v>16874</v>
      </c>
      <c r="I435" s="267"/>
      <c r="J435" s="279"/>
      <c r="K435" s="279"/>
      <c r="L435" s="279"/>
      <c r="M435" s="279"/>
      <c r="N435" s="280"/>
    </row>
    <row r="436" spans="1:14" ht="16.5">
      <c r="A436" s="242">
        <v>430</v>
      </c>
      <c r="B436" s="276"/>
      <c r="C436" s="277"/>
      <c r="D436" s="281" t="s">
        <v>580</v>
      </c>
      <c r="E436" s="282"/>
      <c r="F436" s="262"/>
      <c r="G436" s="262"/>
      <c r="H436" s="263"/>
      <c r="I436" s="264">
        <f t="shared" si="8"/>
        <v>13000</v>
      </c>
      <c r="J436" s="216"/>
      <c r="K436" s="216"/>
      <c r="L436" s="216">
        <v>13000</v>
      </c>
      <c r="M436" s="216"/>
      <c r="N436" s="217"/>
    </row>
    <row r="437" spans="1:14" ht="16.5">
      <c r="A437" s="242">
        <v>431</v>
      </c>
      <c r="B437" s="276"/>
      <c r="C437" s="277"/>
      <c r="D437" s="278" t="s">
        <v>581</v>
      </c>
      <c r="E437" s="279"/>
      <c r="F437" s="265"/>
      <c r="G437" s="265"/>
      <c r="H437" s="266"/>
      <c r="I437" s="267">
        <f t="shared" si="8"/>
        <v>25692</v>
      </c>
      <c r="J437" s="68">
        <v>270</v>
      </c>
      <c r="K437" s="68">
        <v>66</v>
      </c>
      <c r="L437" s="68">
        <v>25356</v>
      </c>
      <c r="M437" s="68"/>
      <c r="N437" s="69"/>
    </row>
    <row r="438" spans="1:14" ht="17.25">
      <c r="A438" s="242">
        <v>432</v>
      </c>
      <c r="B438" s="268"/>
      <c r="C438" s="269"/>
      <c r="D438" s="270" t="s">
        <v>579</v>
      </c>
      <c r="E438" s="271"/>
      <c r="F438" s="272"/>
      <c r="G438" s="272"/>
      <c r="H438" s="273"/>
      <c r="I438" s="274">
        <f>SUM(J438:N438)</f>
        <v>13545</v>
      </c>
      <c r="J438" s="272">
        <v>283</v>
      </c>
      <c r="K438" s="272">
        <v>74</v>
      </c>
      <c r="L438" s="272">
        <v>13188</v>
      </c>
      <c r="M438" s="272"/>
      <c r="N438" s="275"/>
    </row>
    <row r="439" spans="1:14" s="253" customFormat="1" ht="21.75" customHeight="1">
      <c r="A439" s="242">
        <v>433</v>
      </c>
      <c r="B439" s="276"/>
      <c r="C439" s="277">
        <v>94</v>
      </c>
      <c r="D439" s="278" t="s">
        <v>468</v>
      </c>
      <c r="E439" s="279" t="s">
        <v>815</v>
      </c>
      <c r="F439" s="265">
        <v>89927</v>
      </c>
      <c r="G439" s="265">
        <v>120000</v>
      </c>
      <c r="H439" s="266">
        <v>165247</v>
      </c>
      <c r="I439" s="267"/>
      <c r="J439" s="279"/>
      <c r="K439" s="279"/>
      <c r="L439" s="279"/>
      <c r="M439" s="279"/>
      <c r="N439" s="280"/>
    </row>
    <row r="440" spans="1:14" ht="16.5">
      <c r="A440" s="242">
        <v>434</v>
      </c>
      <c r="B440" s="276"/>
      <c r="C440" s="277"/>
      <c r="D440" s="281" t="s">
        <v>580</v>
      </c>
      <c r="E440" s="282"/>
      <c r="F440" s="262"/>
      <c r="G440" s="262"/>
      <c r="H440" s="263"/>
      <c r="I440" s="264">
        <f t="shared" si="8"/>
        <v>180000</v>
      </c>
      <c r="J440" s="216"/>
      <c r="K440" s="216"/>
      <c r="L440" s="216">
        <v>180000</v>
      </c>
      <c r="M440" s="216"/>
      <c r="N440" s="217"/>
    </row>
    <row r="441" spans="1:14" ht="16.5">
      <c r="A441" s="242">
        <v>435</v>
      </c>
      <c r="B441" s="276"/>
      <c r="C441" s="277"/>
      <c r="D441" s="278" t="s">
        <v>581</v>
      </c>
      <c r="E441" s="279"/>
      <c r="F441" s="265"/>
      <c r="G441" s="265"/>
      <c r="H441" s="266"/>
      <c r="I441" s="267">
        <f t="shared" si="8"/>
        <v>245311</v>
      </c>
      <c r="J441" s="68"/>
      <c r="K441" s="68"/>
      <c r="L441" s="68">
        <v>245311</v>
      </c>
      <c r="M441" s="68"/>
      <c r="N441" s="69"/>
    </row>
    <row r="442" spans="1:14" ht="17.25">
      <c r="A442" s="242">
        <v>436</v>
      </c>
      <c r="B442" s="268"/>
      <c r="C442" s="269"/>
      <c r="D442" s="270" t="s">
        <v>579</v>
      </c>
      <c r="E442" s="271"/>
      <c r="F442" s="272"/>
      <c r="G442" s="272"/>
      <c r="H442" s="273"/>
      <c r="I442" s="274">
        <f t="shared" si="8"/>
        <v>245275</v>
      </c>
      <c r="J442" s="272"/>
      <c r="K442" s="272"/>
      <c r="L442" s="272">
        <v>245275</v>
      </c>
      <c r="M442" s="272"/>
      <c r="N442" s="275"/>
    </row>
    <row r="443" spans="1:14" s="253" customFormat="1" ht="21.75" customHeight="1">
      <c r="A443" s="242">
        <v>437</v>
      </c>
      <c r="B443" s="276"/>
      <c r="C443" s="277">
        <v>95</v>
      </c>
      <c r="D443" s="278" t="s">
        <v>469</v>
      </c>
      <c r="E443" s="279" t="s">
        <v>781</v>
      </c>
      <c r="F443" s="265">
        <v>5139</v>
      </c>
      <c r="G443" s="265">
        <v>5856</v>
      </c>
      <c r="H443" s="266">
        <v>5158</v>
      </c>
      <c r="I443" s="267"/>
      <c r="J443" s="279"/>
      <c r="K443" s="279"/>
      <c r="L443" s="279"/>
      <c r="M443" s="279"/>
      <c r="N443" s="280"/>
    </row>
    <row r="444" spans="1:14" ht="16.5">
      <c r="A444" s="242">
        <v>438</v>
      </c>
      <c r="B444" s="276"/>
      <c r="C444" s="277"/>
      <c r="D444" s="278" t="s">
        <v>581</v>
      </c>
      <c r="E444" s="279"/>
      <c r="F444" s="265"/>
      <c r="G444" s="265"/>
      <c r="H444" s="266"/>
      <c r="I444" s="267">
        <f t="shared" si="8"/>
        <v>5856</v>
      </c>
      <c r="J444" s="68"/>
      <c r="K444" s="68"/>
      <c r="L444" s="68">
        <v>5856</v>
      </c>
      <c r="M444" s="68"/>
      <c r="N444" s="69"/>
    </row>
    <row r="445" spans="1:14" ht="17.25">
      <c r="A445" s="242">
        <v>439</v>
      </c>
      <c r="B445" s="268"/>
      <c r="C445" s="269"/>
      <c r="D445" s="270" t="s">
        <v>579</v>
      </c>
      <c r="E445" s="271"/>
      <c r="F445" s="272"/>
      <c r="G445" s="272"/>
      <c r="H445" s="273"/>
      <c r="I445" s="274">
        <f t="shared" si="8"/>
        <v>4253</v>
      </c>
      <c r="J445" s="272"/>
      <c r="K445" s="272"/>
      <c r="L445" s="272">
        <v>4253</v>
      </c>
      <c r="M445" s="272"/>
      <c r="N445" s="275"/>
    </row>
    <row r="446" spans="1:14" s="253" customFormat="1" ht="21.75" customHeight="1">
      <c r="A446" s="242">
        <v>440</v>
      </c>
      <c r="B446" s="276"/>
      <c r="C446" s="277">
        <v>96</v>
      </c>
      <c r="D446" s="278" t="s">
        <v>470</v>
      </c>
      <c r="E446" s="279" t="s">
        <v>815</v>
      </c>
      <c r="F446" s="265">
        <v>3439</v>
      </c>
      <c r="G446" s="265">
        <v>5000</v>
      </c>
      <c r="H446" s="266">
        <v>3421</v>
      </c>
      <c r="I446" s="267"/>
      <c r="J446" s="279"/>
      <c r="K446" s="279"/>
      <c r="L446" s="279"/>
      <c r="M446" s="279"/>
      <c r="N446" s="280"/>
    </row>
    <row r="447" spans="1:14" ht="16.5">
      <c r="A447" s="242">
        <v>441</v>
      </c>
      <c r="B447" s="276"/>
      <c r="C447" s="277"/>
      <c r="D447" s="281" t="s">
        <v>580</v>
      </c>
      <c r="E447" s="282"/>
      <c r="F447" s="262"/>
      <c r="G447" s="262"/>
      <c r="H447" s="263"/>
      <c r="I447" s="264">
        <f t="shared" si="8"/>
        <v>5000</v>
      </c>
      <c r="J447" s="216"/>
      <c r="K447" s="216"/>
      <c r="L447" s="216">
        <v>5000</v>
      </c>
      <c r="M447" s="216"/>
      <c r="N447" s="217"/>
    </row>
    <row r="448" spans="1:14" ht="16.5">
      <c r="A448" s="242">
        <v>442</v>
      </c>
      <c r="B448" s="276"/>
      <c r="C448" s="277"/>
      <c r="D448" s="278" t="s">
        <v>581</v>
      </c>
      <c r="E448" s="279"/>
      <c r="F448" s="265"/>
      <c r="G448" s="265"/>
      <c r="H448" s="266"/>
      <c r="I448" s="267">
        <f t="shared" si="8"/>
        <v>5000</v>
      </c>
      <c r="J448" s="68"/>
      <c r="K448" s="68"/>
      <c r="L448" s="68">
        <v>5000</v>
      </c>
      <c r="M448" s="68"/>
      <c r="N448" s="69"/>
    </row>
    <row r="449" spans="1:14" ht="17.25">
      <c r="A449" s="242">
        <v>443</v>
      </c>
      <c r="B449" s="268"/>
      <c r="C449" s="269"/>
      <c r="D449" s="270" t="s">
        <v>579</v>
      </c>
      <c r="E449" s="271"/>
      <c r="F449" s="272"/>
      <c r="G449" s="272"/>
      <c r="H449" s="273"/>
      <c r="I449" s="274">
        <f t="shared" si="8"/>
        <v>3506</v>
      </c>
      <c r="J449" s="272"/>
      <c r="K449" s="272"/>
      <c r="L449" s="272">
        <v>3506</v>
      </c>
      <c r="M449" s="272"/>
      <c r="N449" s="275"/>
    </row>
    <row r="450" spans="1:14" s="253" customFormat="1" ht="21.75" customHeight="1">
      <c r="A450" s="242">
        <v>444</v>
      </c>
      <c r="B450" s="276"/>
      <c r="C450" s="277">
        <v>97</v>
      </c>
      <c r="D450" s="278" t="s">
        <v>524</v>
      </c>
      <c r="E450" s="279" t="s">
        <v>815</v>
      </c>
      <c r="F450" s="265">
        <v>2622</v>
      </c>
      <c r="G450" s="265">
        <v>6000</v>
      </c>
      <c r="H450" s="266">
        <v>4167</v>
      </c>
      <c r="I450" s="267"/>
      <c r="J450" s="279"/>
      <c r="K450" s="279"/>
      <c r="L450" s="279"/>
      <c r="M450" s="279"/>
      <c r="N450" s="280"/>
    </row>
    <row r="451" spans="1:14" ht="16.5">
      <c r="A451" s="242">
        <v>445</v>
      </c>
      <c r="B451" s="276"/>
      <c r="C451" s="277"/>
      <c r="D451" s="281" t="s">
        <v>580</v>
      </c>
      <c r="E451" s="282"/>
      <c r="F451" s="262"/>
      <c r="G451" s="262"/>
      <c r="H451" s="263"/>
      <c r="I451" s="264">
        <f t="shared" si="8"/>
        <v>6000</v>
      </c>
      <c r="J451" s="216"/>
      <c r="K451" s="216"/>
      <c r="L451" s="216">
        <v>6000</v>
      </c>
      <c r="M451" s="216"/>
      <c r="N451" s="217"/>
    </row>
    <row r="452" spans="1:14" ht="16.5">
      <c r="A452" s="242">
        <v>446</v>
      </c>
      <c r="B452" s="276"/>
      <c r="C452" s="277"/>
      <c r="D452" s="278" t="s">
        <v>581</v>
      </c>
      <c r="E452" s="279"/>
      <c r="F452" s="265"/>
      <c r="G452" s="265"/>
      <c r="H452" s="266"/>
      <c r="I452" s="267">
        <f t="shared" si="8"/>
        <v>9212</v>
      </c>
      <c r="J452" s="68"/>
      <c r="K452" s="68"/>
      <c r="L452" s="68">
        <v>9212</v>
      </c>
      <c r="M452" s="68"/>
      <c r="N452" s="69"/>
    </row>
    <row r="453" spans="1:14" ht="17.25">
      <c r="A453" s="242">
        <v>447</v>
      </c>
      <c r="B453" s="268"/>
      <c r="C453" s="269"/>
      <c r="D453" s="270" t="s">
        <v>579</v>
      </c>
      <c r="E453" s="271"/>
      <c r="F453" s="272"/>
      <c r="G453" s="272"/>
      <c r="H453" s="273"/>
      <c r="I453" s="274">
        <f t="shared" si="8"/>
        <v>4015</v>
      </c>
      <c r="J453" s="272"/>
      <c r="K453" s="272"/>
      <c r="L453" s="272">
        <v>4015</v>
      </c>
      <c r="M453" s="272"/>
      <c r="N453" s="275"/>
    </row>
    <row r="454" spans="1:14" s="253" customFormat="1" ht="21.75" customHeight="1">
      <c r="A454" s="242">
        <v>448</v>
      </c>
      <c r="B454" s="276"/>
      <c r="C454" s="277">
        <v>98</v>
      </c>
      <c r="D454" s="278" t="s">
        <v>525</v>
      </c>
      <c r="E454" s="279" t="s">
        <v>815</v>
      </c>
      <c r="F454" s="265">
        <v>448</v>
      </c>
      <c r="G454" s="265">
        <v>2000</v>
      </c>
      <c r="H454" s="266">
        <v>334</v>
      </c>
      <c r="I454" s="267"/>
      <c r="J454" s="279"/>
      <c r="K454" s="279"/>
      <c r="L454" s="279"/>
      <c r="M454" s="279"/>
      <c r="N454" s="280"/>
    </row>
    <row r="455" spans="1:14" ht="16.5">
      <c r="A455" s="242">
        <v>449</v>
      </c>
      <c r="B455" s="276"/>
      <c r="C455" s="277"/>
      <c r="D455" s="281" t="s">
        <v>580</v>
      </c>
      <c r="E455" s="282"/>
      <c r="F455" s="262"/>
      <c r="G455" s="262"/>
      <c r="H455" s="263"/>
      <c r="I455" s="264">
        <f t="shared" si="8"/>
        <v>2000</v>
      </c>
      <c r="J455" s="216"/>
      <c r="K455" s="216"/>
      <c r="L455" s="216">
        <v>2000</v>
      </c>
      <c r="M455" s="216"/>
      <c r="N455" s="217"/>
    </row>
    <row r="456" spans="1:14" ht="16.5">
      <c r="A456" s="242">
        <v>450</v>
      </c>
      <c r="B456" s="276"/>
      <c r="C456" s="277"/>
      <c r="D456" s="278" t="s">
        <v>581</v>
      </c>
      <c r="E456" s="279"/>
      <c r="F456" s="265"/>
      <c r="G456" s="265"/>
      <c r="H456" s="266"/>
      <c r="I456" s="267">
        <f t="shared" si="8"/>
        <v>3106</v>
      </c>
      <c r="J456" s="68"/>
      <c r="K456" s="68"/>
      <c r="L456" s="68">
        <v>3106</v>
      </c>
      <c r="M456" s="68"/>
      <c r="N456" s="69"/>
    </row>
    <row r="457" spans="1:14" ht="17.25">
      <c r="A457" s="242">
        <v>451</v>
      </c>
      <c r="B457" s="268"/>
      <c r="C457" s="269"/>
      <c r="D457" s="270" t="s">
        <v>579</v>
      </c>
      <c r="E457" s="271"/>
      <c r="F457" s="272"/>
      <c r="G457" s="272"/>
      <c r="H457" s="273"/>
      <c r="I457" s="274">
        <f t="shared" si="8"/>
        <v>13</v>
      </c>
      <c r="J457" s="272"/>
      <c r="K457" s="272"/>
      <c r="L457" s="272">
        <v>13</v>
      </c>
      <c r="M457" s="272"/>
      <c r="N457" s="275"/>
    </row>
    <row r="458" spans="1:14" s="253" customFormat="1" ht="21.75" customHeight="1">
      <c r="A458" s="242">
        <v>452</v>
      </c>
      <c r="B458" s="276"/>
      <c r="C458" s="277">
        <v>99</v>
      </c>
      <c r="D458" s="278" t="s">
        <v>528</v>
      </c>
      <c r="E458" s="279" t="s">
        <v>815</v>
      </c>
      <c r="F458" s="265">
        <v>25288</v>
      </c>
      <c r="G458" s="265">
        <v>32500</v>
      </c>
      <c r="H458" s="266">
        <v>29026</v>
      </c>
      <c r="I458" s="267"/>
      <c r="J458" s="279"/>
      <c r="K458" s="279"/>
      <c r="L458" s="279"/>
      <c r="M458" s="279"/>
      <c r="N458" s="280"/>
    </row>
    <row r="459" spans="1:14" ht="16.5">
      <c r="A459" s="242">
        <v>453</v>
      </c>
      <c r="B459" s="276"/>
      <c r="C459" s="277"/>
      <c r="D459" s="281" t="s">
        <v>580</v>
      </c>
      <c r="E459" s="282"/>
      <c r="F459" s="262"/>
      <c r="G459" s="262"/>
      <c r="H459" s="263"/>
      <c r="I459" s="264">
        <f t="shared" si="8"/>
        <v>37827</v>
      </c>
      <c r="J459" s="216"/>
      <c r="K459" s="216"/>
      <c r="L459" s="216">
        <v>37827</v>
      </c>
      <c r="M459" s="216"/>
      <c r="N459" s="217"/>
    </row>
    <row r="460" spans="1:14" ht="16.5">
      <c r="A460" s="242">
        <v>454</v>
      </c>
      <c r="B460" s="276"/>
      <c r="C460" s="277"/>
      <c r="D460" s="278" t="s">
        <v>581</v>
      </c>
      <c r="E460" s="279"/>
      <c r="F460" s="265"/>
      <c r="G460" s="265"/>
      <c r="H460" s="266"/>
      <c r="I460" s="267">
        <f t="shared" si="8"/>
        <v>42223</v>
      </c>
      <c r="J460" s="68"/>
      <c r="K460" s="68"/>
      <c r="L460" s="68">
        <v>42223</v>
      </c>
      <c r="M460" s="68"/>
      <c r="N460" s="69"/>
    </row>
    <row r="461" spans="1:14" ht="17.25">
      <c r="A461" s="242">
        <v>455</v>
      </c>
      <c r="B461" s="268"/>
      <c r="C461" s="269"/>
      <c r="D461" s="270" t="s">
        <v>579</v>
      </c>
      <c r="E461" s="271"/>
      <c r="F461" s="272"/>
      <c r="G461" s="272"/>
      <c r="H461" s="273"/>
      <c r="I461" s="274">
        <f t="shared" si="8"/>
        <v>24122</v>
      </c>
      <c r="J461" s="272"/>
      <c r="K461" s="272"/>
      <c r="L461" s="272">
        <v>24122</v>
      </c>
      <c r="M461" s="272"/>
      <c r="N461" s="275"/>
    </row>
    <row r="462" spans="1:14" s="253" customFormat="1" ht="21.75" customHeight="1">
      <c r="A462" s="242">
        <v>456</v>
      </c>
      <c r="B462" s="276"/>
      <c r="C462" s="277">
        <v>100</v>
      </c>
      <c r="D462" s="278" t="s">
        <v>658</v>
      </c>
      <c r="E462" s="279" t="s">
        <v>815</v>
      </c>
      <c r="F462" s="265">
        <v>38863</v>
      </c>
      <c r="G462" s="265">
        <v>43500</v>
      </c>
      <c r="H462" s="266">
        <v>43300</v>
      </c>
      <c r="I462" s="267"/>
      <c r="J462" s="279"/>
      <c r="K462" s="279"/>
      <c r="L462" s="279"/>
      <c r="M462" s="279"/>
      <c r="N462" s="280"/>
    </row>
    <row r="463" spans="1:14" ht="16.5">
      <c r="A463" s="242">
        <v>457</v>
      </c>
      <c r="B463" s="276"/>
      <c r="C463" s="277"/>
      <c r="D463" s="281" t="s">
        <v>580</v>
      </c>
      <c r="E463" s="282"/>
      <c r="F463" s="262"/>
      <c r="G463" s="262"/>
      <c r="H463" s="263"/>
      <c r="I463" s="264">
        <f t="shared" si="8"/>
        <v>52802</v>
      </c>
      <c r="J463" s="216"/>
      <c r="K463" s="216"/>
      <c r="L463" s="216">
        <v>52802</v>
      </c>
      <c r="M463" s="216"/>
      <c r="N463" s="217"/>
    </row>
    <row r="464" spans="1:15" ht="16.5">
      <c r="A464" s="242">
        <v>458</v>
      </c>
      <c r="B464" s="276"/>
      <c r="C464" s="277"/>
      <c r="D464" s="278" t="s">
        <v>581</v>
      </c>
      <c r="E464" s="279"/>
      <c r="F464" s="265"/>
      <c r="G464" s="265"/>
      <c r="H464" s="266"/>
      <c r="I464" s="267">
        <f t="shared" si="8"/>
        <v>55002</v>
      </c>
      <c r="J464" s="68"/>
      <c r="K464" s="68"/>
      <c r="L464" s="68">
        <v>55002</v>
      </c>
      <c r="M464" s="68"/>
      <c r="N464" s="69"/>
      <c r="O464" s="247">
        <f>SUM(L461,L453,L449,L445,L442,L438,L434,L430,L426,L422)</f>
        <v>622793</v>
      </c>
    </row>
    <row r="465" spans="1:14" ht="17.25">
      <c r="A465" s="242">
        <v>459</v>
      </c>
      <c r="B465" s="268"/>
      <c r="C465" s="269"/>
      <c r="D465" s="270" t="s">
        <v>579</v>
      </c>
      <c r="E465" s="271"/>
      <c r="F465" s="272"/>
      <c r="G465" s="272"/>
      <c r="H465" s="273"/>
      <c r="I465" s="274">
        <f t="shared" si="8"/>
        <v>52500</v>
      </c>
      <c r="J465" s="272"/>
      <c r="K465" s="272"/>
      <c r="L465" s="272">
        <v>52500</v>
      </c>
      <c r="M465" s="272"/>
      <c r="N465" s="275"/>
    </row>
    <row r="466" spans="1:14" s="253" customFormat="1" ht="21.75" customHeight="1">
      <c r="A466" s="242">
        <v>460</v>
      </c>
      <c r="B466" s="276"/>
      <c r="C466" s="277">
        <v>101</v>
      </c>
      <c r="D466" s="278" t="s">
        <v>523</v>
      </c>
      <c r="E466" s="279" t="s">
        <v>815</v>
      </c>
      <c r="F466" s="265">
        <v>4093</v>
      </c>
      <c r="G466" s="265">
        <v>16000</v>
      </c>
      <c r="H466" s="266">
        <v>25541</v>
      </c>
      <c r="I466" s="267"/>
      <c r="J466" s="279"/>
      <c r="K466" s="279"/>
      <c r="L466" s="279"/>
      <c r="M466" s="279"/>
      <c r="N466" s="280"/>
    </row>
    <row r="467" spans="1:14" ht="16.5">
      <c r="A467" s="242">
        <v>461</v>
      </c>
      <c r="B467" s="276"/>
      <c r="C467" s="277"/>
      <c r="D467" s="281" t="s">
        <v>580</v>
      </c>
      <c r="E467" s="282"/>
      <c r="F467" s="262"/>
      <c r="G467" s="262"/>
      <c r="H467" s="263"/>
      <c r="I467" s="264">
        <f t="shared" si="8"/>
        <v>18500</v>
      </c>
      <c r="J467" s="216"/>
      <c r="K467" s="216"/>
      <c r="L467" s="216">
        <v>18500</v>
      </c>
      <c r="M467" s="216"/>
      <c r="N467" s="217"/>
    </row>
    <row r="468" spans="1:14" ht="16.5">
      <c r="A468" s="242">
        <v>462</v>
      </c>
      <c r="B468" s="276"/>
      <c r="C468" s="277"/>
      <c r="D468" s="278" t="s">
        <v>581</v>
      </c>
      <c r="E468" s="279"/>
      <c r="F468" s="265"/>
      <c r="G468" s="265"/>
      <c r="H468" s="266"/>
      <c r="I468" s="267">
        <f t="shared" si="8"/>
        <v>20462</v>
      </c>
      <c r="J468" s="68"/>
      <c r="K468" s="68"/>
      <c r="L468" s="68">
        <v>20462</v>
      </c>
      <c r="M468" s="68"/>
      <c r="N468" s="69"/>
    </row>
    <row r="469" spans="1:14" ht="17.25">
      <c r="A469" s="242">
        <v>463</v>
      </c>
      <c r="B469" s="268"/>
      <c r="C469" s="269"/>
      <c r="D469" s="270" t="s">
        <v>579</v>
      </c>
      <c r="E469" s="271"/>
      <c r="F469" s="272"/>
      <c r="G469" s="272"/>
      <c r="H469" s="273"/>
      <c r="I469" s="274">
        <f t="shared" si="8"/>
        <v>17916</v>
      </c>
      <c r="J469" s="272"/>
      <c r="K469" s="272"/>
      <c r="L469" s="272">
        <v>17916</v>
      </c>
      <c r="M469" s="272"/>
      <c r="N469" s="275"/>
    </row>
    <row r="470" spans="1:14" s="253" customFormat="1" ht="19.5" customHeight="1">
      <c r="A470" s="242">
        <v>464</v>
      </c>
      <c r="B470" s="276"/>
      <c r="C470" s="277">
        <v>102</v>
      </c>
      <c r="D470" s="278" t="s">
        <v>402</v>
      </c>
      <c r="E470" s="279" t="s">
        <v>815</v>
      </c>
      <c r="F470" s="265">
        <v>485</v>
      </c>
      <c r="G470" s="265">
        <v>1000</v>
      </c>
      <c r="H470" s="266">
        <v>910</v>
      </c>
      <c r="I470" s="267"/>
      <c r="J470" s="279"/>
      <c r="K470" s="279"/>
      <c r="L470" s="279"/>
      <c r="M470" s="279"/>
      <c r="N470" s="280"/>
    </row>
    <row r="471" spans="1:14" ht="16.5">
      <c r="A471" s="242">
        <v>465</v>
      </c>
      <c r="B471" s="276"/>
      <c r="C471" s="277"/>
      <c r="D471" s="281" t="s">
        <v>580</v>
      </c>
      <c r="E471" s="282"/>
      <c r="F471" s="262"/>
      <c r="G471" s="262"/>
      <c r="H471" s="263"/>
      <c r="I471" s="264">
        <f t="shared" si="8"/>
        <v>2000</v>
      </c>
      <c r="J471" s="216"/>
      <c r="K471" s="216"/>
      <c r="L471" s="216">
        <v>2000</v>
      </c>
      <c r="M471" s="216"/>
      <c r="N471" s="217"/>
    </row>
    <row r="472" spans="1:14" ht="16.5">
      <c r="A472" s="242">
        <v>466</v>
      </c>
      <c r="B472" s="276"/>
      <c r="C472" s="277"/>
      <c r="D472" s="278" t="s">
        <v>581</v>
      </c>
      <c r="E472" s="279"/>
      <c r="F472" s="265"/>
      <c r="G472" s="265"/>
      <c r="H472" s="266"/>
      <c r="I472" s="267">
        <f t="shared" si="8"/>
        <v>2090</v>
      </c>
      <c r="J472" s="68"/>
      <c r="K472" s="68"/>
      <c r="L472" s="68">
        <v>2090</v>
      </c>
      <c r="M472" s="68"/>
      <c r="N472" s="69"/>
    </row>
    <row r="473" spans="1:14" ht="17.25">
      <c r="A473" s="242">
        <v>467</v>
      </c>
      <c r="B473" s="268"/>
      <c r="C473" s="269"/>
      <c r="D473" s="270" t="s">
        <v>579</v>
      </c>
      <c r="E473" s="271"/>
      <c r="F473" s="272"/>
      <c r="G473" s="272"/>
      <c r="H473" s="273"/>
      <c r="I473" s="274">
        <f t="shared" si="8"/>
        <v>144</v>
      </c>
      <c r="J473" s="272"/>
      <c r="K473" s="272"/>
      <c r="L473" s="272">
        <v>144</v>
      </c>
      <c r="M473" s="272"/>
      <c r="N473" s="275"/>
    </row>
    <row r="474" spans="1:14" s="253" customFormat="1" ht="19.5" customHeight="1">
      <c r="A474" s="242">
        <v>468</v>
      </c>
      <c r="B474" s="276"/>
      <c r="C474" s="277">
        <v>103</v>
      </c>
      <c r="D474" s="278" t="s">
        <v>590</v>
      </c>
      <c r="E474" s="279" t="s">
        <v>781</v>
      </c>
      <c r="F474" s="265">
        <v>3161</v>
      </c>
      <c r="G474" s="265">
        <v>7326</v>
      </c>
      <c r="H474" s="266">
        <v>1132</v>
      </c>
      <c r="I474" s="267"/>
      <c r="J474" s="279"/>
      <c r="K474" s="279"/>
      <c r="L474" s="279"/>
      <c r="M474" s="279"/>
      <c r="N474" s="280"/>
    </row>
    <row r="475" spans="1:14" ht="16.5">
      <c r="A475" s="242">
        <v>469</v>
      </c>
      <c r="B475" s="276"/>
      <c r="C475" s="277"/>
      <c r="D475" s="281" t="s">
        <v>580</v>
      </c>
      <c r="E475" s="282"/>
      <c r="F475" s="262"/>
      <c r="G475" s="262"/>
      <c r="H475" s="263"/>
      <c r="I475" s="264">
        <f t="shared" si="8"/>
        <v>4820</v>
      </c>
      <c r="J475" s="216"/>
      <c r="K475" s="216"/>
      <c r="L475" s="216">
        <v>4820</v>
      </c>
      <c r="M475" s="216"/>
      <c r="N475" s="217"/>
    </row>
    <row r="476" spans="1:14" ht="16.5">
      <c r="A476" s="242">
        <v>470</v>
      </c>
      <c r="B476" s="276"/>
      <c r="C476" s="277"/>
      <c r="D476" s="278" t="s">
        <v>581</v>
      </c>
      <c r="E476" s="279"/>
      <c r="F476" s="265"/>
      <c r="G476" s="265"/>
      <c r="H476" s="266"/>
      <c r="I476" s="267">
        <f t="shared" si="8"/>
        <v>10065</v>
      </c>
      <c r="J476" s="68"/>
      <c r="K476" s="68"/>
      <c r="L476" s="68">
        <v>10065</v>
      </c>
      <c r="M476" s="68"/>
      <c r="N476" s="69"/>
    </row>
    <row r="477" spans="1:14" ht="17.25">
      <c r="A477" s="242">
        <v>471</v>
      </c>
      <c r="B477" s="268"/>
      <c r="C477" s="269"/>
      <c r="D477" s="270" t="s">
        <v>579</v>
      </c>
      <c r="E477" s="271"/>
      <c r="F477" s="272"/>
      <c r="G477" s="272"/>
      <c r="H477" s="273"/>
      <c r="I477" s="274">
        <f t="shared" si="8"/>
        <v>6451</v>
      </c>
      <c r="J477" s="272"/>
      <c r="K477" s="272"/>
      <c r="L477" s="272">
        <v>6451</v>
      </c>
      <c r="M477" s="272"/>
      <c r="N477" s="275"/>
    </row>
    <row r="478" spans="1:14" s="253" customFormat="1" ht="16.5">
      <c r="A478" s="242">
        <v>472</v>
      </c>
      <c r="B478" s="276"/>
      <c r="C478" s="277">
        <v>104</v>
      </c>
      <c r="D478" s="278" t="s">
        <v>471</v>
      </c>
      <c r="E478" s="279" t="s">
        <v>781</v>
      </c>
      <c r="F478" s="265">
        <v>5904</v>
      </c>
      <c r="G478" s="265">
        <v>9000</v>
      </c>
      <c r="H478" s="266">
        <v>8275</v>
      </c>
      <c r="I478" s="267"/>
      <c r="J478" s="279"/>
      <c r="K478" s="279"/>
      <c r="L478" s="279"/>
      <c r="M478" s="279"/>
      <c r="N478" s="280"/>
    </row>
    <row r="479" spans="1:14" ht="16.5">
      <c r="A479" s="242">
        <v>473</v>
      </c>
      <c r="B479" s="276"/>
      <c r="C479" s="277"/>
      <c r="D479" s="281" t="s">
        <v>580</v>
      </c>
      <c r="E479" s="282"/>
      <c r="F479" s="262"/>
      <c r="G479" s="262"/>
      <c r="H479" s="263"/>
      <c r="I479" s="264">
        <f t="shared" si="8"/>
        <v>11000</v>
      </c>
      <c r="J479" s="216"/>
      <c r="K479" s="216"/>
      <c r="L479" s="216">
        <v>11000</v>
      </c>
      <c r="M479" s="216"/>
      <c r="N479" s="217"/>
    </row>
    <row r="480" spans="1:14" ht="16.5">
      <c r="A480" s="242">
        <v>474</v>
      </c>
      <c r="B480" s="276"/>
      <c r="C480" s="277"/>
      <c r="D480" s="278" t="s">
        <v>581</v>
      </c>
      <c r="E480" s="279"/>
      <c r="F480" s="265"/>
      <c r="G480" s="265"/>
      <c r="H480" s="266"/>
      <c r="I480" s="267">
        <f t="shared" si="8"/>
        <v>9432</v>
      </c>
      <c r="J480" s="68"/>
      <c r="K480" s="68"/>
      <c r="L480" s="68">
        <v>9432</v>
      </c>
      <c r="M480" s="68"/>
      <c r="N480" s="69"/>
    </row>
    <row r="481" spans="1:14" ht="17.25">
      <c r="A481" s="242">
        <v>475</v>
      </c>
      <c r="B481" s="268"/>
      <c r="C481" s="269"/>
      <c r="D481" s="270" t="s">
        <v>579</v>
      </c>
      <c r="E481" s="271"/>
      <c r="F481" s="272"/>
      <c r="G481" s="272"/>
      <c r="H481" s="273"/>
      <c r="I481" s="274">
        <f>SUM(J481:N481)</f>
        <v>7967</v>
      </c>
      <c r="J481" s="272"/>
      <c r="K481" s="272"/>
      <c r="L481" s="272">
        <v>7967</v>
      </c>
      <c r="M481" s="272"/>
      <c r="N481" s="275"/>
    </row>
    <row r="482" spans="1:14" s="253" customFormat="1" ht="33">
      <c r="A482" s="254">
        <v>476</v>
      </c>
      <c r="B482" s="276"/>
      <c r="C482" s="308">
        <v>105</v>
      </c>
      <c r="D482" s="309" t="s">
        <v>529</v>
      </c>
      <c r="E482" s="279" t="s">
        <v>781</v>
      </c>
      <c r="F482" s="265">
        <v>2010</v>
      </c>
      <c r="G482" s="265">
        <v>3000</v>
      </c>
      <c r="H482" s="266">
        <v>2526</v>
      </c>
      <c r="I482" s="267"/>
      <c r="J482" s="279"/>
      <c r="K482" s="279"/>
      <c r="L482" s="279"/>
      <c r="M482" s="279"/>
      <c r="N482" s="280"/>
    </row>
    <row r="483" spans="1:14" ht="16.5">
      <c r="A483" s="242">
        <v>477</v>
      </c>
      <c r="B483" s="276"/>
      <c r="C483" s="277"/>
      <c r="D483" s="281" t="s">
        <v>580</v>
      </c>
      <c r="E483" s="282"/>
      <c r="F483" s="262"/>
      <c r="G483" s="262"/>
      <c r="H483" s="263"/>
      <c r="I483" s="264">
        <f>SUM(J483:N483)</f>
        <v>3000</v>
      </c>
      <c r="J483" s="216"/>
      <c r="K483" s="216"/>
      <c r="L483" s="216"/>
      <c r="M483" s="216"/>
      <c r="N483" s="217">
        <v>3000</v>
      </c>
    </row>
    <row r="484" spans="1:14" ht="16.5">
      <c r="A484" s="242">
        <v>478</v>
      </c>
      <c r="B484" s="276"/>
      <c r="C484" s="277"/>
      <c r="D484" s="278" t="s">
        <v>581</v>
      </c>
      <c r="E484" s="279"/>
      <c r="F484" s="265"/>
      <c r="G484" s="265"/>
      <c r="H484" s="266"/>
      <c r="I484" s="267">
        <f>SUM(J484:N484)</f>
        <v>3000</v>
      </c>
      <c r="J484" s="68"/>
      <c r="K484" s="68"/>
      <c r="L484" s="68"/>
      <c r="M484" s="68"/>
      <c r="N484" s="69">
        <v>3000</v>
      </c>
    </row>
    <row r="485" spans="1:14" ht="17.25">
      <c r="A485" s="242">
        <v>479</v>
      </c>
      <c r="B485" s="268"/>
      <c r="C485" s="269"/>
      <c r="D485" s="270" t="s">
        <v>579</v>
      </c>
      <c r="E485" s="271"/>
      <c r="F485" s="272"/>
      <c r="G485" s="272"/>
      <c r="H485" s="273"/>
      <c r="I485" s="274">
        <f>SUM(J485:N485)</f>
        <v>3000</v>
      </c>
      <c r="J485" s="272"/>
      <c r="K485" s="272"/>
      <c r="L485" s="272"/>
      <c r="M485" s="272"/>
      <c r="N485" s="275">
        <v>3000</v>
      </c>
    </row>
    <row r="486" spans="1:14" s="253" customFormat="1" ht="16.5">
      <c r="A486" s="242">
        <v>480</v>
      </c>
      <c r="B486" s="276"/>
      <c r="C486" s="277">
        <v>106</v>
      </c>
      <c r="D486" s="278" t="s">
        <v>591</v>
      </c>
      <c r="E486" s="279" t="s">
        <v>815</v>
      </c>
      <c r="F486" s="265"/>
      <c r="G486" s="265"/>
      <c r="H486" s="266">
        <v>5398</v>
      </c>
      <c r="I486" s="267"/>
      <c r="J486" s="279"/>
      <c r="K486" s="279"/>
      <c r="L486" s="279"/>
      <c r="M486" s="279"/>
      <c r="N486" s="280"/>
    </row>
    <row r="487" spans="1:14" ht="16.5">
      <c r="A487" s="242">
        <v>481</v>
      </c>
      <c r="B487" s="276"/>
      <c r="C487" s="277"/>
      <c r="D487" s="278" t="s">
        <v>581</v>
      </c>
      <c r="E487" s="279"/>
      <c r="F487" s="265"/>
      <c r="G487" s="265"/>
      <c r="H487" s="266"/>
      <c r="I487" s="267">
        <f>SUM(J487:N487)</f>
        <v>3500</v>
      </c>
      <c r="J487" s="68"/>
      <c r="K487" s="68"/>
      <c r="L487" s="68">
        <v>3500</v>
      </c>
      <c r="M487" s="68"/>
      <c r="N487" s="69"/>
    </row>
    <row r="488" spans="1:14" ht="17.25">
      <c r="A488" s="242">
        <v>482</v>
      </c>
      <c r="B488" s="268"/>
      <c r="C488" s="269"/>
      <c r="D488" s="270" t="s">
        <v>579</v>
      </c>
      <c r="E488" s="271"/>
      <c r="F488" s="272"/>
      <c r="G488" s="272"/>
      <c r="H488" s="273"/>
      <c r="I488" s="274">
        <f>SUM(J488:N488)</f>
        <v>1461</v>
      </c>
      <c r="J488" s="272"/>
      <c r="K488" s="272"/>
      <c r="L488" s="272">
        <v>1461</v>
      </c>
      <c r="M488" s="272"/>
      <c r="N488" s="275"/>
    </row>
    <row r="489" spans="1:14" s="253" customFormat="1" ht="16.5">
      <c r="A489" s="242">
        <v>483</v>
      </c>
      <c r="B489" s="276"/>
      <c r="C489" s="277">
        <v>107</v>
      </c>
      <c r="D489" s="278" t="s">
        <v>34</v>
      </c>
      <c r="E489" s="279" t="s">
        <v>781</v>
      </c>
      <c r="F489" s="265"/>
      <c r="G489" s="265"/>
      <c r="H489" s="266"/>
      <c r="I489" s="267"/>
      <c r="J489" s="279"/>
      <c r="K489" s="279"/>
      <c r="L489" s="279"/>
      <c r="M489" s="279"/>
      <c r="N489" s="280"/>
    </row>
    <row r="490" spans="1:14" ht="16.5">
      <c r="A490" s="242">
        <v>484</v>
      </c>
      <c r="B490" s="276"/>
      <c r="C490" s="277"/>
      <c r="D490" s="278" t="s">
        <v>581</v>
      </c>
      <c r="E490" s="279"/>
      <c r="F490" s="265"/>
      <c r="G490" s="265"/>
      <c r="H490" s="266"/>
      <c r="I490" s="267">
        <f>SUM(J490:N490)</f>
        <v>1000</v>
      </c>
      <c r="J490" s="68"/>
      <c r="K490" s="68"/>
      <c r="L490" s="68">
        <v>1000</v>
      </c>
      <c r="M490" s="68"/>
      <c r="N490" s="69"/>
    </row>
    <row r="491" spans="1:14" ht="17.25">
      <c r="A491" s="242">
        <v>485</v>
      </c>
      <c r="B491" s="268"/>
      <c r="C491" s="269"/>
      <c r="D491" s="270" t="s">
        <v>579</v>
      </c>
      <c r="E491" s="271"/>
      <c r="F491" s="272"/>
      <c r="G491" s="272"/>
      <c r="H491" s="273"/>
      <c r="I491" s="274">
        <f>SUM(J491:N491)</f>
        <v>1000</v>
      </c>
      <c r="J491" s="272"/>
      <c r="K491" s="272"/>
      <c r="L491" s="272">
        <v>1000</v>
      </c>
      <c r="M491" s="272"/>
      <c r="N491" s="275"/>
    </row>
    <row r="492" spans="1:14" s="253" customFormat="1" ht="49.5">
      <c r="A492" s="254">
        <v>486</v>
      </c>
      <c r="B492" s="276"/>
      <c r="C492" s="308">
        <v>108</v>
      </c>
      <c r="D492" s="309" t="s">
        <v>1238</v>
      </c>
      <c r="E492" s="279" t="s">
        <v>781</v>
      </c>
      <c r="F492" s="265"/>
      <c r="G492" s="265"/>
      <c r="H492" s="266"/>
      <c r="I492" s="267"/>
      <c r="J492" s="279"/>
      <c r="K492" s="279"/>
      <c r="L492" s="279"/>
      <c r="M492" s="279"/>
      <c r="N492" s="280"/>
    </row>
    <row r="493" spans="1:14" ht="16.5">
      <c r="A493" s="242">
        <v>487</v>
      </c>
      <c r="B493" s="276"/>
      <c r="C493" s="277"/>
      <c r="D493" s="278" t="s">
        <v>581</v>
      </c>
      <c r="E493" s="279"/>
      <c r="F493" s="265"/>
      <c r="G493" s="265"/>
      <c r="H493" s="266"/>
      <c r="I493" s="267">
        <f>SUM(J493:N493)</f>
        <v>4000</v>
      </c>
      <c r="J493" s="68"/>
      <c r="K493" s="68"/>
      <c r="L493" s="68"/>
      <c r="M493" s="68"/>
      <c r="N493" s="69">
        <v>4000</v>
      </c>
    </row>
    <row r="494" spans="1:14" ht="17.25">
      <c r="A494" s="242">
        <v>488</v>
      </c>
      <c r="B494" s="268"/>
      <c r="C494" s="269"/>
      <c r="D494" s="270" t="s">
        <v>579</v>
      </c>
      <c r="E494" s="271"/>
      <c r="F494" s="272"/>
      <c r="G494" s="272"/>
      <c r="H494" s="273"/>
      <c r="I494" s="274">
        <f>SUM(J494:N494)</f>
        <v>4000</v>
      </c>
      <c r="J494" s="272"/>
      <c r="K494" s="272"/>
      <c r="L494" s="272"/>
      <c r="M494" s="272"/>
      <c r="N494" s="275">
        <v>4000</v>
      </c>
    </row>
    <row r="495" spans="1:14" s="253" customFormat="1" ht="21.75" customHeight="1">
      <c r="A495" s="242">
        <v>489</v>
      </c>
      <c r="B495" s="276"/>
      <c r="C495" s="277">
        <v>109</v>
      </c>
      <c r="D495" s="278" t="s">
        <v>403</v>
      </c>
      <c r="E495" s="279" t="s">
        <v>815</v>
      </c>
      <c r="F495" s="265">
        <f>SUM(F499:F515)</f>
        <v>3250</v>
      </c>
      <c r="G495" s="265">
        <f>SUM(G499:G515)</f>
        <v>3250</v>
      </c>
      <c r="H495" s="266">
        <f>SUM(H499:H515)</f>
        <v>3250</v>
      </c>
      <c r="I495" s="267"/>
      <c r="J495" s="279"/>
      <c r="K495" s="279"/>
      <c r="L495" s="279"/>
      <c r="M495" s="279"/>
      <c r="N495" s="280"/>
    </row>
    <row r="496" spans="1:14" ht="16.5">
      <c r="A496" s="242">
        <v>490</v>
      </c>
      <c r="B496" s="276"/>
      <c r="C496" s="277"/>
      <c r="D496" s="281" t="s">
        <v>580</v>
      </c>
      <c r="E496" s="282"/>
      <c r="F496" s="262"/>
      <c r="G496" s="262"/>
      <c r="H496" s="263"/>
      <c r="I496" s="264">
        <f>SUM(J496:N496)</f>
        <v>3250</v>
      </c>
      <c r="J496" s="262">
        <f aca="true" t="shared" si="9" ref="J496:N497">SUM(J500,J504,J508,J512,J516)</f>
        <v>0</v>
      </c>
      <c r="K496" s="262">
        <f t="shared" si="9"/>
        <v>0</v>
      </c>
      <c r="L496" s="262">
        <f t="shared" si="9"/>
        <v>0</v>
      </c>
      <c r="M496" s="262">
        <f t="shared" si="9"/>
        <v>0</v>
      </c>
      <c r="N496" s="283">
        <f t="shared" si="9"/>
        <v>3250</v>
      </c>
    </row>
    <row r="497" spans="1:14" ht="16.5">
      <c r="A497" s="242">
        <v>491</v>
      </c>
      <c r="B497" s="276"/>
      <c r="C497" s="277"/>
      <c r="D497" s="278" t="s">
        <v>581</v>
      </c>
      <c r="E497" s="279"/>
      <c r="F497" s="265"/>
      <c r="G497" s="265"/>
      <c r="H497" s="266"/>
      <c r="I497" s="267">
        <f>SUM(J497:N497)</f>
        <v>3250</v>
      </c>
      <c r="J497" s="265">
        <f t="shared" si="9"/>
        <v>0</v>
      </c>
      <c r="K497" s="265">
        <f t="shared" si="9"/>
        <v>0</v>
      </c>
      <c r="L497" s="265">
        <f t="shared" si="9"/>
        <v>0</v>
      </c>
      <c r="M497" s="265">
        <f t="shared" si="9"/>
        <v>0</v>
      </c>
      <c r="N497" s="284">
        <f t="shared" si="9"/>
        <v>3250</v>
      </c>
    </row>
    <row r="498" spans="1:14" ht="17.25">
      <c r="A498" s="242">
        <v>492</v>
      </c>
      <c r="B498" s="268"/>
      <c r="C498" s="269"/>
      <c r="D498" s="270" t="s">
        <v>579</v>
      </c>
      <c r="E498" s="271"/>
      <c r="F498" s="272"/>
      <c r="G498" s="272"/>
      <c r="H498" s="273"/>
      <c r="I498" s="274">
        <f>SUM(J498:N498)</f>
        <v>3250</v>
      </c>
      <c r="J498" s="272">
        <f>SUM(J518,J514,J510,J506,J502)</f>
        <v>0</v>
      </c>
      <c r="K498" s="272">
        <f>SUM(K518,K514,K510,K506,K502)</f>
        <v>0</v>
      </c>
      <c r="L498" s="272">
        <f>SUM(L518,L514,L510,L506,L502)</f>
        <v>0</v>
      </c>
      <c r="M498" s="272">
        <f>SUM(M518,M514,M510,M506,M502)</f>
        <v>0</v>
      </c>
      <c r="N498" s="275">
        <f>SUM(N518,N514,N510,N506,N502)</f>
        <v>3250</v>
      </c>
    </row>
    <row r="499" spans="1:14" ht="17.25">
      <c r="A499" s="242">
        <v>493</v>
      </c>
      <c r="B499" s="310"/>
      <c r="C499" s="277"/>
      <c r="D499" s="311" t="s">
        <v>537</v>
      </c>
      <c r="E499" s="286"/>
      <c r="F499" s="287">
        <v>650</v>
      </c>
      <c r="G499" s="287">
        <v>650</v>
      </c>
      <c r="H499" s="288">
        <v>650</v>
      </c>
      <c r="I499" s="289"/>
      <c r="J499" s="218"/>
      <c r="K499" s="218"/>
      <c r="L499" s="218"/>
      <c r="M499" s="218"/>
      <c r="N499" s="219"/>
    </row>
    <row r="500" spans="1:14" ht="17.25">
      <c r="A500" s="242">
        <v>494</v>
      </c>
      <c r="B500" s="276"/>
      <c r="C500" s="277"/>
      <c r="D500" s="312" t="s">
        <v>580</v>
      </c>
      <c r="E500" s="291"/>
      <c r="F500" s="292"/>
      <c r="G500" s="292"/>
      <c r="H500" s="293"/>
      <c r="I500" s="294">
        <f>SUM(J500:N500)</f>
        <v>650</v>
      </c>
      <c r="J500" s="220"/>
      <c r="K500" s="220"/>
      <c r="L500" s="220"/>
      <c r="M500" s="220"/>
      <c r="N500" s="221">
        <v>650</v>
      </c>
    </row>
    <row r="501" spans="1:14" ht="17.25">
      <c r="A501" s="242">
        <v>495</v>
      </c>
      <c r="B501" s="276"/>
      <c r="C501" s="277"/>
      <c r="D501" s="313" t="s">
        <v>581</v>
      </c>
      <c r="E501" s="286"/>
      <c r="F501" s="287"/>
      <c r="G501" s="287"/>
      <c r="H501" s="288"/>
      <c r="I501" s="289">
        <f>SUM(J501:N501)</f>
        <v>650</v>
      </c>
      <c r="J501" s="218"/>
      <c r="K501" s="218"/>
      <c r="L501" s="218"/>
      <c r="M501" s="218"/>
      <c r="N501" s="219">
        <v>650</v>
      </c>
    </row>
    <row r="502" spans="1:14" ht="17.25">
      <c r="A502" s="242">
        <v>496</v>
      </c>
      <c r="B502" s="268"/>
      <c r="C502" s="269"/>
      <c r="D502" s="314" t="s">
        <v>579</v>
      </c>
      <c r="E502" s="297"/>
      <c r="F502" s="298"/>
      <c r="G502" s="298"/>
      <c r="H502" s="299"/>
      <c r="I502" s="300">
        <f>SUM(J502:N502)</f>
        <v>650</v>
      </c>
      <c r="J502" s="298"/>
      <c r="K502" s="298"/>
      <c r="L502" s="298"/>
      <c r="M502" s="298"/>
      <c r="N502" s="301">
        <v>650</v>
      </c>
    </row>
    <row r="503" spans="1:14" ht="17.25">
      <c r="A503" s="242">
        <v>497</v>
      </c>
      <c r="B503" s="310"/>
      <c r="C503" s="277"/>
      <c r="D503" s="311" t="s">
        <v>404</v>
      </c>
      <c r="E503" s="286"/>
      <c r="F503" s="287">
        <v>650</v>
      </c>
      <c r="G503" s="287">
        <v>650</v>
      </c>
      <c r="H503" s="288">
        <v>650</v>
      </c>
      <c r="I503" s="289"/>
      <c r="J503" s="218"/>
      <c r="K503" s="218"/>
      <c r="L503" s="218"/>
      <c r="M503" s="218"/>
      <c r="N503" s="219"/>
    </row>
    <row r="504" spans="1:14" ht="17.25">
      <c r="A504" s="242">
        <v>498</v>
      </c>
      <c r="B504" s="276"/>
      <c r="C504" s="277"/>
      <c r="D504" s="312" t="s">
        <v>580</v>
      </c>
      <c r="E504" s="291"/>
      <c r="F504" s="292"/>
      <c r="G504" s="292"/>
      <c r="H504" s="293"/>
      <c r="I504" s="294">
        <f>SUM(J504:N504)</f>
        <v>650</v>
      </c>
      <c r="J504" s="220"/>
      <c r="K504" s="220"/>
      <c r="L504" s="220"/>
      <c r="M504" s="220"/>
      <c r="N504" s="221">
        <v>650</v>
      </c>
    </row>
    <row r="505" spans="1:14" ht="17.25">
      <c r="A505" s="242">
        <v>499</v>
      </c>
      <c r="B505" s="276"/>
      <c r="C505" s="277"/>
      <c r="D505" s="313" t="s">
        <v>581</v>
      </c>
      <c r="E505" s="286"/>
      <c r="F505" s="287"/>
      <c r="G505" s="287"/>
      <c r="H505" s="288"/>
      <c r="I505" s="289">
        <f>SUM(J505:N505)</f>
        <v>650</v>
      </c>
      <c r="J505" s="218"/>
      <c r="K505" s="218"/>
      <c r="L505" s="218"/>
      <c r="M505" s="218"/>
      <c r="N505" s="219">
        <v>650</v>
      </c>
    </row>
    <row r="506" spans="1:14" ht="17.25">
      <c r="A506" s="242">
        <v>500</v>
      </c>
      <c r="B506" s="268"/>
      <c r="C506" s="269"/>
      <c r="D506" s="314" t="s">
        <v>579</v>
      </c>
      <c r="E506" s="297"/>
      <c r="F506" s="298"/>
      <c r="G506" s="298"/>
      <c r="H506" s="299"/>
      <c r="I506" s="300">
        <f>SUM(J506:N506)</f>
        <v>650</v>
      </c>
      <c r="J506" s="298"/>
      <c r="K506" s="298"/>
      <c r="L506" s="298"/>
      <c r="M506" s="298"/>
      <c r="N506" s="301">
        <v>650</v>
      </c>
    </row>
    <row r="507" spans="1:14" ht="17.25">
      <c r="A507" s="242">
        <v>501</v>
      </c>
      <c r="B507" s="310"/>
      <c r="C507" s="277"/>
      <c r="D507" s="311" t="s">
        <v>405</v>
      </c>
      <c r="E507" s="286"/>
      <c r="F507" s="287">
        <v>650</v>
      </c>
      <c r="G507" s="287">
        <v>650</v>
      </c>
      <c r="H507" s="288">
        <v>650</v>
      </c>
      <c r="I507" s="289"/>
      <c r="J507" s="218"/>
      <c r="K507" s="218"/>
      <c r="L507" s="218"/>
      <c r="M507" s="218"/>
      <c r="N507" s="219"/>
    </row>
    <row r="508" spans="1:14" ht="17.25">
      <c r="A508" s="242">
        <v>502</v>
      </c>
      <c r="B508" s="276"/>
      <c r="C508" s="277"/>
      <c r="D508" s="312" t="s">
        <v>580</v>
      </c>
      <c r="E508" s="291"/>
      <c r="F508" s="292"/>
      <c r="G508" s="292"/>
      <c r="H508" s="293"/>
      <c r="I508" s="294">
        <f>SUM(J508:N508)</f>
        <v>650</v>
      </c>
      <c r="J508" s="220"/>
      <c r="K508" s="220"/>
      <c r="L508" s="220"/>
      <c r="M508" s="220"/>
      <c r="N508" s="221">
        <v>650</v>
      </c>
    </row>
    <row r="509" spans="1:14" ht="17.25">
      <c r="A509" s="242">
        <v>503</v>
      </c>
      <c r="B509" s="276"/>
      <c r="C509" s="277"/>
      <c r="D509" s="313" t="s">
        <v>581</v>
      </c>
      <c r="E509" s="286"/>
      <c r="F509" s="287"/>
      <c r="G509" s="287"/>
      <c r="H509" s="288"/>
      <c r="I509" s="289">
        <f>SUM(J509:N509)</f>
        <v>650</v>
      </c>
      <c r="J509" s="218"/>
      <c r="K509" s="218"/>
      <c r="L509" s="218"/>
      <c r="M509" s="218"/>
      <c r="N509" s="219">
        <v>650</v>
      </c>
    </row>
    <row r="510" spans="1:15" ht="17.25">
      <c r="A510" s="242">
        <v>504</v>
      </c>
      <c r="B510" s="268"/>
      <c r="C510" s="269"/>
      <c r="D510" s="314" t="s">
        <v>579</v>
      </c>
      <c r="E510" s="297"/>
      <c r="F510" s="298"/>
      <c r="G510" s="298"/>
      <c r="H510" s="299"/>
      <c r="I510" s="300">
        <f>SUM(J510:N510)</f>
        <v>650</v>
      </c>
      <c r="J510" s="298"/>
      <c r="K510" s="298"/>
      <c r="L510" s="298"/>
      <c r="M510" s="298"/>
      <c r="N510" s="301">
        <v>650</v>
      </c>
      <c r="O510" s="247">
        <f>SUM(L488,L481,L477,L473,L469,L465)</f>
        <v>86439</v>
      </c>
    </row>
    <row r="511" spans="1:14" ht="17.25">
      <c r="A511" s="242">
        <v>505</v>
      </c>
      <c r="B511" s="310"/>
      <c r="C511" s="277"/>
      <c r="D511" s="311" t="s">
        <v>406</v>
      </c>
      <c r="E511" s="286"/>
      <c r="F511" s="287">
        <v>650</v>
      </c>
      <c r="G511" s="287">
        <v>650</v>
      </c>
      <c r="H511" s="288">
        <v>650</v>
      </c>
      <c r="I511" s="289"/>
      <c r="J511" s="218"/>
      <c r="K511" s="218"/>
      <c r="L511" s="218"/>
      <c r="M511" s="218"/>
      <c r="N511" s="219"/>
    </row>
    <row r="512" spans="1:14" ht="17.25">
      <c r="A512" s="242">
        <v>506</v>
      </c>
      <c r="B512" s="276"/>
      <c r="C512" s="277"/>
      <c r="D512" s="312" t="s">
        <v>580</v>
      </c>
      <c r="E512" s="291"/>
      <c r="F512" s="292"/>
      <c r="G512" s="292"/>
      <c r="H512" s="293"/>
      <c r="I512" s="294">
        <f>SUM(J512:N512)</f>
        <v>650</v>
      </c>
      <c r="J512" s="220"/>
      <c r="K512" s="220"/>
      <c r="L512" s="220"/>
      <c r="M512" s="220"/>
      <c r="N512" s="221">
        <v>650</v>
      </c>
    </row>
    <row r="513" spans="1:14" ht="17.25">
      <c r="A513" s="242">
        <v>507</v>
      </c>
      <c r="B513" s="276"/>
      <c r="C513" s="277"/>
      <c r="D513" s="313" t="s">
        <v>581</v>
      </c>
      <c r="E513" s="286"/>
      <c r="F513" s="287"/>
      <c r="G513" s="287"/>
      <c r="H513" s="288"/>
      <c r="I513" s="289">
        <f>SUM(J513:N513)</f>
        <v>650</v>
      </c>
      <c r="J513" s="218"/>
      <c r="K513" s="218"/>
      <c r="L513" s="218"/>
      <c r="M513" s="218"/>
      <c r="N513" s="219">
        <v>650</v>
      </c>
    </row>
    <row r="514" spans="1:14" ht="17.25">
      <c r="A514" s="242">
        <v>508</v>
      </c>
      <c r="B514" s="268"/>
      <c r="C514" s="269"/>
      <c r="D514" s="314" t="s">
        <v>579</v>
      </c>
      <c r="E514" s="297"/>
      <c r="F514" s="298"/>
      <c r="G514" s="298"/>
      <c r="H514" s="299"/>
      <c r="I514" s="300">
        <f>SUM(J514:N514)</f>
        <v>650</v>
      </c>
      <c r="J514" s="298"/>
      <c r="K514" s="298"/>
      <c r="L514" s="298"/>
      <c r="M514" s="298"/>
      <c r="N514" s="301">
        <v>650</v>
      </c>
    </row>
    <row r="515" spans="1:14" ht="17.25">
      <c r="A515" s="242">
        <v>509</v>
      </c>
      <c r="B515" s="310"/>
      <c r="C515" s="277"/>
      <c r="D515" s="311" t="s">
        <v>407</v>
      </c>
      <c r="E515" s="286"/>
      <c r="F515" s="287">
        <v>650</v>
      </c>
      <c r="G515" s="287">
        <v>650</v>
      </c>
      <c r="H515" s="288">
        <v>650</v>
      </c>
      <c r="I515" s="289"/>
      <c r="J515" s="218"/>
      <c r="K515" s="218"/>
      <c r="L515" s="218"/>
      <c r="M515" s="218"/>
      <c r="N515" s="219"/>
    </row>
    <row r="516" spans="1:14" ht="17.25">
      <c r="A516" s="242">
        <v>510</v>
      </c>
      <c r="B516" s="276"/>
      <c r="C516" s="277"/>
      <c r="D516" s="312" t="s">
        <v>580</v>
      </c>
      <c r="E516" s="291"/>
      <c r="F516" s="292"/>
      <c r="G516" s="292"/>
      <c r="H516" s="293"/>
      <c r="I516" s="294">
        <f>SUM(J516:N516)</f>
        <v>650</v>
      </c>
      <c r="J516" s="220"/>
      <c r="K516" s="220"/>
      <c r="L516" s="220"/>
      <c r="M516" s="220"/>
      <c r="N516" s="221">
        <v>650</v>
      </c>
    </row>
    <row r="517" spans="1:14" ht="17.25">
      <c r="A517" s="242">
        <v>511</v>
      </c>
      <c r="B517" s="276"/>
      <c r="C517" s="277"/>
      <c r="D517" s="313" t="s">
        <v>581</v>
      </c>
      <c r="E517" s="286"/>
      <c r="F517" s="287"/>
      <c r="G517" s="287"/>
      <c r="H517" s="288"/>
      <c r="I517" s="289">
        <f>SUM(J517:N517)</f>
        <v>650</v>
      </c>
      <c r="J517" s="218"/>
      <c r="K517" s="218"/>
      <c r="L517" s="218"/>
      <c r="M517" s="218"/>
      <c r="N517" s="219">
        <v>650</v>
      </c>
    </row>
    <row r="518" spans="1:14" ht="17.25">
      <c r="A518" s="242">
        <v>512</v>
      </c>
      <c r="B518" s="268"/>
      <c r="C518" s="269"/>
      <c r="D518" s="314" t="s">
        <v>579</v>
      </c>
      <c r="E518" s="297"/>
      <c r="F518" s="298"/>
      <c r="G518" s="298"/>
      <c r="H518" s="299"/>
      <c r="I518" s="300">
        <f>SUM(J518:N518)</f>
        <v>650</v>
      </c>
      <c r="J518" s="298"/>
      <c r="K518" s="298"/>
      <c r="L518" s="298"/>
      <c r="M518" s="298"/>
      <c r="N518" s="301">
        <v>650</v>
      </c>
    </row>
    <row r="519" spans="1:14" s="253" customFormat="1" ht="19.5" customHeight="1">
      <c r="A519" s="242">
        <v>513</v>
      </c>
      <c r="B519" s="276"/>
      <c r="C519" s="277">
        <v>110</v>
      </c>
      <c r="D519" s="278" t="s">
        <v>1236</v>
      </c>
      <c r="E519" s="279" t="s">
        <v>781</v>
      </c>
      <c r="F519" s="265"/>
      <c r="G519" s="265"/>
      <c r="H519" s="266"/>
      <c r="I519" s="274"/>
      <c r="J519" s="279"/>
      <c r="K519" s="279"/>
      <c r="L519" s="279"/>
      <c r="M519" s="279"/>
      <c r="N519" s="280"/>
    </row>
    <row r="520" spans="1:14" ht="16.5">
      <c r="A520" s="242">
        <v>514</v>
      </c>
      <c r="B520" s="276"/>
      <c r="C520" s="277"/>
      <c r="D520" s="278" t="s">
        <v>581</v>
      </c>
      <c r="E520" s="279"/>
      <c r="F520" s="265"/>
      <c r="G520" s="265"/>
      <c r="H520" s="266"/>
      <c r="I520" s="267">
        <f>SUM(J520:N520)</f>
        <v>913</v>
      </c>
      <c r="J520" s="68">
        <v>719</v>
      </c>
      <c r="K520" s="68">
        <v>194</v>
      </c>
      <c r="L520" s="68"/>
      <c r="M520" s="68"/>
      <c r="N520" s="69"/>
    </row>
    <row r="521" spans="1:14" ht="17.25">
      <c r="A521" s="242">
        <v>515</v>
      </c>
      <c r="B521" s="268"/>
      <c r="C521" s="269"/>
      <c r="D521" s="270" t="s">
        <v>579</v>
      </c>
      <c r="E521" s="271"/>
      <c r="F521" s="272"/>
      <c r="G521" s="272"/>
      <c r="H521" s="273"/>
      <c r="I521" s="274">
        <f>SUM(J521:N521)</f>
        <v>928</v>
      </c>
      <c r="J521" s="272">
        <v>731</v>
      </c>
      <c r="K521" s="272">
        <v>197</v>
      </c>
      <c r="L521" s="272"/>
      <c r="M521" s="272"/>
      <c r="N521" s="275"/>
    </row>
    <row r="522" spans="1:14" s="253" customFormat="1" ht="19.5" customHeight="1">
      <c r="A522" s="242">
        <v>516</v>
      </c>
      <c r="B522" s="276"/>
      <c r="C522" s="277">
        <v>111</v>
      </c>
      <c r="D522" s="278" t="s">
        <v>1239</v>
      </c>
      <c r="E522" s="279" t="s">
        <v>781</v>
      </c>
      <c r="F522" s="265"/>
      <c r="G522" s="265"/>
      <c r="H522" s="266"/>
      <c r="I522" s="274"/>
      <c r="J522" s="279"/>
      <c r="K522" s="279"/>
      <c r="L522" s="279"/>
      <c r="M522" s="279"/>
      <c r="N522" s="280"/>
    </row>
    <row r="523" spans="1:14" ht="16.5">
      <c r="A523" s="242">
        <v>517</v>
      </c>
      <c r="B523" s="276"/>
      <c r="C523" s="277"/>
      <c r="D523" s="278" t="s">
        <v>581</v>
      </c>
      <c r="E523" s="279"/>
      <c r="F523" s="265"/>
      <c r="G523" s="265"/>
      <c r="H523" s="266"/>
      <c r="I523" s="267">
        <f>SUM(J523:N523)</f>
        <v>50</v>
      </c>
      <c r="J523" s="68"/>
      <c r="K523" s="68"/>
      <c r="L523" s="68"/>
      <c r="M523" s="68"/>
      <c r="N523" s="69">
        <v>50</v>
      </c>
    </row>
    <row r="524" spans="1:14" ht="17.25">
      <c r="A524" s="242">
        <v>518</v>
      </c>
      <c r="B524" s="268"/>
      <c r="C524" s="269"/>
      <c r="D524" s="270" t="s">
        <v>579</v>
      </c>
      <c r="E524" s="271"/>
      <c r="F524" s="272"/>
      <c r="G524" s="272"/>
      <c r="H524" s="273"/>
      <c r="I524" s="274">
        <f>SUM(J524:N524)</f>
        <v>50</v>
      </c>
      <c r="J524" s="272"/>
      <c r="K524" s="272"/>
      <c r="L524" s="272"/>
      <c r="M524" s="272"/>
      <c r="N524" s="275">
        <v>50</v>
      </c>
    </row>
    <row r="525" spans="1:14" s="253" customFormat="1" ht="19.5" customHeight="1">
      <c r="A525" s="242">
        <v>519</v>
      </c>
      <c r="B525" s="276"/>
      <c r="C525" s="277">
        <v>112</v>
      </c>
      <c r="D525" s="278" t="s">
        <v>1240</v>
      </c>
      <c r="E525" s="279" t="s">
        <v>781</v>
      </c>
      <c r="F525" s="265"/>
      <c r="G525" s="265"/>
      <c r="H525" s="266"/>
      <c r="I525" s="274"/>
      <c r="J525" s="279"/>
      <c r="K525" s="279"/>
      <c r="L525" s="279"/>
      <c r="M525" s="279"/>
      <c r="N525" s="280"/>
    </row>
    <row r="526" spans="1:14" ht="16.5">
      <c r="A526" s="242">
        <v>520</v>
      </c>
      <c r="B526" s="276"/>
      <c r="C526" s="277"/>
      <c r="D526" s="278" t="s">
        <v>581</v>
      </c>
      <c r="E526" s="279"/>
      <c r="F526" s="265"/>
      <c r="G526" s="265"/>
      <c r="H526" s="266"/>
      <c r="I526" s="267">
        <f>SUM(J526:N526)</f>
        <v>20000</v>
      </c>
      <c r="J526" s="68"/>
      <c r="K526" s="68"/>
      <c r="L526" s="68"/>
      <c r="M526" s="68"/>
      <c r="N526" s="69">
        <v>20000</v>
      </c>
    </row>
    <row r="527" spans="1:14" ht="17.25">
      <c r="A527" s="242">
        <v>521</v>
      </c>
      <c r="B527" s="268"/>
      <c r="C527" s="269"/>
      <c r="D527" s="270" t="s">
        <v>579</v>
      </c>
      <c r="E527" s="271"/>
      <c r="F527" s="272"/>
      <c r="G527" s="272"/>
      <c r="H527" s="273"/>
      <c r="I527" s="274">
        <f>SUM(J527:N527)</f>
        <v>20000</v>
      </c>
      <c r="J527" s="272"/>
      <c r="K527" s="272"/>
      <c r="L527" s="272"/>
      <c r="M527" s="272"/>
      <c r="N527" s="275">
        <v>20000</v>
      </c>
    </row>
    <row r="528" spans="1:14" s="253" customFormat="1" ht="49.5">
      <c r="A528" s="254">
        <v>522</v>
      </c>
      <c r="B528" s="276"/>
      <c r="C528" s="308">
        <v>113</v>
      </c>
      <c r="D528" s="309" t="s">
        <v>1241</v>
      </c>
      <c r="E528" s="279" t="s">
        <v>781</v>
      </c>
      <c r="F528" s="265"/>
      <c r="G528" s="265"/>
      <c r="H528" s="266"/>
      <c r="I528" s="264"/>
      <c r="J528" s="279"/>
      <c r="K528" s="279"/>
      <c r="L528" s="279"/>
      <c r="M528" s="279"/>
      <c r="N528" s="280"/>
    </row>
    <row r="529" spans="1:14" ht="16.5">
      <c r="A529" s="242">
        <v>523</v>
      </c>
      <c r="B529" s="276"/>
      <c r="C529" s="277"/>
      <c r="D529" s="278" t="s">
        <v>581</v>
      </c>
      <c r="E529" s="279"/>
      <c r="F529" s="265"/>
      <c r="G529" s="265"/>
      <c r="H529" s="266"/>
      <c r="I529" s="267">
        <f aca="true" t="shared" si="10" ref="I529:I539">SUM(J529:N529)</f>
        <v>0</v>
      </c>
      <c r="J529" s="68"/>
      <c r="K529" s="68"/>
      <c r="L529" s="68"/>
      <c r="M529" s="68"/>
      <c r="N529" s="69"/>
    </row>
    <row r="530" spans="1:14" ht="17.25">
      <c r="A530" s="242">
        <v>524</v>
      </c>
      <c r="B530" s="268"/>
      <c r="C530" s="269"/>
      <c r="D530" s="270" t="s">
        <v>579</v>
      </c>
      <c r="E530" s="271"/>
      <c r="F530" s="272"/>
      <c r="G530" s="272"/>
      <c r="H530" s="273"/>
      <c r="I530" s="274">
        <f t="shared" si="10"/>
        <v>0</v>
      </c>
      <c r="J530" s="272"/>
      <c r="K530" s="272"/>
      <c r="L530" s="272"/>
      <c r="M530" s="272"/>
      <c r="N530" s="275"/>
    </row>
    <row r="531" spans="1:14" s="253" customFormat="1" ht="19.5" customHeight="1">
      <c r="A531" s="242">
        <v>525</v>
      </c>
      <c r="B531" s="276"/>
      <c r="C531" s="277">
        <v>114</v>
      </c>
      <c r="D531" s="278" t="s">
        <v>1242</v>
      </c>
      <c r="E531" s="279" t="s">
        <v>781</v>
      </c>
      <c r="F531" s="265"/>
      <c r="G531" s="265"/>
      <c r="H531" s="266"/>
      <c r="I531" s="274"/>
      <c r="J531" s="279"/>
      <c r="K531" s="279"/>
      <c r="L531" s="279"/>
      <c r="M531" s="279"/>
      <c r="N531" s="280"/>
    </row>
    <row r="532" spans="1:14" ht="16.5">
      <c r="A532" s="242">
        <v>526</v>
      </c>
      <c r="B532" s="276"/>
      <c r="C532" s="277"/>
      <c r="D532" s="278" t="s">
        <v>581</v>
      </c>
      <c r="E532" s="279"/>
      <c r="F532" s="265"/>
      <c r="G532" s="265"/>
      <c r="H532" s="266"/>
      <c r="I532" s="267">
        <f t="shared" si="10"/>
        <v>2000</v>
      </c>
      <c r="J532" s="68"/>
      <c r="K532" s="68"/>
      <c r="L532" s="68">
        <v>2000</v>
      </c>
      <c r="M532" s="68"/>
      <c r="N532" s="69"/>
    </row>
    <row r="533" spans="1:14" ht="17.25">
      <c r="A533" s="242">
        <v>527</v>
      </c>
      <c r="B533" s="268"/>
      <c r="C533" s="269"/>
      <c r="D533" s="270" t="s">
        <v>579</v>
      </c>
      <c r="E533" s="271"/>
      <c r="F533" s="272"/>
      <c r="G533" s="272"/>
      <c r="H533" s="273"/>
      <c r="I533" s="274">
        <f t="shared" si="10"/>
        <v>0</v>
      </c>
      <c r="J533" s="272"/>
      <c r="K533" s="272"/>
      <c r="L533" s="272"/>
      <c r="M533" s="272"/>
      <c r="N533" s="275"/>
    </row>
    <row r="534" spans="1:14" s="253" customFormat="1" ht="33">
      <c r="A534" s="254">
        <v>528</v>
      </c>
      <c r="B534" s="276"/>
      <c r="C534" s="308">
        <v>115</v>
      </c>
      <c r="D534" s="309" t="s">
        <v>1243</v>
      </c>
      <c r="E534" s="279" t="s">
        <v>781</v>
      </c>
      <c r="F534" s="265"/>
      <c r="G534" s="265"/>
      <c r="H534" s="266"/>
      <c r="I534" s="264"/>
      <c r="J534" s="279"/>
      <c r="K534" s="279"/>
      <c r="L534" s="279"/>
      <c r="M534" s="279"/>
      <c r="N534" s="280"/>
    </row>
    <row r="535" spans="1:14" ht="16.5">
      <c r="A535" s="242">
        <v>529</v>
      </c>
      <c r="B535" s="276"/>
      <c r="C535" s="277"/>
      <c r="D535" s="278" t="s">
        <v>581</v>
      </c>
      <c r="E535" s="279"/>
      <c r="F535" s="265"/>
      <c r="G535" s="265"/>
      <c r="H535" s="266"/>
      <c r="I535" s="267">
        <f t="shared" si="10"/>
        <v>31731</v>
      </c>
      <c r="J535" s="68"/>
      <c r="K535" s="68"/>
      <c r="L535" s="68">
        <v>31731</v>
      </c>
      <c r="M535" s="68"/>
      <c r="N535" s="69"/>
    </row>
    <row r="536" spans="1:14" ht="17.25">
      <c r="A536" s="242">
        <v>530</v>
      </c>
      <c r="B536" s="268"/>
      <c r="C536" s="269"/>
      <c r="D536" s="270" t="s">
        <v>579</v>
      </c>
      <c r="E536" s="271"/>
      <c r="F536" s="272"/>
      <c r="G536" s="272"/>
      <c r="H536" s="273"/>
      <c r="I536" s="274">
        <f t="shared" si="10"/>
        <v>31731</v>
      </c>
      <c r="J536" s="272"/>
      <c r="K536" s="272"/>
      <c r="L536" s="272">
        <v>31731</v>
      </c>
      <c r="M536" s="272"/>
      <c r="N536" s="275"/>
    </row>
    <row r="537" spans="1:14" s="253" customFormat="1" ht="19.5" customHeight="1">
      <c r="A537" s="242">
        <v>531</v>
      </c>
      <c r="B537" s="276"/>
      <c r="C537" s="277">
        <v>116</v>
      </c>
      <c r="D537" s="278" t="s">
        <v>1244</v>
      </c>
      <c r="E537" s="279" t="s">
        <v>781</v>
      </c>
      <c r="F537" s="265"/>
      <c r="G537" s="265"/>
      <c r="H537" s="266"/>
      <c r="I537" s="274"/>
      <c r="J537" s="279"/>
      <c r="K537" s="279"/>
      <c r="L537" s="279"/>
      <c r="M537" s="279"/>
      <c r="N537" s="280"/>
    </row>
    <row r="538" spans="1:14" ht="16.5">
      <c r="A538" s="242">
        <v>532</v>
      </c>
      <c r="B538" s="276"/>
      <c r="C538" s="277"/>
      <c r="D538" s="278" t="s">
        <v>581</v>
      </c>
      <c r="E538" s="279"/>
      <c r="F538" s="265"/>
      <c r="G538" s="265"/>
      <c r="H538" s="266"/>
      <c r="I538" s="267">
        <f t="shared" si="10"/>
        <v>1406</v>
      </c>
      <c r="J538" s="68"/>
      <c r="K538" s="68"/>
      <c r="L538" s="68">
        <v>1406</v>
      </c>
      <c r="M538" s="68"/>
      <c r="N538" s="69"/>
    </row>
    <row r="539" spans="1:14" ht="17.25">
      <c r="A539" s="242">
        <v>533</v>
      </c>
      <c r="B539" s="268"/>
      <c r="C539" s="269"/>
      <c r="D539" s="270" t="s">
        <v>579</v>
      </c>
      <c r="E539" s="271"/>
      <c r="F539" s="272"/>
      <c r="G539" s="272"/>
      <c r="H539" s="273"/>
      <c r="I539" s="274">
        <f t="shared" si="10"/>
        <v>0</v>
      </c>
      <c r="J539" s="272"/>
      <c r="K539" s="272"/>
      <c r="L539" s="272"/>
      <c r="M539" s="272"/>
      <c r="N539" s="275"/>
    </row>
    <row r="540" spans="1:14" s="253" customFormat="1" ht="33">
      <c r="A540" s="254">
        <v>534</v>
      </c>
      <c r="B540" s="276"/>
      <c r="C540" s="308">
        <v>117</v>
      </c>
      <c r="D540" s="309" t="s">
        <v>532</v>
      </c>
      <c r="E540" s="279" t="s">
        <v>781</v>
      </c>
      <c r="F540" s="265"/>
      <c r="G540" s="265">
        <v>4747</v>
      </c>
      <c r="H540" s="266">
        <v>286</v>
      </c>
      <c r="I540" s="264"/>
      <c r="J540" s="279"/>
      <c r="K540" s="279"/>
      <c r="L540" s="279"/>
      <c r="M540" s="279"/>
      <c r="N540" s="280"/>
    </row>
    <row r="541" spans="1:14" ht="16.5">
      <c r="A541" s="242">
        <v>535</v>
      </c>
      <c r="B541" s="276"/>
      <c r="C541" s="277"/>
      <c r="D541" s="281" t="s">
        <v>580</v>
      </c>
      <c r="E541" s="282"/>
      <c r="F541" s="262"/>
      <c r="G541" s="262"/>
      <c r="H541" s="263"/>
      <c r="I541" s="264">
        <f>SUM(J541:N541)</f>
        <v>1582</v>
      </c>
      <c r="J541" s="216">
        <v>1155</v>
      </c>
      <c r="K541" s="216">
        <v>427</v>
      </c>
      <c r="L541" s="216"/>
      <c r="M541" s="216"/>
      <c r="N541" s="217"/>
    </row>
    <row r="542" spans="1:14" ht="16.5">
      <c r="A542" s="242">
        <v>536</v>
      </c>
      <c r="B542" s="276"/>
      <c r="C542" s="277"/>
      <c r="D542" s="278" t="s">
        <v>581</v>
      </c>
      <c r="E542" s="279"/>
      <c r="F542" s="265"/>
      <c r="G542" s="265"/>
      <c r="H542" s="266"/>
      <c r="I542" s="267">
        <f>SUM(J542:N542)</f>
        <v>40</v>
      </c>
      <c r="J542" s="68"/>
      <c r="K542" s="68"/>
      <c r="L542" s="68">
        <v>40</v>
      </c>
      <c r="M542" s="68"/>
      <c r="N542" s="69"/>
    </row>
    <row r="543" spans="1:14" ht="17.25">
      <c r="A543" s="242">
        <v>537</v>
      </c>
      <c r="B543" s="268"/>
      <c r="C543" s="269"/>
      <c r="D543" s="270" t="s">
        <v>579</v>
      </c>
      <c r="E543" s="271"/>
      <c r="F543" s="272"/>
      <c r="G543" s="272"/>
      <c r="H543" s="273"/>
      <c r="I543" s="274">
        <f>SUM(J543:N543)</f>
        <v>41</v>
      </c>
      <c r="J543" s="272"/>
      <c r="K543" s="272"/>
      <c r="L543" s="272">
        <v>41</v>
      </c>
      <c r="M543" s="272"/>
      <c r="N543" s="275"/>
    </row>
    <row r="544" spans="1:14" s="253" customFormat="1" ht="19.5" customHeight="1">
      <c r="A544" s="242">
        <v>538</v>
      </c>
      <c r="B544" s="276"/>
      <c r="C544" s="277">
        <v>118</v>
      </c>
      <c r="D544" s="278" t="s">
        <v>24</v>
      </c>
      <c r="E544" s="279" t="s">
        <v>781</v>
      </c>
      <c r="F544" s="265"/>
      <c r="G544" s="265"/>
      <c r="H544" s="266"/>
      <c r="I544" s="274"/>
      <c r="J544" s="279"/>
      <c r="K544" s="279"/>
      <c r="L544" s="279"/>
      <c r="M544" s="279"/>
      <c r="N544" s="280"/>
    </row>
    <row r="545" spans="1:14" ht="16.5">
      <c r="A545" s="242">
        <v>539</v>
      </c>
      <c r="B545" s="276"/>
      <c r="C545" s="277"/>
      <c r="D545" s="281" t="s">
        <v>580</v>
      </c>
      <c r="E545" s="282"/>
      <c r="F545" s="262"/>
      <c r="G545" s="262"/>
      <c r="H545" s="263"/>
      <c r="I545" s="264">
        <f>SUM(J545:N545)</f>
        <v>1989</v>
      </c>
      <c r="J545" s="216">
        <v>1566</v>
      </c>
      <c r="K545" s="216">
        <v>423</v>
      </c>
      <c r="L545" s="216"/>
      <c r="M545" s="216"/>
      <c r="N545" s="217"/>
    </row>
    <row r="546" spans="1:14" ht="16.5">
      <c r="A546" s="242">
        <v>540</v>
      </c>
      <c r="B546" s="276"/>
      <c r="C546" s="277"/>
      <c r="D546" s="278" t="s">
        <v>581</v>
      </c>
      <c r="E546" s="279"/>
      <c r="F546" s="265"/>
      <c r="G546" s="265"/>
      <c r="H546" s="266"/>
      <c r="I546" s="267">
        <f>SUM(J546:N546)</f>
        <v>918</v>
      </c>
      <c r="J546" s="68"/>
      <c r="K546" s="68"/>
      <c r="L546" s="68">
        <v>918</v>
      </c>
      <c r="M546" s="68"/>
      <c r="N546" s="69"/>
    </row>
    <row r="547" spans="1:14" ht="17.25">
      <c r="A547" s="242">
        <v>541</v>
      </c>
      <c r="B547" s="268"/>
      <c r="C547" s="269"/>
      <c r="D547" s="270" t="s">
        <v>579</v>
      </c>
      <c r="E547" s="271"/>
      <c r="F547" s="272"/>
      <c r="G547" s="272"/>
      <c r="H547" s="273"/>
      <c r="I547" s="274">
        <f>SUM(J547:N547)</f>
        <v>918</v>
      </c>
      <c r="J547" s="272"/>
      <c r="K547" s="272"/>
      <c r="L547" s="272">
        <v>918</v>
      </c>
      <c r="M547" s="272"/>
      <c r="N547" s="275"/>
    </row>
    <row r="548" spans="1:14" s="253" customFormat="1" ht="19.5" customHeight="1">
      <c r="A548" s="242">
        <v>542</v>
      </c>
      <c r="B548" s="276"/>
      <c r="C548" s="277">
        <v>119</v>
      </c>
      <c r="D548" s="278" t="s">
        <v>25</v>
      </c>
      <c r="E548" s="279" t="s">
        <v>781</v>
      </c>
      <c r="F548" s="265"/>
      <c r="G548" s="265"/>
      <c r="H548" s="266"/>
      <c r="I548" s="267"/>
      <c r="J548" s="279"/>
      <c r="K548" s="279"/>
      <c r="L548" s="279"/>
      <c r="M548" s="279"/>
      <c r="N548" s="280"/>
    </row>
    <row r="549" spans="1:14" ht="16.5">
      <c r="A549" s="242">
        <v>543</v>
      </c>
      <c r="B549" s="276"/>
      <c r="C549" s="277"/>
      <c r="D549" s="281" t="s">
        <v>580</v>
      </c>
      <c r="E549" s="282"/>
      <c r="F549" s="262"/>
      <c r="G549" s="262"/>
      <c r="H549" s="263"/>
      <c r="I549" s="264">
        <f>SUM(J549:N549)</f>
        <v>3163</v>
      </c>
      <c r="J549" s="216">
        <v>2220</v>
      </c>
      <c r="K549" s="216">
        <v>600</v>
      </c>
      <c r="L549" s="216">
        <v>343</v>
      </c>
      <c r="M549" s="216"/>
      <c r="N549" s="217"/>
    </row>
    <row r="550" spans="1:14" ht="16.5">
      <c r="A550" s="242">
        <v>544</v>
      </c>
      <c r="B550" s="276"/>
      <c r="C550" s="277"/>
      <c r="D550" s="278" t="s">
        <v>581</v>
      </c>
      <c r="E550" s="279"/>
      <c r="F550" s="265"/>
      <c r="G550" s="265"/>
      <c r="H550" s="266"/>
      <c r="I550" s="267">
        <f>SUM(J550:N550)</f>
        <v>0</v>
      </c>
      <c r="J550" s="68"/>
      <c r="K550" s="68"/>
      <c r="L550" s="68"/>
      <c r="M550" s="68"/>
      <c r="N550" s="69"/>
    </row>
    <row r="551" spans="1:14" ht="17.25">
      <c r="A551" s="242">
        <v>545</v>
      </c>
      <c r="B551" s="268"/>
      <c r="C551" s="269"/>
      <c r="D551" s="270" t="s">
        <v>579</v>
      </c>
      <c r="E551" s="271"/>
      <c r="F551" s="272"/>
      <c r="G551" s="272"/>
      <c r="H551" s="273"/>
      <c r="I551" s="274">
        <f>SUM(J551:N551)</f>
        <v>0</v>
      </c>
      <c r="J551" s="272"/>
      <c r="K551" s="272"/>
      <c r="L551" s="272"/>
      <c r="M551" s="272"/>
      <c r="N551" s="275"/>
    </row>
    <row r="552" spans="1:14" s="253" customFormat="1" ht="19.5" customHeight="1">
      <c r="A552" s="242">
        <v>546</v>
      </c>
      <c r="B552" s="276"/>
      <c r="C552" s="277">
        <v>120</v>
      </c>
      <c r="D552" s="278" t="s">
        <v>26</v>
      </c>
      <c r="E552" s="279" t="s">
        <v>781</v>
      </c>
      <c r="F552" s="265"/>
      <c r="G552" s="265"/>
      <c r="H552" s="266"/>
      <c r="I552" s="267"/>
      <c r="J552" s="279"/>
      <c r="K552" s="279"/>
      <c r="L552" s="279"/>
      <c r="M552" s="279"/>
      <c r="N552" s="280"/>
    </row>
    <row r="553" spans="1:14" ht="16.5">
      <c r="A553" s="242">
        <v>547</v>
      </c>
      <c r="B553" s="276"/>
      <c r="C553" s="277"/>
      <c r="D553" s="281" t="s">
        <v>580</v>
      </c>
      <c r="E553" s="282"/>
      <c r="F553" s="262"/>
      <c r="G553" s="262"/>
      <c r="H553" s="263"/>
      <c r="I553" s="264">
        <f>SUM(J553:N553)</f>
        <v>994</v>
      </c>
      <c r="J553" s="216">
        <v>800</v>
      </c>
      <c r="K553" s="216">
        <v>194</v>
      </c>
      <c r="L553" s="216"/>
      <c r="M553" s="216"/>
      <c r="N553" s="217"/>
    </row>
    <row r="554" spans="1:14" ht="16.5">
      <c r="A554" s="242">
        <v>548</v>
      </c>
      <c r="B554" s="276"/>
      <c r="C554" s="277"/>
      <c r="D554" s="278" t="s">
        <v>581</v>
      </c>
      <c r="E554" s="279"/>
      <c r="F554" s="265"/>
      <c r="G554" s="265"/>
      <c r="H554" s="266"/>
      <c r="I554" s="267">
        <f>SUM(J554:N554)</f>
        <v>17213</v>
      </c>
      <c r="J554" s="68">
        <v>10800</v>
      </c>
      <c r="K554" s="68">
        <v>2624</v>
      </c>
      <c r="L554" s="68">
        <v>3789</v>
      </c>
      <c r="M554" s="68"/>
      <c r="N554" s="69"/>
    </row>
    <row r="555" spans="1:14" ht="17.25">
      <c r="A555" s="242">
        <v>549</v>
      </c>
      <c r="B555" s="268"/>
      <c r="C555" s="907"/>
      <c r="D555" s="270" t="s">
        <v>579</v>
      </c>
      <c r="E555" s="271"/>
      <c r="F555" s="272"/>
      <c r="G555" s="272"/>
      <c r="H555" s="273"/>
      <c r="I555" s="274">
        <f>SUM(J555:N555)</f>
        <v>10481</v>
      </c>
      <c r="J555" s="272">
        <v>6800</v>
      </c>
      <c r="K555" s="272">
        <v>1652</v>
      </c>
      <c r="L555" s="272">
        <v>2029</v>
      </c>
      <c r="M555" s="272"/>
      <c r="N555" s="275"/>
    </row>
    <row r="556" spans="1:14" s="253" customFormat="1" ht="33">
      <c r="A556" s="254">
        <v>550</v>
      </c>
      <c r="B556" s="276"/>
      <c r="C556" s="308">
        <v>121</v>
      </c>
      <c r="D556" s="309" t="s">
        <v>27</v>
      </c>
      <c r="E556" s="279" t="s">
        <v>781</v>
      </c>
      <c r="F556" s="265"/>
      <c r="G556" s="265"/>
      <c r="H556" s="266"/>
      <c r="I556" s="267"/>
      <c r="J556" s="279"/>
      <c r="K556" s="279"/>
      <c r="L556" s="279"/>
      <c r="M556" s="279"/>
      <c r="N556" s="280"/>
    </row>
    <row r="557" spans="1:14" ht="16.5">
      <c r="A557" s="242">
        <v>551</v>
      </c>
      <c r="B557" s="276"/>
      <c r="C557" s="308"/>
      <c r="D557" s="281" t="s">
        <v>580</v>
      </c>
      <c r="E557" s="282"/>
      <c r="F557" s="262"/>
      <c r="G557" s="262"/>
      <c r="H557" s="263"/>
      <c r="I557" s="264">
        <f>SUM(J557:N557)</f>
        <v>16225</v>
      </c>
      <c r="J557" s="216">
        <v>1572</v>
      </c>
      <c r="K557" s="216">
        <v>425</v>
      </c>
      <c r="L557" s="216">
        <v>14228</v>
      </c>
      <c r="M557" s="216"/>
      <c r="N557" s="217"/>
    </row>
    <row r="558" spans="1:14" ht="16.5">
      <c r="A558" s="242">
        <v>552</v>
      </c>
      <c r="B558" s="276"/>
      <c r="C558" s="308"/>
      <c r="D558" s="278" t="s">
        <v>581</v>
      </c>
      <c r="E558" s="279"/>
      <c r="F558" s="265"/>
      <c r="G558" s="265"/>
      <c r="H558" s="266"/>
      <c r="I558" s="267">
        <f>SUM(J558:N558)</f>
        <v>16968</v>
      </c>
      <c r="J558" s="68">
        <v>0</v>
      </c>
      <c r="K558" s="68">
        <v>0</v>
      </c>
      <c r="L558" s="68">
        <v>16968</v>
      </c>
      <c r="M558" s="68"/>
      <c r="N558" s="69"/>
    </row>
    <row r="559" spans="1:14" ht="17.25">
      <c r="A559" s="242">
        <v>553</v>
      </c>
      <c r="B559" s="268"/>
      <c r="C559" s="907"/>
      <c r="D559" s="270" t="s">
        <v>579</v>
      </c>
      <c r="E559" s="271"/>
      <c r="F559" s="272"/>
      <c r="G559" s="272"/>
      <c r="H559" s="273"/>
      <c r="I559" s="274">
        <f>SUM(J559:N559)</f>
        <v>16968</v>
      </c>
      <c r="J559" s="272"/>
      <c r="K559" s="272"/>
      <c r="L559" s="272">
        <v>16968</v>
      </c>
      <c r="M559" s="272"/>
      <c r="N559" s="275"/>
    </row>
    <row r="560" spans="1:14" ht="45">
      <c r="A560" s="254">
        <v>554</v>
      </c>
      <c r="B560" s="307"/>
      <c r="C560" s="308">
        <v>122</v>
      </c>
      <c r="D560" s="908" t="s">
        <v>47</v>
      </c>
      <c r="E560" s="279" t="s">
        <v>781</v>
      </c>
      <c r="F560" s="265">
        <v>6133</v>
      </c>
      <c r="G560" s="265">
        <v>56542</v>
      </c>
      <c r="H560" s="266">
        <v>124341</v>
      </c>
      <c r="I560" s="267"/>
      <c r="J560" s="279"/>
      <c r="K560" s="279"/>
      <c r="L560" s="279"/>
      <c r="M560" s="279"/>
      <c r="N560" s="280"/>
    </row>
    <row r="561" spans="1:14" ht="16.5">
      <c r="A561" s="242">
        <v>555</v>
      </c>
      <c r="B561" s="276"/>
      <c r="C561" s="308"/>
      <c r="D561" s="278" t="s">
        <v>581</v>
      </c>
      <c r="E561" s="279"/>
      <c r="F561" s="265"/>
      <c r="G561" s="265"/>
      <c r="H561" s="266"/>
      <c r="I561" s="267">
        <f>SUM(J561:N561)</f>
        <v>55256</v>
      </c>
      <c r="J561" s="68"/>
      <c r="K561" s="68"/>
      <c r="L561" s="68">
        <v>55256</v>
      </c>
      <c r="M561" s="68"/>
      <c r="N561" s="69"/>
    </row>
    <row r="562" spans="1:14" ht="17.25">
      <c r="A562" s="242">
        <v>556</v>
      </c>
      <c r="B562" s="268"/>
      <c r="C562" s="907"/>
      <c r="D562" s="270" t="s">
        <v>579</v>
      </c>
      <c r="E562" s="271"/>
      <c r="F562" s="272"/>
      <c r="G562" s="272"/>
      <c r="H562" s="273"/>
      <c r="I562" s="274">
        <f>SUM(J562:N562)</f>
        <v>55206</v>
      </c>
      <c r="J562" s="272"/>
      <c r="K562" s="272"/>
      <c r="L562" s="272">
        <v>55206</v>
      </c>
      <c r="M562" s="272"/>
      <c r="N562" s="275"/>
    </row>
    <row r="563" spans="1:14" ht="49.5">
      <c r="A563" s="254">
        <v>557</v>
      </c>
      <c r="B563" s="307"/>
      <c r="C563" s="308">
        <v>123</v>
      </c>
      <c r="D563" s="309" t="s">
        <v>534</v>
      </c>
      <c r="E563" s="279" t="s">
        <v>781</v>
      </c>
      <c r="F563" s="265">
        <v>429</v>
      </c>
      <c r="G563" s="265">
        <v>4627</v>
      </c>
      <c r="H563" s="266">
        <v>8259</v>
      </c>
      <c r="I563" s="267"/>
      <c r="J563" s="279"/>
      <c r="K563" s="279"/>
      <c r="L563" s="279"/>
      <c r="M563" s="279"/>
      <c r="N563" s="280"/>
    </row>
    <row r="564" spans="1:14" ht="16.5">
      <c r="A564" s="242">
        <v>558</v>
      </c>
      <c r="B564" s="276"/>
      <c r="C564" s="308"/>
      <c r="D564" s="278" t="s">
        <v>581</v>
      </c>
      <c r="E564" s="279"/>
      <c r="F564" s="265"/>
      <c r="G564" s="265"/>
      <c r="H564" s="266"/>
      <c r="I564" s="267">
        <f>SUM(J564:N564)</f>
        <v>1413</v>
      </c>
      <c r="J564" s="68">
        <v>6</v>
      </c>
      <c r="K564" s="68"/>
      <c r="L564" s="68">
        <v>1407</v>
      </c>
      <c r="M564" s="68"/>
      <c r="N564" s="69"/>
    </row>
    <row r="565" spans="1:14" ht="17.25">
      <c r="A565" s="242">
        <v>559</v>
      </c>
      <c r="B565" s="268"/>
      <c r="C565" s="907"/>
      <c r="D565" s="270" t="s">
        <v>579</v>
      </c>
      <c r="E565" s="271"/>
      <c r="F565" s="272"/>
      <c r="G565" s="272"/>
      <c r="H565" s="273"/>
      <c r="I565" s="274">
        <f>SUM(J565:N565)</f>
        <v>1324</v>
      </c>
      <c r="J565" s="272">
        <v>6</v>
      </c>
      <c r="K565" s="272"/>
      <c r="L565" s="272">
        <v>1318</v>
      </c>
      <c r="M565" s="272"/>
      <c r="N565" s="275"/>
    </row>
    <row r="566" spans="1:14" ht="33">
      <c r="A566" s="254">
        <v>560</v>
      </c>
      <c r="B566" s="307"/>
      <c r="C566" s="308">
        <v>124</v>
      </c>
      <c r="D566" s="309" t="s">
        <v>692</v>
      </c>
      <c r="E566" s="279" t="s">
        <v>781</v>
      </c>
      <c r="F566" s="265"/>
      <c r="G566" s="265">
        <v>6949</v>
      </c>
      <c r="H566" s="266">
        <v>4321</v>
      </c>
      <c r="I566" s="267"/>
      <c r="J566" s="279"/>
      <c r="K566" s="279"/>
      <c r="L566" s="279"/>
      <c r="M566" s="279"/>
      <c r="N566" s="280"/>
    </row>
    <row r="567" spans="1:14" ht="16.5">
      <c r="A567" s="242">
        <v>561</v>
      </c>
      <c r="B567" s="276"/>
      <c r="C567" s="308"/>
      <c r="D567" s="278" t="s">
        <v>581</v>
      </c>
      <c r="E567" s="279"/>
      <c r="F567" s="265"/>
      <c r="G567" s="265"/>
      <c r="H567" s="266"/>
      <c r="I567" s="267">
        <f>SUM(J567:N567)</f>
        <v>5071</v>
      </c>
      <c r="J567" s="68">
        <v>3993</v>
      </c>
      <c r="K567" s="68">
        <v>1078</v>
      </c>
      <c r="L567" s="68"/>
      <c r="M567" s="68"/>
      <c r="N567" s="69"/>
    </row>
    <row r="568" spans="1:14" ht="17.25">
      <c r="A568" s="242">
        <v>562</v>
      </c>
      <c r="B568" s="268"/>
      <c r="C568" s="907"/>
      <c r="D568" s="270" t="s">
        <v>579</v>
      </c>
      <c r="E568" s="271"/>
      <c r="F568" s="272"/>
      <c r="G568" s="272"/>
      <c r="H568" s="273"/>
      <c r="I568" s="274">
        <f>SUM(J568:N568)</f>
        <v>17468</v>
      </c>
      <c r="J568" s="272">
        <v>3325</v>
      </c>
      <c r="K568" s="272">
        <v>808</v>
      </c>
      <c r="L568" s="272">
        <v>6</v>
      </c>
      <c r="M568" s="272"/>
      <c r="N568" s="275">
        <v>13329</v>
      </c>
    </row>
    <row r="569" spans="1:14" ht="33">
      <c r="A569" s="254">
        <v>563</v>
      </c>
      <c r="B569" s="307"/>
      <c r="C569" s="308">
        <v>125</v>
      </c>
      <c r="D569" s="309" t="s">
        <v>33</v>
      </c>
      <c r="E569" s="279" t="s">
        <v>781</v>
      </c>
      <c r="F569" s="265"/>
      <c r="G569" s="265"/>
      <c r="H569" s="266"/>
      <c r="I569" s="267"/>
      <c r="J569" s="279"/>
      <c r="K569" s="279"/>
      <c r="L569" s="279"/>
      <c r="M569" s="279"/>
      <c r="N569" s="280"/>
    </row>
    <row r="570" spans="1:14" ht="16.5">
      <c r="A570" s="242">
        <v>564</v>
      </c>
      <c r="B570" s="276"/>
      <c r="C570" s="308"/>
      <c r="D570" s="278" t="s">
        <v>581</v>
      </c>
      <c r="E570" s="279"/>
      <c r="F570" s="265"/>
      <c r="G570" s="265"/>
      <c r="H570" s="266"/>
      <c r="I570" s="267">
        <f>SUM(J570:N570)</f>
        <v>1000</v>
      </c>
      <c r="J570" s="68"/>
      <c r="K570" s="68"/>
      <c r="L570" s="68">
        <v>1000</v>
      </c>
      <c r="M570" s="68"/>
      <c r="N570" s="69"/>
    </row>
    <row r="571" spans="1:14" ht="17.25">
      <c r="A571" s="242">
        <v>565</v>
      </c>
      <c r="B571" s="268"/>
      <c r="C571" s="907"/>
      <c r="D571" s="270" t="s">
        <v>579</v>
      </c>
      <c r="E571" s="271"/>
      <c r="F571" s="272"/>
      <c r="G571" s="272"/>
      <c r="H571" s="273"/>
      <c r="I571" s="274">
        <f>SUM(J571:N571)</f>
        <v>172</v>
      </c>
      <c r="J571" s="272"/>
      <c r="K571" s="272"/>
      <c r="L571" s="272">
        <v>172</v>
      </c>
      <c r="M571" s="272"/>
      <c r="N571" s="275"/>
    </row>
    <row r="572" spans="1:14" ht="33.75">
      <c r="A572" s="254">
        <v>566</v>
      </c>
      <c r="B572" s="307"/>
      <c r="C572" s="308">
        <v>126</v>
      </c>
      <c r="D572" s="309" t="s">
        <v>1246</v>
      </c>
      <c r="E572" s="279" t="s">
        <v>781</v>
      </c>
      <c r="F572" s="265"/>
      <c r="G572" s="265"/>
      <c r="H572" s="266"/>
      <c r="I572" s="274"/>
      <c r="J572" s="279"/>
      <c r="K572" s="279"/>
      <c r="L572" s="279"/>
      <c r="M572" s="279"/>
      <c r="N572" s="280"/>
    </row>
    <row r="573" spans="1:14" ht="16.5">
      <c r="A573" s="242">
        <v>567</v>
      </c>
      <c r="B573" s="276"/>
      <c r="C573" s="308"/>
      <c r="D573" s="278" t="s">
        <v>581</v>
      </c>
      <c r="E573" s="279"/>
      <c r="F573" s="265"/>
      <c r="G573" s="265"/>
      <c r="H573" s="266"/>
      <c r="I573" s="267">
        <f aca="true" t="shared" si="11" ref="I573:I580">SUM(J573:N573)</f>
        <v>35148</v>
      </c>
      <c r="J573" s="68"/>
      <c r="K573" s="68"/>
      <c r="L573" s="68">
        <v>35148</v>
      </c>
      <c r="M573" s="68"/>
      <c r="N573" s="69"/>
    </row>
    <row r="574" spans="1:14" ht="17.25">
      <c r="A574" s="242">
        <v>568</v>
      </c>
      <c r="B574" s="268"/>
      <c r="C574" s="907"/>
      <c r="D574" s="270" t="s">
        <v>579</v>
      </c>
      <c r="E574" s="271"/>
      <c r="F574" s="272"/>
      <c r="G574" s="272"/>
      <c r="H574" s="273"/>
      <c r="I574" s="274">
        <f t="shared" si="11"/>
        <v>33689</v>
      </c>
      <c r="J574" s="272"/>
      <c r="K574" s="272"/>
      <c r="L574" s="272">
        <v>33689</v>
      </c>
      <c r="M574" s="272"/>
      <c r="N574" s="275"/>
    </row>
    <row r="575" spans="1:14" ht="50.25">
      <c r="A575" s="254">
        <v>569</v>
      </c>
      <c r="B575" s="307"/>
      <c r="C575" s="308">
        <v>127</v>
      </c>
      <c r="D575" s="309" t="s">
        <v>668</v>
      </c>
      <c r="E575" s="279" t="s">
        <v>781</v>
      </c>
      <c r="F575" s="265"/>
      <c r="G575" s="265"/>
      <c r="H575" s="266"/>
      <c r="I575" s="274"/>
      <c r="J575" s="279"/>
      <c r="K575" s="279"/>
      <c r="L575" s="279"/>
      <c r="M575" s="279"/>
      <c r="N575" s="280"/>
    </row>
    <row r="576" spans="1:14" ht="16.5">
      <c r="A576" s="242">
        <v>570</v>
      </c>
      <c r="B576" s="276"/>
      <c r="C576" s="308"/>
      <c r="D576" s="278" t="s">
        <v>581</v>
      </c>
      <c r="E576" s="279"/>
      <c r="F576" s="265"/>
      <c r="G576" s="265"/>
      <c r="H576" s="266"/>
      <c r="I576" s="267">
        <f t="shared" si="11"/>
        <v>10515</v>
      </c>
      <c r="J576" s="68"/>
      <c r="K576" s="68"/>
      <c r="L576" s="68">
        <v>10515</v>
      </c>
      <c r="M576" s="68"/>
      <c r="N576" s="69"/>
    </row>
    <row r="577" spans="1:14" ht="17.25">
      <c r="A577" s="242">
        <v>571</v>
      </c>
      <c r="B577" s="268"/>
      <c r="C577" s="907"/>
      <c r="D577" s="270" t="s">
        <v>579</v>
      </c>
      <c r="E577" s="271"/>
      <c r="F577" s="272"/>
      <c r="G577" s="272"/>
      <c r="H577" s="273"/>
      <c r="I577" s="274">
        <f t="shared" si="11"/>
        <v>10514</v>
      </c>
      <c r="J577" s="272"/>
      <c r="K577" s="272"/>
      <c r="L577" s="272">
        <v>10514</v>
      </c>
      <c r="M577" s="272"/>
      <c r="N577" s="275"/>
    </row>
    <row r="578" spans="1:14" ht="33.75">
      <c r="A578" s="254">
        <v>572</v>
      </c>
      <c r="B578" s="307"/>
      <c r="C578" s="308">
        <v>128</v>
      </c>
      <c r="D578" s="309" t="s">
        <v>669</v>
      </c>
      <c r="E578" s="279" t="s">
        <v>781</v>
      </c>
      <c r="F578" s="265"/>
      <c r="G578" s="265"/>
      <c r="H578" s="266"/>
      <c r="I578" s="274"/>
      <c r="J578" s="279"/>
      <c r="K578" s="279"/>
      <c r="L578" s="279"/>
      <c r="M578" s="279"/>
      <c r="N578" s="280"/>
    </row>
    <row r="579" spans="1:14" ht="16.5">
      <c r="A579" s="242">
        <v>573</v>
      </c>
      <c r="B579" s="276"/>
      <c r="C579" s="308"/>
      <c r="D579" s="278" t="s">
        <v>581</v>
      </c>
      <c r="E579" s="279"/>
      <c r="F579" s="265"/>
      <c r="G579" s="265"/>
      <c r="H579" s="266"/>
      <c r="I579" s="267">
        <f t="shared" si="11"/>
        <v>8776</v>
      </c>
      <c r="J579" s="68"/>
      <c r="K579" s="68"/>
      <c r="L579" s="68">
        <v>8776</v>
      </c>
      <c r="M579" s="68"/>
      <c r="N579" s="69"/>
    </row>
    <row r="580" spans="1:14" ht="17.25">
      <c r="A580" s="242">
        <v>574</v>
      </c>
      <c r="B580" s="268"/>
      <c r="C580" s="907"/>
      <c r="D580" s="270" t="s">
        <v>579</v>
      </c>
      <c r="E580" s="271"/>
      <c r="F580" s="272"/>
      <c r="G580" s="272"/>
      <c r="H580" s="273"/>
      <c r="I580" s="274">
        <f t="shared" si="11"/>
        <v>7423</v>
      </c>
      <c r="J580" s="272"/>
      <c r="K580" s="272"/>
      <c r="L580" s="272">
        <v>7423</v>
      </c>
      <c r="M580" s="272"/>
      <c r="N580" s="275"/>
    </row>
    <row r="581" spans="1:14" s="253" customFormat="1" ht="19.5" customHeight="1">
      <c r="A581" s="242">
        <v>575</v>
      </c>
      <c r="B581" s="276"/>
      <c r="C581" s="277">
        <v>129</v>
      </c>
      <c r="D581" s="309" t="s">
        <v>1245</v>
      </c>
      <c r="E581" s="279" t="s">
        <v>781</v>
      </c>
      <c r="F581" s="265"/>
      <c r="G581" s="265"/>
      <c r="H581" s="266">
        <v>1931</v>
      </c>
      <c r="I581" s="267"/>
      <c r="J581" s="279"/>
      <c r="K581" s="279"/>
      <c r="L581" s="279"/>
      <c r="M581" s="279"/>
      <c r="N581" s="280"/>
    </row>
    <row r="582" spans="1:14" ht="16.5">
      <c r="A582" s="242">
        <v>576</v>
      </c>
      <c r="B582" s="276"/>
      <c r="C582" s="308"/>
      <c r="D582" s="278" t="s">
        <v>581</v>
      </c>
      <c r="E582" s="279"/>
      <c r="F582" s="265"/>
      <c r="G582" s="265"/>
      <c r="H582" s="266"/>
      <c r="I582" s="267">
        <f>SUM(J582:N582)</f>
        <v>6000</v>
      </c>
      <c r="J582" s="68"/>
      <c r="K582" s="68"/>
      <c r="L582" s="68">
        <v>2905</v>
      </c>
      <c r="M582" s="68"/>
      <c r="N582" s="69">
        <v>3095</v>
      </c>
    </row>
    <row r="583" spans="1:15" ht="17.25">
      <c r="A583" s="242">
        <v>577</v>
      </c>
      <c r="B583" s="268"/>
      <c r="C583" s="907"/>
      <c r="D583" s="270" t="s">
        <v>579</v>
      </c>
      <c r="E583" s="271"/>
      <c r="F583" s="272"/>
      <c r="G583" s="272"/>
      <c r="H583" s="273"/>
      <c r="I583" s="274">
        <f>SUM(J583:N583)</f>
        <v>5928</v>
      </c>
      <c r="J583" s="272"/>
      <c r="K583" s="272"/>
      <c r="L583" s="272">
        <v>2905</v>
      </c>
      <c r="M583" s="272"/>
      <c r="N583" s="275">
        <v>3023</v>
      </c>
      <c r="O583" s="247">
        <f>SUM(L583,L571,L565,L562,L555,L547,L543)</f>
        <v>62589</v>
      </c>
    </row>
    <row r="584" spans="1:14" s="253" customFormat="1" ht="19.5" customHeight="1">
      <c r="A584" s="242">
        <v>578</v>
      </c>
      <c r="B584" s="276"/>
      <c r="C584" s="277">
        <v>130</v>
      </c>
      <c r="D584" s="309" t="s">
        <v>522</v>
      </c>
      <c r="E584" s="279" t="s">
        <v>781</v>
      </c>
      <c r="F584" s="265"/>
      <c r="G584" s="265"/>
      <c r="H584" s="266">
        <v>11383</v>
      </c>
      <c r="I584" s="267"/>
      <c r="J584" s="279"/>
      <c r="K584" s="279"/>
      <c r="L584" s="279"/>
      <c r="M584" s="279"/>
      <c r="N584" s="280"/>
    </row>
    <row r="585" spans="1:14" ht="16.5">
      <c r="A585" s="242">
        <v>579</v>
      </c>
      <c r="B585" s="276"/>
      <c r="C585" s="308"/>
      <c r="D585" s="278" t="s">
        <v>581</v>
      </c>
      <c r="E585" s="279"/>
      <c r="F585" s="265"/>
      <c r="G585" s="265"/>
      <c r="H585" s="266"/>
      <c r="I585" s="267">
        <f>SUM(J585:N585)</f>
        <v>8013</v>
      </c>
      <c r="J585" s="68"/>
      <c r="K585" s="68"/>
      <c r="L585" s="68"/>
      <c r="M585" s="68"/>
      <c r="N585" s="69">
        <v>8013</v>
      </c>
    </row>
    <row r="586" spans="1:14" ht="17.25">
      <c r="A586" s="242">
        <v>580</v>
      </c>
      <c r="B586" s="268"/>
      <c r="C586" s="907"/>
      <c r="D586" s="270" t="s">
        <v>579</v>
      </c>
      <c r="E586" s="271"/>
      <c r="F586" s="272"/>
      <c r="G586" s="272"/>
      <c r="H586" s="273"/>
      <c r="I586" s="274">
        <f>SUM(J586:N586)</f>
        <v>7913</v>
      </c>
      <c r="J586" s="272"/>
      <c r="K586" s="272"/>
      <c r="L586" s="272"/>
      <c r="M586" s="272"/>
      <c r="N586" s="275">
        <v>7913</v>
      </c>
    </row>
    <row r="587" spans="1:14" s="253" customFormat="1" ht="19.5" customHeight="1">
      <c r="A587" s="242">
        <v>581</v>
      </c>
      <c r="B587" s="276"/>
      <c r="C587" s="277">
        <v>131</v>
      </c>
      <c r="D587" s="309" t="s">
        <v>521</v>
      </c>
      <c r="E587" s="279" t="s">
        <v>781</v>
      </c>
      <c r="F587" s="265">
        <v>60</v>
      </c>
      <c r="G587" s="265"/>
      <c r="H587" s="266">
        <v>61</v>
      </c>
      <c r="I587" s="267"/>
      <c r="J587" s="279"/>
      <c r="K587" s="279"/>
      <c r="L587" s="279"/>
      <c r="M587" s="279"/>
      <c r="N587" s="280"/>
    </row>
    <row r="588" spans="1:14" ht="16.5">
      <c r="A588" s="242">
        <v>582</v>
      </c>
      <c r="B588" s="276"/>
      <c r="C588" s="308"/>
      <c r="D588" s="278" t="s">
        <v>581</v>
      </c>
      <c r="E588" s="279"/>
      <c r="F588" s="265"/>
      <c r="G588" s="265"/>
      <c r="H588" s="266"/>
      <c r="I588" s="267">
        <f>SUM(J588:N588)</f>
        <v>100</v>
      </c>
      <c r="J588" s="68">
        <v>60</v>
      </c>
      <c r="K588" s="68">
        <v>40</v>
      </c>
      <c r="L588" s="68"/>
      <c r="M588" s="68"/>
      <c r="N588" s="69"/>
    </row>
    <row r="589" spans="1:14" ht="17.25">
      <c r="A589" s="242">
        <v>583</v>
      </c>
      <c r="B589" s="268"/>
      <c r="C589" s="907"/>
      <c r="D589" s="270" t="s">
        <v>579</v>
      </c>
      <c r="E589" s="271"/>
      <c r="F589" s="272"/>
      <c r="G589" s="272"/>
      <c r="H589" s="273"/>
      <c r="I589" s="274">
        <f>SUM(J589:N589)</f>
        <v>53</v>
      </c>
      <c r="J589" s="272">
        <v>40</v>
      </c>
      <c r="K589" s="272">
        <v>13</v>
      </c>
      <c r="L589" s="272"/>
      <c r="M589" s="272"/>
      <c r="N589" s="275"/>
    </row>
    <row r="590" spans="1:14" s="253" customFormat="1" ht="36" customHeight="1">
      <c r="A590" s="254">
        <v>584</v>
      </c>
      <c r="B590" s="276"/>
      <c r="C590" s="308">
        <v>132</v>
      </c>
      <c r="D590" s="309" t="s">
        <v>706</v>
      </c>
      <c r="E590" s="279" t="s">
        <v>781</v>
      </c>
      <c r="F590" s="265"/>
      <c r="G590" s="265"/>
      <c r="H590" s="266">
        <v>24822</v>
      </c>
      <c r="I590" s="267"/>
      <c r="J590" s="279"/>
      <c r="K590" s="279"/>
      <c r="L590" s="279"/>
      <c r="M590" s="279"/>
      <c r="N590" s="280"/>
    </row>
    <row r="591" spans="1:14" ht="16.5">
      <c r="A591" s="242">
        <v>585</v>
      </c>
      <c r="B591" s="276"/>
      <c r="C591" s="308"/>
      <c r="D591" s="278" t="s">
        <v>581</v>
      </c>
      <c r="E591" s="279"/>
      <c r="F591" s="265"/>
      <c r="G591" s="265"/>
      <c r="H591" s="266"/>
      <c r="I591" s="267">
        <f>SUM(J591:N591)</f>
        <v>0</v>
      </c>
      <c r="J591" s="68"/>
      <c r="K591" s="68"/>
      <c r="L591" s="68"/>
      <c r="M591" s="68"/>
      <c r="N591" s="69"/>
    </row>
    <row r="592" spans="1:14" ht="17.25">
      <c r="A592" s="242">
        <v>586</v>
      </c>
      <c r="B592" s="315"/>
      <c r="C592" s="907"/>
      <c r="D592" s="270" t="s">
        <v>579</v>
      </c>
      <c r="E592" s="316"/>
      <c r="F592" s="317"/>
      <c r="G592" s="317"/>
      <c r="H592" s="318"/>
      <c r="I592" s="274">
        <f>SUM(J592:N592)</f>
        <v>0</v>
      </c>
      <c r="J592" s="222"/>
      <c r="K592" s="222"/>
      <c r="L592" s="222"/>
      <c r="M592" s="222"/>
      <c r="N592" s="223"/>
    </row>
    <row r="593" spans="1:14" s="253" customFormat="1" ht="49.5">
      <c r="A593" s="254">
        <v>587</v>
      </c>
      <c r="B593" s="276"/>
      <c r="C593" s="308">
        <v>133</v>
      </c>
      <c r="D593" s="309" t="s">
        <v>707</v>
      </c>
      <c r="E593" s="279" t="s">
        <v>781</v>
      </c>
      <c r="F593" s="265"/>
      <c r="G593" s="265"/>
      <c r="H593" s="266">
        <v>8580</v>
      </c>
      <c r="I593" s="267"/>
      <c r="J593" s="279"/>
      <c r="K593" s="279"/>
      <c r="L593" s="279"/>
      <c r="M593" s="279"/>
      <c r="N593" s="280"/>
    </row>
    <row r="594" spans="1:14" ht="16.5">
      <c r="A594" s="242">
        <v>588</v>
      </c>
      <c r="B594" s="276"/>
      <c r="C594" s="308"/>
      <c r="D594" s="278" t="s">
        <v>581</v>
      </c>
      <c r="E594" s="279"/>
      <c r="F594" s="265"/>
      <c r="G594" s="265"/>
      <c r="H594" s="266"/>
      <c r="I594" s="267">
        <f>SUM(J594:N594)</f>
        <v>0</v>
      </c>
      <c r="J594" s="68"/>
      <c r="K594" s="68"/>
      <c r="L594" s="68"/>
      <c r="M594" s="68"/>
      <c r="N594" s="69"/>
    </row>
    <row r="595" spans="1:14" ht="17.25">
      <c r="A595" s="242">
        <v>589</v>
      </c>
      <c r="B595" s="315"/>
      <c r="C595" s="907"/>
      <c r="D595" s="270" t="s">
        <v>579</v>
      </c>
      <c r="E595" s="316"/>
      <c r="F595" s="317"/>
      <c r="G595" s="317"/>
      <c r="H595" s="318"/>
      <c r="I595" s="274">
        <f>SUM(J595:N595)</f>
        <v>0</v>
      </c>
      <c r="J595" s="222"/>
      <c r="K595" s="222"/>
      <c r="L595" s="222"/>
      <c r="M595" s="222"/>
      <c r="N595" s="223"/>
    </row>
    <row r="596" spans="1:14" s="253" customFormat="1" ht="36" customHeight="1">
      <c r="A596" s="254">
        <v>590</v>
      </c>
      <c r="B596" s="276"/>
      <c r="C596" s="308">
        <v>134</v>
      </c>
      <c r="D596" s="309" t="s">
        <v>704</v>
      </c>
      <c r="E596" s="279" t="s">
        <v>781</v>
      </c>
      <c r="F596" s="265">
        <v>3461</v>
      </c>
      <c r="G596" s="265"/>
      <c r="H596" s="266">
        <v>33687</v>
      </c>
      <c r="I596" s="267"/>
      <c r="J596" s="279"/>
      <c r="K596" s="279"/>
      <c r="L596" s="279"/>
      <c r="M596" s="279"/>
      <c r="N596" s="280"/>
    </row>
    <row r="597" spans="1:14" ht="16.5">
      <c r="A597" s="242">
        <v>591</v>
      </c>
      <c r="B597" s="276"/>
      <c r="C597" s="308"/>
      <c r="D597" s="278" t="s">
        <v>581</v>
      </c>
      <c r="E597" s="279"/>
      <c r="F597" s="265"/>
      <c r="G597" s="265"/>
      <c r="H597" s="266"/>
      <c r="I597" s="267">
        <f>SUM(J597:N597)</f>
        <v>1207</v>
      </c>
      <c r="J597" s="68"/>
      <c r="K597" s="68"/>
      <c r="L597" s="68">
        <v>1207</v>
      </c>
      <c r="M597" s="68"/>
      <c r="N597" s="69"/>
    </row>
    <row r="598" spans="1:14" ht="17.25">
      <c r="A598" s="242">
        <v>592</v>
      </c>
      <c r="B598" s="315"/>
      <c r="C598" s="907"/>
      <c r="D598" s="319" t="s">
        <v>579</v>
      </c>
      <c r="E598" s="316"/>
      <c r="F598" s="317"/>
      <c r="G598" s="317"/>
      <c r="H598" s="318"/>
      <c r="I598" s="274">
        <f>SUM(J598:N598)</f>
        <v>1211</v>
      </c>
      <c r="J598" s="222"/>
      <c r="K598" s="222"/>
      <c r="L598" s="222">
        <v>1211</v>
      </c>
      <c r="M598" s="222"/>
      <c r="N598" s="223"/>
    </row>
    <row r="599" spans="1:14" ht="50.25">
      <c r="A599" s="254">
        <v>593</v>
      </c>
      <c r="B599" s="315"/>
      <c r="C599" s="907">
        <v>135</v>
      </c>
      <c r="D599" s="423" t="s">
        <v>594</v>
      </c>
      <c r="E599" s="316" t="s">
        <v>781</v>
      </c>
      <c r="F599" s="317"/>
      <c r="G599" s="317"/>
      <c r="H599" s="318"/>
      <c r="I599" s="274"/>
      <c r="J599" s="222"/>
      <c r="K599" s="222"/>
      <c r="L599" s="222"/>
      <c r="M599" s="222"/>
      <c r="N599" s="223"/>
    </row>
    <row r="600" spans="1:14" ht="17.25">
      <c r="A600" s="242">
        <v>594</v>
      </c>
      <c r="B600" s="315"/>
      <c r="C600" s="907"/>
      <c r="D600" s="319" t="s">
        <v>579</v>
      </c>
      <c r="E600" s="316"/>
      <c r="F600" s="317"/>
      <c r="G600" s="317"/>
      <c r="H600" s="318"/>
      <c r="I600" s="274">
        <f>SUM(J600:N600)</f>
        <v>12</v>
      </c>
      <c r="J600" s="222"/>
      <c r="K600" s="222"/>
      <c r="L600" s="222">
        <v>12</v>
      </c>
      <c r="M600" s="222"/>
      <c r="N600" s="223"/>
    </row>
    <row r="601" spans="1:14" s="253" customFormat="1" ht="33">
      <c r="A601" s="254">
        <v>595</v>
      </c>
      <c r="B601" s="276"/>
      <c r="C601" s="308">
        <v>136</v>
      </c>
      <c r="D601" s="309" t="s">
        <v>705</v>
      </c>
      <c r="E601" s="279" t="s">
        <v>781</v>
      </c>
      <c r="F601" s="265">
        <v>112</v>
      </c>
      <c r="G601" s="265"/>
      <c r="H601" s="266"/>
      <c r="I601" s="267"/>
      <c r="J601" s="279"/>
      <c r="K601" s="279"/>
      <c r="L601" s="279"/>
      <c r="M601" s="279"/>
      <c r="N601" s="280"/>
    </row>
    <row r="602" spans="1:14" ht="16.5">
      <c r="A602" s="242">
        <v>596</v>
      </c>
      <c r="B602" s="276"/>
      <c r="C602" s="308"/>
      <c r="D602" s="278" t="s">
        <v>581</v>
      </c>
      <c r="E602" s="279"/>
      <c r="F602" s="265"/>
      <c r="G602" s="265"/>
      <c r="H602" s="266"/>
      <c r="I602" s="267">
        <f>SUM(J602:N602)</f>
        <v>39791</v>
      </c>
      <c r="J602" s="68"/>
      <c r="K602" s="68"/>
      <c r="L602" s="68">
        <v>33696</v>
      </c>
      <c r="M602" s="68"/>
      <c r="N602" s="69">
        <v>6095</v>
      </c>
    </row>
    <row r="603" spans="1:14" ht="17.25">
      <c r="A603" s="242">
        <v>597</v>
      </c>
      <c r="B603" s="315"/>
      <c r="C603" s="907"/>
      <c r="D603" s="270" t="s">
        <v>579</v>
      </c>
      <c r="E603" s="316"/>
      <c r="F603" s="317"/>
      <c r="G603" s="317"/>
      <c r="H603" s="318"/>
      <c r="I603" s="274">
        <f>SUM(J603:N603)</f>
        <v>31439</v>
      </c>
      <c r="J603" s="222"/>
      <c r="K603" s="222"/>
      <c r="L603" s="222">
        <v>31439</v>
      </c>
      <c r="M603" s="222"/>
      <c r="N603" s="223"/>
    </row>
    <row r="604" spans="1:14" s="253" customFormat="1" ht="33">
      <c r="A604" s="254">
        <v>598</v>
      </c>
      <c r="B604" s="276"/>
      <c r="C604" s="308">
        <v>137</v>
      </c>
      <c r="D604" s="309" t="s">
        <v>29</v>
      </c>
      <c r="E604" s="279" t="s">
        <v>781</v>
      </c>
      <c r="F604" s="265"/>
      <c r="G604" s="265"/>
      <c r="H604" s="266"/>
      <c r="I604" s="267"/>
      <c r="J604" s="279"/>
      <c r="K604" s="279"/>
      <c r="L604" s="279"/>
      <c r="M604" s="279"/>
      <c r="N604" s="280"/>
    </row>
    <row r="605" spans="1:14" ht="16.5">
      <c r="A605" s="242">
        <v>599</v>
      </c>
      <c r="B605" s="276"/>
      <c r="C605" s="308"/>
      <c r="D605" s="278" t="s">
        <v>581</v>
      </c>
      <c r="E605" s="279"/>
      <c r="F605" s="265"/>
      <c r="G605" s="265"/>
      <c r="H605" s="266"/>
      <c r="I605" s="267">
        <f>SUM(J605:N605)</f>
        <v>2000</v>
      </c>
      <c r="J605" s="68"/>
      <c r="K605" s="68"/>
      <c r="L605" s="68"/>
      <c r="M605" s="68"/>
      <c r="N605" s="69">
        <v>2000</v>
      </c>
    </row>
    <row r="606" spans="1:14" ht="17.25">
      <c r="A606" s="242">
        <v>600</v>
      </c>
      <c r="B606" s="315"/>
      <c r="C606" s="907"/>
      <c r="D606" s="270" t="s">
        <v>579</v>
      </c>
      <c r="E606" s="316"/>
      <c r="F606" s="317"/>
      <c r="G606" s="317"/>
      <c r="H606" s="318"/>
      <c r="I606" s="274">
        <f>SUM(J606:N606)</f>
        <v>2000</v>
      </c>
      <c r="J606" s="222"/>
      <c r="K606" s="222"/>
      <c r="L606" s="222"/>
      <c r="M606" s="222"/>
      <c r="N606" s="223">
        <v>2000</v>
      </c>
    </row>
    <row r="607" spans="1:14" ht="49.5">
      <c r="A607" s="254">
        <v>601</v>
      </c>
      <c r="B607" s="307"/>
      <c r="C607" s="308">
        <v>138</v>
      </c>
      <c r="D607" s="309" t="s">
        <v>693</v>
      </c>
      <c r="E607" s="279" t="s">
        <v>781</v>
      </c>
      <c r="F607" s="265">
        <v>336</v>
      </c>
      <c r="G607" s="265"/>
      <c r="H607" s="266">
        <v>7269</v>
      </c>
      <c r="I607" s="267"/>
      <c r="J607" s="279"/>
      <c r="K607" s="279"/>
      <c r="L607" s="279"/>
      <c r="M607" s="279"/>
      <c r="N607" s="280"/>
    </row>
    <row r="608" spans="1:14" ht="17.25">
      <c r="A608" s="242">
        <v>602</v>
      </c>
      <c r="B608" s="268"/>
      <c r="C608" s="907"/>
      <c r="D608" s="278" t="s">
        <v>581</v>
      </c>
      <c r="E608" s="271"/>
      <c r="F608" s="272"/>
      <c r="G608" s="272"/>
      <c r="H608" s="399"/>
      <c r="I608" s="267">
        <f>SUM(J608:N608)</f>
        <v>8741</v>
      </c>
      <c r="J608" s="224">
        <v>4274</v>
      </c>
      <c r="K608" s="224">
        <v>1038</v>
      </c>
      <c r="L608" s="224">
        <v>3429</v>
      </c>
      <c r="M608" s="224"/>
      <c r="N608" s="225"/>
    </row>
    <row r="609" spans="1:14" ht="17.25">
      <c r="A609" s="242">
        <v>603</v>
      </c>
      <c r="B609" s="268"/>
      <c r="C609" s="907"/>
      <c r="D609" s="270" t="s">
        <v>579</v>
      </c>
      <c r="E609" s="271"/>
      <c r="F609" s="272"/>
      <c r="G609" s="272"/>
      <c r="H609" s="399"/>
      <c r="I609" s="274">
        <f>SUM(J609:N609)</f>
        <v>8741</v>
      </c>
      <c r="J609" s="222">
        <v>4274</v>
      </c>
      <c r="K609" s="222">
        <v>1038</v>
      </c>
      <c r="L609" s="222">
        <v>3429</v>
      </c>
      <c r="M609" s="222"/>
      <c r="N609" s="223"/>
    </row>
    <row r="610" spans="1:14" ht="66.75">
      <c r="A610" s="254">
        <v>604</v>
      </c>
      <c r="B610" s="307"/>
      <c r="C610" s="308">
        <v>139</v>
      </c>
      <c r="D610" s="309" t="s">
        <v>1118</v>
      </c>
      <c r="E610" s="279" t="s">
        <v>781</v>
      </c>
      <c r="F610" s="265"/>
      <c r="G610" s="265"/>
      <c r="H610" s="266"/>
      <c r="I610" s="274"/>
      <c r="J610" s="279"/>
      <c r="K610" s="279"/>
      <c r="L610" s="279"/>
      <c r="M610" s="279"/>
      <c r="N610" s="280"/>
    </row>
    <row r="611" spans="1:14" ht="17.25">
      <c r="A611" s="242">
        <v>605</v>
      </c>
      <c r="B611" s="268"/>
      <c r="C611" s="907"/>
      <c r="D611" s="278" t="s">
        <v>581</v>
      </c>
      <c r="E611" s="279"/>
      <c r="F611" s="272"/>
      <c r="G611" s="272"/>
      <c r="H611" s="399"/>
      <c r="I611" s="267">
        <f>SUM(J611:N611)</f>
        <v>2634</v>
      </c>
      <c r="J611" s="224"/>
      <c r="K611" s="224"/>
      <c r="L611" s="224">
        <v>2634</v>
      </c>
      <c r="M611" s="224"/>
      <c r="N611" s="225"/>
    </row>
    <row r="612" spans="1:14" ht="17.25">
      <c r="A612" s="242">
        <v>606</v>
      </c>
      <c r="B612" s="268"/>
      <c r="C612" s="907"/>
      <c r="D612" s="270" t="s">
        <v>579</v>
      </c>
      <c r="E612" s="271"/>
      <c r="F612" s="272"/>
      <c r="G612" s="272"/>
      <c r="H612" s="399"/>
      <c r="I612" s="274">
        <f>SUM(J612:N612)</f>
        <v>2634</v>
      </c>
      <c r="J612" s="222"/>
      <c r="K612" s="222"/>
      <c r="L612" s="222">
        <v>2634</v>
      </c>
      <c r="M612" s="222"/>
      <c r="N612" s="223"/>
    </row>
    <row r="613" spans="1:14" ht="17.25">
      <c r="A613" s="254">
        <v>607</v>
      </c>
      <c r="B613" s="307"/>
      <c r="C613" s="308">
        <v>140</v>
      </c>
      <c r="D613" s="309" t="s">
        <v>1119</v>
      </c>
      <c r="E613" s="279" t="s">
        <v>781</v>
      </c>
      <c r="F613" s="265"/>
      <c r="G613" s="265"/>
      <c r="H613" s="266"/>
      <c r="I613" s="274"/>
      <c r="J613" s="279"/>
      <c r="K613" s="279"/>
      <c r="L613" s="279"/>
      <c r="M613" s="279"/>
      <c r="N613" s="280"/>
    </row>
    <row r="614" spans="1:14" ht="17.25">
      <c r="A614" s="242">
        <v>608</v>
      </c>
      <c r="B614" s="268"/>
      <c r="C614" s="907"/>
      <c r="D614" s="278" t="s">
        <v>581</v>
      </c>
      <c r="E614" s="279"/>
      <c r="F614" s="272"/>
      <c r="G614" s="272"/>
      <c r="H614" s="399"/>
      <c r="I614" s="267">
        <f>SUM(J614:N614)</f>
        <v>128</v>
      </c>
      <c r="J614" s="224"/>
      <c r="K614" s="224"/>
      <c r="L614" s="224">
        <v>128</v>
      </c>
      <c r="M614" s="224"/>
      <c r="N614" s="225"/>
    </row>
    <row r="615" spans="1:14" ht="17.25">
      <c r="A615" s="242">
        <v>609</v>
      </c>
      <c r="B615" s="268"/>
      <c r="C615" s="907"/>
      <c r="D615" s="270" t="s">
        <v>579</v>
      </c>
      <c r="E615" s="271"/>
      <c r="F615" s="272"/>
      <c r="G615" s="272"/>
      <c r="H615" s="399"/>
      <c r="I615" s="274">
        <f>SUM(J615:N615)</f>
        <v>128</v>
      </c>
      <c r="J615" s="222"/>
      <c r="K615" s="222"/>
      <c r="L615" s="222">
        <v>128</v>
      </c>
      <c r="M615" s="222"/>
      <c r="N615" s="223"/>
    </row>
    <row r="616" spans="1:14" ht="21.75" customHeight="1">
      <c r="A616" s="242">
        <v>610</v>
      </c>
      <c r="B616" s="268"/>
      <c r="C616" s="907"/>
      <c r="D616" s="904" t="s">
        <v>1247</v>
      </c>
      <c r="E616" s="271"/>
      <c r="F616" s="272"/>
      <c r="G616" s="272"/>
      <c r="H616" s="399"/>
      <c r="I616" s="274"/>
      <c r="J616" s="222"/>
      <c r="K616" s="222"/>
      <c r="L616" s="222"/>
      <c r="M616" s="222"/>
      <c r="N616" s="223"/>
    </row>
    <row r="617" spans="1:14" s="253" customFormat="1" ht="33">
      <c r="A617" s="242">
        <v>611</v>
      </c>
      <c r="B617" s="276"/>
      <c r="C617" s="277">
        <v>141</v>
      </c>
      <c r="D617" s="309" t="s">
        <v>595</v>
      </c>
      <c r="E617" s="279" t="s">
        <v>781</v>
      </c>
      <c r="F617" s="265"/>
      <c r="G617" s="265"/>
      <c r="H617" s="266"/>
      <c r="I617" s="267"/>
      <c r="J617" s="279"/>
      <c r="K617" s="279"/>
      <c r="L617" s="279"/>
      <c r="M617" s="279"/>
      <c r="N617" s="280"/>
    </row>
    <row r="618" spans="1:14" ht="16.5">
      <c r="A618" s="242">
        <v>612</v>
      </c>
      <c r="B618" s="276"/>
      <c r="C618" s="308"/>
      <c r="D618" s="278" t="s">
        <v>581</v>
      </c>
      <c r="E618" s="279"/>
      <c r="F618" s="265"/>
      <c r="G618" s="265"/>
      <c r="H618" s="266"/>
      <c r="I618" s="267">
        <f aca="true" t="shared" si="12" ref="I618:I679">SUM(J618:N618)</f>
        <v>300</v>
      </c>
      <c r="J618" s="68"/>
      <c r="K618" s="68"/>
      <c r="L618" s="68">
        <v>300</v>
      </c>
      <c r="M618" s="68"/>
      <c r="N618" s="69"/>
    </row>
    <row r="619" spans="1:14" ht="17.25">
      <c r="A619" s="254">
        <v>613</v>
      </c>
      <c r="B619" s="268"/>
      <c r="C619" s="907"/>
      <c r="D619" s="270" t="s">
        <v>579</v>
      </c>
      <c r="E619" s="271"/>
      <c r="F619" s="272"/>
      <c r="G619" s="272"/>
      <c r="H619" s="273"/>
      <c r="I619" s="274">
        <f t="shared" si="12"/>
        <v>0</v>
      </c>
      <c r="J619" s="272"/>
      <c r="K619" s="272"/>
      <c r="L619" s="272"/>
      <c r="M619" s="272"/>
      <c r="N619" s="275"/>
    </row>
    <row r="620" spans="1:14" s="253" customFormat="1" ht="16.5">
      <c r="A620" s="242">
        <v>614</v>
      </c>
      <c r="B620" s="276"/>
      <c r="C620" s="277">
        <v>142</v>
      </c>
      <c r="D620" s="309" t="s">
        <v>64</v>
      </c>
      <c r="E620" s="279" t="s">
        <v>781</v>
      </c>
      <c r="F620" s="265"/>
      <c r="G620" s="265"/>
      <c r="H620" s="266"/>
      <c r="I620" s="267"/>
      <c r="J620" s="279"/>
      <c r="K620" s="279"/>
      <c r="L620" s="279"/>
      <c r="M620" s="279"/>
      <c r="N620" s="280"/>
    </row>
    <row r="621" spans="1:14" ht="16.5">
      <c r="A621" s="242">
        <v>615</v>
      </c>
      <c r="B621" s="276"/>
      <c r="C621" s="308"/>
      <c r="D621" s="278" t="s">
        <v>581</v>
      </c>
      <c r="E621" s="279"/>
      <c r="F621" s="265"/>
      <c r="G621" s="265"/>
      <c r="H621" s="266"/>
      <c r="I621" s="267">
        <f t="shared" si="12"/>
        <v>718</v>
      </c>
      <c r="J621" s="68"/>
      <c r="K621" s="68"/>
      <c r="L621" s="68">
        <v>718</v>
      </c>
      <c r="M621" s="68"/>
      <c r="N621" s="69"/>
    </row>
    <row r="622" spans="1:14" ht="17.25">
      <c r="A622" s="254">
        <v>616</v>
      </c>
      <c r="B622" s="268"/>
      <c r="C622" s="907"/>
      <c r="D622" s="270" t="s">
        <v>579</v>
      </c>
      <c r="E622" s="271"/>
      <c r="F622" s="272"/>
      <c r="G622" s="272"/>
      <c r="H622" s="273"/>
      <c r="I622" s="274">
        <f t="shared" si="12"/>
        <v>0</v>
      </c>
      <c r="J622" s="272"/>
      <c r="K622" s="272"/>
      <c r="L622" s="272"/>
      <c r="M622" s="272"/>
      <c r="N622" s="275"/>
    </row>
    <row r="623" spans="1:14" s="253" customFormat="1" ht="33">
      <c r="A623" s="242">
        <v>617</v>
      </c>
      <c r="B623" s="276"/>
      <c r="C623" s="277">
        <v>143</v>
      </c>
      <c r="D623" s="309" t="s">
        <v>1248</v>
      </c>
      <c r="E623" s="279" t="s">
        <v>781</v>
      </c>
      <c r="F623" s="265"/>
      <c r="G623" s="265"/>
      <c r="H623" s="266"/>
      <c r="I623" s="267"/>
      <c r="J623" s="279"/>
      <c r="K623" s="279"/>
      <c r="L623" s="279"/>
      <c r="M623" s="279"/>
      <c r="N623" s="280"/>
    </row>
    <row r="624" spans="1:14" ht="16.5">
      <c r="A624" s="242">
        <v>618</v>
      </c>
      <c r="B624" s="276"/>
      <c r="C624" s="308"/>
      <c r="D624" s="278" t="s">
        <v>581</v>
      </c>
      <c r="E624" s="279"/>
      <c r="F624" s="265"/>
      <c r="G624" s="265"/>
      <c r="H624" s="266"/>
      <c r="I624" s="267">
        <f t="shared" si="12"/>
        <v>1500</v>
      </c>
      <c r="J624" s="68"/>
      <c r="K624" s="68"/>
      <c r="L624" s="68">
        <v>1500</v>
      </c>
      <c r="M624" s="68"/>
      <c r="N624" s="69"/>
    </row>
    <row r="625" spans="1:14" ht="17.25">
      <c r="A625" s="254">
        <v>619</v>
      </c>
      <c r="B625" s="268"/>
      <c r="C625" s="907"/>
      <c r="D625" s="270" t="s">
        <v>579</v>
      </c>
      <c r="E625" s="271"/>
      <c r="F625" s="272"/>
      <c r="G625" s="272"/>
      <c r="H625" s="273"/>
      <c r="I625" s="274">
        <f t="shared" si="12"/>
        <v>1493</v>
      </c>
      <c r="J625" s="272"/>
      <c r="K625" s="272"/>
      <c r="L625" s="272">
        <v>1493</v>
      </c>
      <c r="M625" s="272"/>
      <c r="N625" s="275"/>
    </row>
    <row r="626" spans="1:14" s="253" customFormat="1" ht="16.5">
      <c r="A626" s="242">
        <v>620</v>
      </c>
      <c r="B626" s="276"/>
      <c r="C626" s="277">
        <v>144</v>
      </c>
      <c r="D626" s="309" t="s">
        <v>1249</v>
      </c>
      <c r="E626" s="279" t="s">
        <v>781</v>
      </c>
      <c r="F626" s="265"/>
      <c r="G626" s="265"/>
      <c r="H626" s="266"/>
      <c r="I626" s="267"/>
      <c r="J626" s="279"/>
      <c r="K626" s="279"/>
      <c r="L626" s="279"/>
      <c r="M626" s="279"/>
      <c r="N626" s="280"/>
    </row>
    <row r="627" spans="1:14" ht="16.5">
      <c r="A627" s="242">
        <v>621</v>
      </c>
      <c r="B627" s="276"/>
      <c r="C627" s="308"/>
      <c r="D627" s="278" t="s">
        <v>581</v>
      </c>
      <c r="E627" s="279"/>
      <c r="F627" s="265"/>
      <c r="G627" s="265"/>
      <c r="H627" s="266"/>
      <c r="I627" s="267">
        <f t="shared" si="12"/>
        <v>3500</v>
      </c>
      <c r="J627" s="68"/>
      <c r="K627" s="68"/>
      <c r="L627" s="68">
        <v>3500</v>
      </c>
      <c r="M627" s="68"/>
      <c r="N627" s="69"/>
    </row>
    <row r="628" spans="1:14" ht="17.25">
      <c r="A628" s="254">
        <v>622</v>
      </c>
      <c r="B628" s="268"/>
      <c r="C628" s="907"/>
      <c r="D628" s="270" t="s">
        <v>579</v>
      </c>
      <c r="E628" s="271"/>
      <c r="F628" s="272"/>
      <c r="G628" s="272"/>
      <c r="H628" s="273"/>
      <c r="I628" s="274">
        <f t="shared" si="12"/>
        <v>510</v>
      </c>
      <c r="J628" s="272"/>
      <c r="K628" s="272"/>
      <c r="L628" s="272">
        <v>510</v>
      </c>
      <c r="M628" s="272"/>
      <c r="N628" s="275"/>
    </row>
    <row r="629" spans="1:14" s="253" customFormat="1" ht="16.5">
      <c r="A629" s="242">
        <v>623</v>
      </c>
      <c r="B629" s="276"/>
      <c r="C629" s="277">
        <v>145</v>
      </c>
      <c r="D629" s="309" t="s">
        <v>1250</v>
      </c>
      <c r="E629" s="279" t="s">
        <v>781</v>
      </c>
      <c r="F629" s="265"/>
      <c r="G629" s="265"/>
      <c r="H629" s="266"/>
      <c r="I629" s="267"/>
      <c r="J629" s="279"/>
      <c r="K629" s="279"/>
      <c r="L629" s="279"/>
      <c r="M629" s="279"/>
      <c r="N629" s="280"/>
    </row>
    <row r="630" spans="1:14" ht="16.5">
      <c r="A630" s="242">
        <v>624</v>
      </c>
      <c r="B630" s="276"/>
      <c r="C630" s="308"/>
      <c r="D630" s="278" t="s">
        <v>581</v>
      </c>
      <c r="E630" s="279"/>
      <c r="F630" s="265"/>
      <c r="G630" s="265"/>
      <c r="H630" s="266"/>
      <c r="I630" s="267">
        <f t="shared" si="12"/>
        <v>80</v>
      </c>
      <c r="J630" s="68"/>
      <c r="K630" s="68"/>
      <c r="L630" s="68">
        <v>80</v>
      </c>
      <c r="M630" s="68"/>
      <c r="N630" s="69"/>
    </row>
    <row r="631" spans="1:14" ht="17.25">
      <c r="A631" s="254">
        <v>625</v>
      </c>
      <c r="B631" s="268"/>
      <c r="C631" s="907"/>
      <c r="D631" s="270" t="s">
        <v>579</v>
      </c>
      <c r="E631" s="271"/>
      <c r="F631" s="272"/>
      <c r="G631" s="272"/>
      <c r="H631" s="273"/>
      <c r="I631" s="274">
        <f t="shared" si="12"/>
        <v>0</v>
      </c>
      <c r="J631" s="272"/>
      <c r="K631" s="272"/>
      <c r="L631" s="272"/>
      <c r="M631" s="272"/>
      <c r="N631" s="275"/>
    </row>
    <row r="632" spans="1:14" s="253" customFormat="1" ht="16.5">
      <c r="A632" s="242">
        <v>626</v>
      </c>
      <c r="B632" s="276"/>
      <c r="C632" s="277">
        <v>146</v>
      </c>
      <c r="D632" s="309" t="s">
        <v>1251</v>
      </c>
      <c r="E632" s="279" t="s">
        <v>781</v>
      </c>
      <c r="F632" s="265"/>
      <c r="G632" s="265"/>
      <c r="H632" s="266"/>
      <c r="I632" s="267"/>
      <c r="J632" s="279"/>
      <c r="K632" s="279"/>
      <c r="L632" s="279"/>
      <c r="M632" s="279"/>
      <c r="N632" s="280"/>
    </row>
    <row r="633" spans="1:14" ht="16.5">
      <c r="A633" s="242">
        <v>627</v>
      </c>
      <c r="B633" s="276"/>
      <c r="C633" s="308"/>
      <c r="D633" s="278" t="s">
        <v>581</v>
      </c>
      <c r="E633" s="279"/>
      <c r="F633" s="265"/>
      <c r="G633" s="265"/>
      <c r="H633" s="266"/>
      <c r="I633" s="267">
        <f t="shared" si="12"/>
        <v>150</v>
      </c>
      <c r="J633" s="68"/>
      <c r="K633" s="68"/>
      <c r="L633" s="68">
        <v>150</v>
      </c>
      <c r="M633" s="68"/>
      <c r="N633" s="69"/>
    </row>
    <row r="634" spans="1:14" ht="17.25">
      <c r="A634" s="254">
        <v>628</v>
      </c>
      <c r="B634" s="268"/>
      <c r="C634" s="907"/>
      <c r="D634" s="270" t="s">
        <v>579</v>
      </c>
      <c r="E634" s="271"/>
      <c r="F634" s="272"/>
      <c r="G634" s="272"/>
      <c r="H634" s="273"/>
      <c r="I634" s="274">
        <f t="shared" si="12"/>
        <v>0</v>
      </c>
      <c r="J634" s="272"/>
      <c r="K634" s="272"/>
      <c r="L634" s="272"/>
      <c r="M634" s="272"/>
      <c r="N634" s="275"/>
    </row>
    <row r="635" spans="1:14" s="253" customFormat="1" ht="49.5">
      <c r="A635" s="254">
        <v>629</v>
      </c>
      <c r="B635" s="276"/>
      <c r="C635" s="308">
        <v>147</v>
      </c>
      <c r="D635" s="309" t="s">
        <v>1252</v>
      </c>
      <c r="E635" s="279" t="s">
        <v>781</v>
      </c>
      <c r="F635" s="265"/>
      <c r="G635" s="265"/>
      <c r="H635" s="266"/>
      <c r="I635" s="267"/>
      <c r="J635" s="279"/>
      <c r="K635" s="279"/>
      <c r="L635" s="279"/>
      <c r="M635" s="279"/>
      <c r="N635" s="280"/>
    </row>
    <row r="636" spans="1:14" ht="16.5">
      <c r="A636" s="242">
        <v>630</v>
      </c>
      <c r="B636" s="276"/>
      <c r="C636" s="308"/>
      <c r="D636" s="278" t="s">
        <v>581</v>
      </c>
      <c r="E636" s="279"/>
      <c r="F636" s="265"/>
      <c r="G636" s="265"/>
      <c r="H636" s="266"/>
      <c r="I636" s="267">
        <f t="shared" si="12"/>
        <v>700</v>
      </c>
      <c r="J636" s="68"/>
      <c r="K636" s="68"/>
      <c r="L636" s="68">
        <v>700</v>
      </c>
      <c r="M636" s="68"/>
      <c r="N636" s="69"/>
    </row>
    <row r="637" spans="1:14" ht="17.25">
      <c r="A637" s="254">
        <v>631</v>
      </c>
      <c r="B637" s="268"/>
      <c r="C637" s="907"/>
      <c r="D637" s="270" t="s">
        <v>579</v>
      </c>
      <c r="E637" s="271"/>
      <c r="F637" s="272"/>
      <c r="G637" s="272"/>
      <c r="H637" s="273"/>
      <c r="I637" s="274">
        <f t="shared" si="12"/>
        <v>654</v>
      </c>
      <c r="J637" s="272"/>
      <c r="K637" s="272"/>
      <c r="L637" s="272">
        <v>654</v>
      </c>
      <c r="M637" s="272"/>
      <c r="N637" s="275"/>
    </row>
    <row r="638" spans="1:14" s="253" customFormat="1" ht="33">
      <c r="A638" s="254">
        <v>632</v>
      </c>
      <c r="B638" s="276"/>
      <c r="C638" s="308">
        <v>148</v>
      </c>
      <c r="D638" s="309" t="s">
        <v>674</v>
      </c>
      <c r="E638" s="279" t="s">
        <v>781</v>
      </c>
      <c r="F638" s="265"/>
      <c r="G638" s="265"/>
      <c r="H638" s="266"/>
      <c r="I638" s="267"/>
      <c r="J638" s="279"/>
      <c r="K638" s="279"/>
      <c r="L638" s="279"/>
      <c r="M638" s="279"/>
      <c r="N638" s="280"/>
    </row>
    <row r="639" spans="1:14" ht="16.5">
      <c r="A639" s="242">
        <v>633</v>
      </c>
      <c r="B639" s="276"/>
      <c r="C639" s="308"/>
      <c r="D639" s="278" t="s">
        <v>581</v>
      </c>
      <c r="E639" s="279"/>
      <c r="F639" s="265"/>
      <c r="G639" s="265"/>
      <c r="H639" s="266"/>
      <c r="I639" s="267">
        <f t="shared" si="12"/>
        <v>2178</v>
      </c>
      <c r="J639" s="68"/>
      <c r="K639" s="68"/>
      <c r="L639" s="68">
        <v>2178</v>
      </c>
      <c r="M639" s="68"/>
      <c r="N639" s="69"/>
    </row>
    <row r="640" spans="1:14" ht="17.25">
      <c r="A640" s="254">
        <v>634</v>
      </c>
      <c r="B640" s="268"/>
      <c r="C640" s="907"/>
      <c r="D640" s="270" t="s">
        <v>579</v>
      </c>
      <c r="E640" s="271"/>
      <c r="F640" s="272"/>
      <c r="G640" s="272"/>
      <c r="H640" s="273"/>
      <c r="I640" s="274">
        <f t="shared" si="12"/>
        <v>1110</v>
      </c>
      <c r="J640" s="272"/>
      <c r="K640" s="272"/>
      <c r="L640" s="272">
        <v>1110</v>
      </c>
      <c r="M640" s="272"/>
      <c r="N640" s="275"/>
    </row>
    <row r="641" spans="1:14" s="253" customFormat="1" ht="16.5">
      <c r="A641" s="242">
        <v>635</v>
      </c>
      <c r="B641" s="276"/>
      <c r="C641" s="277">
        <v>149</v>
      </c>
      <c r="D641" s="309" t="s">
        <v>675</v>
      </c>
      <c r="E641" s="279" t="s">
        <v>781</v>
      </c>
      <c r="F641" s="265"/>
      <c r="G641" s="265"/>
      <c r="H641" s="266"/>
      <c r="I641" s="267"/>
      <c r="J641" s="279"/>
      <c r="K641" s="279"/>
      <c r="L641" s="279"/>
      <c r="M641" s="279"/>
      <c r="N641" s="280"/>
    </row>
    <row r="642" spans="1:14" ht="16.5">
      <c r="A642" s="242">
        <v>636</v>
      </c>
      <c r="B642" s="276"/>
      <c r="C642" s="308"/>
      <c r="D642" s="278" t="s">
        <v>581</v>
      </c>
      <c r="E642" s="279"/>
      <c r="F642" s="265"/>
      <c r="G642" s="265"/>
      <c r="H642" s="266"/>
      <c r="I642" s="267">
        <f t="shared" si="12"/>
        <v>418</v>
      </c>
      <c r="J642" s="68"/>
      <c r="K642" s="68"/>
      <c r="L642" s="68">
        <v>418</v>
      </c>
      <c r="M642" s="68"/>
      <c r="N642" s="69"/>
    </row>
    <row r="643" spans="1:14" ht="17.25">
      <c r="A643" s="254">
        <v>637</v>
      </c>
      <c r="B643" s="268"/>
      <c r="C643" s="907"/>
      <c r="D643" s="270" t="s">
        <v>579</v>
      </c>
      <c r="E643" s="271"/>
      <c r="F643" s="272"/>
      <c r="G643" s="272"/>
      <c r="H643" s="273"/>
      <c r="I643" s="274">
        <f t="shared" si="12"/>
        <v>188</v>
      </c>
      <c r="J643" s="272"/>
      <c r="K643" s="272"/>
      <c r="L643" s="272">
        <v>188</v>
      </c>
      <c r="M643" s="272"/>
      <c r="N643" s="275"/>
    </row>
    <row r="644" spans="1:14" s="253" customFormat="1" ht="16.5">
      <c r="A644" s="242">
        <v>638</v>
      </c>
      <c r="B644" s="276"/>
      <c r="C644" s="277">
        <v>150</v>
      </c>
      <c r="D644" s="309" t="s">
        <v>724</v>
      </c>
      <c r="E644" s="279" t="s">
        <v>781</v>
      </c>
      <c r="F644" s="265"/>
      <c r="G644" s="265"/>
      <c r="H644" s="266"/>
      <c r="I644" s="267"/>
      <c r="J644" s="279"/>
      <c r="K644" s="279"/>
      <c r="L644" s="279"/>
      <c r="M644" s="279"/>
      <c r="N644" s="280"/>
    </row>
    <row r="645" spans="1:14" ht="16.5">
      <c r="A645" s="242">
        <v>639</v>
      </c>
      <c r="B645" s="276"/>
      <c r="C645" s="308"/>
      <c r="D645" s="278" t="s">
        <v>581</v>
      </c>
      <c r="E645" s="279"/>
      <c r="F645" s="265"/>
      <c r="G645" s="265"/>
      <c r="H645" s="266"/>
      <c r="I645" s="267">
        <f t="shared" si="12"/>
        <v>500</v>
      </c>
      <c r="J645" s="68"/>
      <c r="K645" s="68"/>
      <c r="L645" s="68">
        <v>500</v>
      </c>
      <c r="M645" s="68"/>
      <c r="N645" s="69"/>
    </row>
    <row r="646" spans="1:14" ht="17.25">
      <c r="A646" s="254">
        <v>640</v>
      </c>
      <c r="B646" s="268"/>
      <c r="C646" s="907"/>
      <c r="D646" s="270" t="s">
        <v>579</v>
      </c>
      <c r="E646" s="271"/>
      <c r="F646" s="272"/>
      <c r="G646" s="272"/>
      <c r="H646" s="273"/>
      <c r="I646" s="274">
        <f t="shared" si="12"/>
        <v>178</v>
      </c>
      <c r="J646" s="272"/>
      <c r="K646" s="272"/>
      <c r="L646" s="272">
        <v>178</v>
      </c>
      <c r="M646" s="272"/>
      <c r="N646" s="275"/>
    </row>
    <row r="647" spans="1:14" s="253" customFormat="1" ht="19.5" customHeight="1">
      <c r="A647" s="242">
        <v>641</v>
      </c>
      <c r="B647" s="276"/>
      <c r="C647" s="277">
        <v>151</v>
      </c>
      <c r="D647" s="309" t="s">
        <v>66</v>
      </c>
      <c r="E647" s="279" t="s">
        <v>781</v>
      </c>
      <c r="F647" s="265"/>
      <c r="G647" s="265"/>
      <c r="H647" s="266"/>
      <c r="I647" s="267"/>
      <c r="J647" s="279"/>
      <c r="K647" s="279"/>
      <c r="L647" s="279"/>
      <c r="M647" s="279"/>
      <c r="N647" s="280"/>
    </row>
    <row r="648" spans="1:14" ht="16.5">
      <c r="A648" s="242">
        <v>642</v>
      </c>
      <c r="B648" s="276"/>
      <c r="C648" s="308"/>
      <c r="D648" s="278" t="s">
        <v>581</v>
      </c>
      <c r="E648" s="279"/>
      <c r="F648" s="265"/>
      <c r="G648" s="265"/>
      <c r="H648" s="266"/>
      <c r="I648" s="267">
        <f t="shared" si="12"/>
        <v>500</v>
      </c>
      <c r="J648" s="68"/>
      <c r="K648" s="68"/>
      <c r="L648" s="68">
        <v>500</v>
      </c>
      <c r="M648" s="68"/>
      <c r="N648" s="69"/>
    </row>
    <row r="649" spans="1:14" ht="17.25">
      <c r="A649" s="254">
        <v>643</v>
      </c>
      <c r="B649" s="268"/>
      <c r="C649" s="907"/>
      <c r="D649" s="270" t="s">
        <v>579</v>
      </c>
      <c r="E649" s="271"/>
      <c r="F649" s="272"/>
      <c r="G649" s="272"/>
      <c r="H649" s="273"/>
      <c r="I649" s="274">
        <f t="shared" si="12"/>
        <v>0</v>
      </c>
      <c r="J649" s="272"/>
      <c r="K649" s="272"/>
      <c r="L649" s="272"/>
      <c r="M649" s="272"/>
      <c r="N649" s="275"/>
    </row>
    <row r="650" spans="1:14" s="253" customFormat="1" ht="19.5" customHeight="1">
      <c r="A650" s="242">
        <v>644</v>
      </c>
      <c r="B650" s="276"/>
      <c r="C650" s="277">
        <v>152</v>
      </c>
      <c r="D650" s="309" t="s">
        <v>68</v>
      </c>
      <c r="E650" s="279" t="s">
        <v>781</v>
      </c>
      <c r="F650" s="265"/>
      <c r="G650" s="265"/>
      <c r="H650" s="266"/>
      <c r="I650" s="267"/>
      <c r="J650" s="279"/>
      <c r="K650" s="279"/>
      <c r="L650" s="279"/>
      <c r="M650" s="279"/>
      <c r="N650" s="280"/>
    </row>
    <row r="651" spans="1:14" ht="16.5">
      <c r="A651" s="242">
        <v>645</v>
      </c>
      <c r="B651" s="276"/>
      <c r="C651" s="308"/>
      <c r="D651" s="278" t="s">
        <v>581</v>
      </c>
      <c r="E651" s="279"/>
      <c r="F651" s="265"/>
      <c r="G651" s="265"/>
      <c r="H651" s="266"/>
      <c r="I651" s="267">
        <f t="shared" si="12"/>
        <v>458</v>
      </c>
      <c r="J651" s="68"/>
      <c r="K651" s="68"/>
      <c r="L651" s="68">
        <v>458</v>
      </c>
      <c r="M651" s="68"/>
      <c r="N651" s="69"/>
    </row>
    <row r="652" spans="1:14" ht="17.25">
      <c r="A652" s="254">
        <v>646</v>
      </c>
      <c r="B652" s="268"/>
      <c r="C652" s="907"/>
      <c r="D652" s="270" t="s">
        <v>579</v>
      </c>
      <c r="E652" s="271"/>
      <c r="F652" s="272"/>
      <c r="G652" s="272"/>
      <c r="H652" s="273"/>
      <c r="I652" s="274">
        <f t="shared" si="12"/>
        <v>89</v>
      </c>
      <c r="J652" s="272"/>
      <c r="K652" s="272"/>
      <c r="L652" s="272">
        <v>89</v>
      </c>
      <c r="M652" s="272"/>
      <c r="N652" s="275"/>
    </row>
    <row r="653" spans="1:14" s="253" customFormat="1" ht="33">
      <c r="A653" s="254">
        <v>647</v>
      </c>
      <c r="B653" s="276"/>
      <c r="C653" s="308">
        <v>153</v>
      </c>
      <c r="D653" s="309" t="s">
        <v>69</v>
      </c>
      <c r="E653" s="279" t="s">
        <v>781</v>
      </c>
      <c r="F653" s="265"/>
      <c r="G653" s="265"/>
      <c r="H653" s="266"/>
      <c r="I653" s="267"/>
      <c r="J653" s="279"/>
      <c r="K653" s="279"/>
      <c r="L653" s="279"/>
      <c r="M653" s="279"/>
      <c r="N653" s="280"/>
    </row>
    <row r="654" spans="1:14" ht="16.5">
      <c r="A654" s="242">
        <v>648</v>
      </c>
      <c r="B654" s="276"/>
      <c r="C654" s="308"/>
      <c r="D654" s="278" t="s">
        <v>581</v>
      </c>
      <c r="E654" s="279"/>
      <c r="F654" s="265"/>
      <c r="G654" s="265"/>
      <c r="H654" s="266"/>
      <c r="I654" s="267">
        <f t="shared" si="12"/>
        <v>318</v>
      </c>
      <c r="J654" s="68"/>
      <c r="K654" s="68"/>
      <c r="L654" s="68">
        <v>318</v>
      </c>
      <c r="M654" s="68"/>
      <c r="N654" s="69"/>
    </row>
    <row r="655" spans="1:14" ht="17.25">
      <c r="A655" s="254">
        <v>649</v>
      </c>
      <c r="B655" s="268"/>
      <c r="C655" s="907"/>
      <c r="D655" s="270" t="s">
        <v>579</v>
      </c>
      <c r="E655" s="271"/>
      <c r="F655" s="272"/>
      <c r="G655" s="272"/>
      <c r="H655" s="273"/>
      <c r="I655" s="274">
        <f t="shared" si="12"/>
        <v>112</v>
      </c>
      <c r="J655" s="272"/>
      <c r="K655" s="272"/>
      <c r="L655" s="272">
        <v>112</v>
      </c>
      <c r="M655" s="272"/>
      <c r="N655" s="275"/>
    </row>
    <row r="656" spans="1:14" s="253" customFormat="1" ht="19.5" customHeight="1">
      <c r="A656" s="242">
        <v>650</v>
      </c>
      <c r="B656" s="276"/>
      <c r="C656" s="277">
        <v>154</v>
      </c>
      <c r="D656" s="309" t="s">
        <v>596</v>
      </c>
      <c r="E656" s="279" t="s">
        <v>781</v>
      </c>
      <c r="F656" s="265"/>
      <c r="G656" s="265"/>
      <c r="H656" s="266"/>
      <c r="I656" s="267"/>
      <c r="J656" s="279"/>
      <c r="K656" s="279"/>
      <c r="L656" s="279"/>
      <c r="M656" s="279"/>
      <c r="N656" s="280"/>
    </row>
    <row r="657" spans="1:14" ht="16.5">
      <c r="A657" s="242">
        <v>651</v>
      </c>
      <c r="B657" s="276"/>
      <c r="C657" s="308"/>
      <c r="D657" s="278" t="s">
        <v>581</v>
      </c>
      <c r="E657" s="279"/>
      <c r="F657" s="265"/>
      <c r="G657" s="265"/>
      <c r="H657" s="266"/>
      <c r="I657" s="267">
        <f t="shared" si="12"/>
        <v>537</v>
      </c>
      <c r="J657" s="68"/>
      <c r="K657" s="68"/>
      <c r="L657" s="68">
        <v>537</v>
      </c>
      <c r="M657" s="68"/>
      <c r="N657" s="69"/>
    </row>
    <row r="658" spans="1:14" ht="17.25">
      <c r="A658" s="254">
        <v>652</v>
      </c>
      <c r="B658" s="268"/>
      <c r="C658" s="907"/>
      <c r="D658" s="270" t="s">
        <v>579</v>
      </c>
      <c r="E658" s="271"/>
      <c r="F658" s="272"/>
      <c r="G658" s="272"/>
      <c r="H658" s="273"/>
      <c r="I658" s="274">
        <f t="shared" si="12"/>
        <v>134</v>
      </c>
      <c r="J658" s="272"/>
      <c r="K658" s="272"/>
      <c r="L658" s="272">
        <v>134</v>
      </c>
      <c r="M658" s="272"/>
      <c r="N658" s="275"/>
    </row>
    <row r="659" spans="1:14" s="253" customFormat="1" ht="19.5" customHeight="1">
      <c r="A659" s="242">
        <v>653</v>
      </c>
      <c r="B659" s="276"/>
      <c r="C659" s="277">
        <v>155</v>
      </c>
      <c r="D659" s="309" t="s">
        <v>676</v>
      </c>
      <c r="E659" s="279" t="s">
        <v>781</v>
      </c>
      <c r="F659" s="265"/>
      <c r="G659" s="265"/>
      <c r="H659" s="266"/>
      <c r="I659" s="267"/>
      <c r="J659" s="279"/>
      <c r="K659" s="279"/>
      <c r="L659" s="279"/>
      <c r="M659" s="279"/>
      <c r="N659" s="280"/>
    </row>
    <row r="660" spans="1:14" ht="16.5">
      <c r="A660" s="242">
        <v>654</v>
      </c>
      <c r="B660" s="276"/>
      <c r="C660" s="308"/>
      <c r="D660" s="278" t="s">
        <v>581</v>
      </c>
      <c r="E660" s="279"/>
      <c r="F660" s="265"/>
      <c r="G660" s="265"/>
      <c r="H660" s="266"/>
      <c r="I660" s="267">
        <f t="shared" si="12"/>
        <v>300</v>
      </c>
      <c r="J660" s="68"/>
      <c r="K660" s="68"/>
      <c r="L660" s="68">
        <v>300</v>
      </c>
      <c r="M660" s="68"/>
      <c r="N660" s="69"/>
    </row>
    <row r="661" spans="1:14" ht="17.25">
      <c r="A661" s="254">
        <v>655</v>
      </c>
      <c r="B661" s="268"/>
      <c r="C661" s="907"/>
      <c r="D661" s="270" t="s">
        <v>579</v>
      </c>
      <c r="E661" s="271"/>
      <c r="F661" s="272"/>
      <c r="G661" s="272"/>
      <c r="H661" s="273"/>
      <c r="I661" s="274">
        <f t="shared" si="12"/>
        <v>160</v>
      </c>
      <c r="J661" s="272"/>
      <c r="K661" s="272"/>
      <c r="L661" s="272">
        <v>160</v>
      </c>
      <c r="M661" s="272"/>
      <c r="N661" s="275"/>
    </row>
    <row r="662" spans="1:14" s="253" customFormat="1" ht="19.5" customHeight="1">
      <c r="A662" s="242">
        <v>656</v>
      </c>
      <c r="B662" s="276"/>
      <c r="C662" s="277">
        <v>156</v>
      </c>
      <c r="D662" s="309" t="s">
        <v>71</v>
      </c>
      <c r="E662" s="279" t="s">
        <v>781</v>
      </c>
      <c r="F662" s="265"/>
      <c r="G662" s="265"/>
      <c r="H662" s="266"/>
      <c r="I662" s="267"/>
      <c r="J662" s="279"/>
      <c r="K662" s="279"/>
      <c r="L662" s="279"/>
      <c r="M662" s="279"/>
      <c r="N662" s="280"/>
    </row>
    <row r="663" spans="1:14" ht="16.5">
      <c r="A663" s="242">
        <v>657</v>
      </c>
      <c r="B663" s="276"/>
      <c r="C663" s="308"/>
      <c r="D663" s="278" t="s">
        <v>581</v>
      </c>
      <c r="E663" s="279"/>
      <c r="F663" s="265"/>
      <c r="G663" s="265"/>
      <c r="H663" s="266"/>
      <c r="I663" s="267">
        <f t="shared" si="12"/>
        <v>600</v>
      </c>
      <c r="J663" s="68"/>
      <c r="K663" s="68"/>
      <c r="L663" s="68">
        <v>600</v>
      </c>
      <c r="M663" s="68"/>
      <c r="N663" s="69"/>
    </row>
    <row r="664" spans="1:14" ht="17.25">
      <c r="A664" s="254">
        <v>658</v>
      </c>
      <c r="B664" s="268"/>
      <c r="C664" s="907"/>
      <c r="D664" s="270" t="s">
        <v>579</v>
      </c>
      <c r="E664" s="271"/>
      <c r="F664" s="272"/>
      <c r="G664" s="272"/>
      <c r="H664" s="273"/>
      <c r="I664" s="274">
        <f t="shared" si="12"/>
        <v>169</v>
      </c>
      <c r="J664" s="272"/>
      <c r="K664" s="272"/>
      <c r="L664" s="272">
        <v>169</v>
      </c>
      <c r="M664" s="272"/>
      <c r="N664" s="275"/>
    </row>
    <row r="665" spans="1:14" s="253" customFormat="1" ht="19.5" customHeight="1">
      <c r="A665" s="242">
        <v>659</v>
      </c>
      <c r="B665" s="276"/>
      <c r="C665" s="277">
        <v>157</v>
      </c>
      <c r="D665" s="309" t="s">
        <v>72</v>
      </c>
      <c r="E665" s="279" t="s">
        <v>781</v>
      </c>
      <c r="F665" s="265"/>
      <c r="G665" s="265"/>
      <c r="H665" s="266"/>
      <c r="I665" s="267"/>
      <c r="J665" s="279"/>
      <c r="K665" s="279"/>
      <c r="L665" s="279"/>
      <c r="M665" s="279"/>
      <c r="N665" s="280"/>
    </row>
    <row r="666" spans="1:14" ht="16.5">
      <c r="A666" s="242">
        <v>660</v>
      </c>
      <c r="B666" s="276"/>
      <c r="C666" s="308"/>
      <c r="D666" s="278" t="s">
        <v>581</v>
      </c>
      <c r="E666" s="279"/>
      <c r="F666" s="265"/>
      <c r="G666" s="265"/>
      <c r="H666" s="266"/>
      <c r="I666" s="267">
        <f t="shared" si="12"/>
        <v>60</v>
      </c>
      <c r="J666" s="68"/>
      <c r="K666" s="68"/>
      <c r="L666" s="68">
        <v>60</v>
      </c>
      <c r="M666" s="68"/>
      <c r="N666" s="69"/>
    </row>
    <row r="667" spans="1:14" ht="17.25">
      <c r="A667" s="254">
        <v>661</v>
      </c>
      <c r="B667" s="268"/>
      <c r="C667" s="907"/>
      <c r="D667" s="270" t="s">
        <v>579</v>
      </c>
      <c r="E667" s="271"/>
      <c r="F667" s="272"/>
      <c r="G667" s="272"/>
      <c r="H667" s="273"/>
      <c r="I667" s="274">
        <f t="shared" si="12"/>
        <v>74</v>
      </c>
      <c r="J667" s="272"/>
      <c r="K667" s="272"/>
      <c r="L667" s="272">
        <v>74</v>
      </c>
      <c r="M667" s="272"/>
      <c r="N667" s="275"/>
    </row>
    <row r="668" spans="1:14" s="253" customFormat="1" ht="19.5" customHeight="1">
      <c r="A668" s="242">
        <v>662</v>
      </c>
      <c r="B668" s="276"/>
      <c r="C668" s="277">
        <v>158</v>
      </c>
      <c r="D668" s="309" t="s">
        <v>75</v>
      </c>
      <c r="E668" s="279" t="s">
        <v>781</v>
      </c>
      <c r="F668" s="265"/>
      <c r="G668" s="265"/>
      <c r="H668" s="266"/>
      <c r="I668" s="267"/>
      <c r="J668" s="279"/>
      <c r="K668" s="279"/>
      <c r="L668" s="279"/>
      <c r="M668" s="279"/>
      <c r="N668" s="280"/>
    </row>
    <row r="669" spans="1:14" ht="16.5">
      <c r="A669" s="242">
        <v>663</v>
      </c>
      <c r="B669" s="276"/>
      <c r="C669" s="308"/>
      <c r="D669" s="278" t="s">
        <v>581</v>
      </c>
      <c r="E669" s="279"/>
      <c r="F669" s="265"/>
      <c r="G669" s="265"/>
      <c r="H669" s="266"/>
      <c r="I669" s="267">
        <f t="shared" si="12"/>
        <v>300</v>
      </c>
      <c r="J669" s="68"/>
      <c r="K669" s="68"/>
      <c r="L669" s="68">
        <v>300</v>
      </c>
      <c r="M669" s="68"/>
      <c r="N669" s="69"/>
    </row>
    <row r="670" spans="1:14" ht="17.25">
      <c r="A670" s="254">
        <v>664</v>
      </c>
      <c r="B670" s="268"/>
      <c r="C670" s="907"/>
      <c r="D670" s="270" t="s">
        <v>579</v>
      </c>
      <c r="E670" s="271"/>
      <c r="F670" s="272"/>
      <c r="G670" s="272"/>
      <c r="H670" s="273"/>
      <c r="I670" s="274">
        <f t="shared" si="12"/>
        <v>115</v>
      </c>
      <c r="J670" s="272"/>
      <c r="K670" s="272"/>
      <c r="L670" s="272">
        <v>115</v>
      </c>
      <c r="M670" s="272"/>
      <c r="N670" s="275"/>
    </row>
    <row r="671" spans="1:14" s="253" customFormat="1" ht="19.5" customHeight="1">
      <c r="A671" s="242">
        <v>665</v>
      </c>
      <c r="B671" s="276"/>
      <c r="C671" s="277">
        <v>159</v>
      </c>
      <c r="D671" s="309" t="s">
        <v>76</v>
      </c>
      <c r="E671" s="279" t="s">
        <v>781</v>
      </c>
      <c r="F671" s="265"/>
      <c r="G671" s="265"/>
      <c r="H671" s="266"/>
      <c r="I671" s="267"/>
      <c r="J671" s="279"/>
      <c r="K671" s="279"/>
      <c r="L671" s="279"/>
      <c r="M671" s="279"/>
      <c r="N671" s="280"/>
    </row>
    <row r="672" spans="1:14" ht="16.5">
      <c r="A672" s="242">
        <v>666</v>
      </c>
      <c r="B672" s="276"/>
      <c r="C672" s="308"/>
      <c r="D672" s="278" t="s">
        <v>581</v>
      </c>
      <c r="E672" s="279"/>
      <c r="F672" s="265"/>
      <c r="G672" s="265"/>
      <c r="H672" s="266"/>
      <c r="I672" s="267">
        <f t="shared" si="12"/>
        <v>300</v>
      </c>
      <c r="J672" s="68"/>
      <c r="K672" s="68"/>
      <c r="L672" s="68">
        <v>300</v>
      </c>
      <c r="M672" s="68"/>
      <c r="N672" s="69"/>
    </row>
    <row r="673" spans="1:14" ht="17.25">
      <c r="A673" s="254">
        <v>667</v>
      </c>
      <c r="B673" s="268"/>
      <c r="C673" s="907"/>
      <c r="D673" s="270" t="s">
        <v>579</v>
      </c>
      <c r="E673" s="271"/>
      <c r="F673" s="272"/>
      <c r="G673" s="272"/>
      <c r="H673" s="273"/>
      <c r="I673" s="274">
        <f t="shared" si="12"/>
        <v>10</v>
      </c>
      <c r="J673" s="272"/>
      <c r="K673" s="272"/>
      <c r="L673" s="272">
        <v>10</v>
      </c>
      <c r="M673" s="272"/>
      <c r="N673" s="275"/>
    </row>
    <row r="674" spans="1:14" s="253" customFormat="1" ht="19.5" customHeight="1">
      <c r="A674" s="242">
        <v>668</v>
      </c>
      <c r="B674" s="276"/>
      <c r="C674" s="277">
        <v>160</v>
      </c>
      <c r="D674" s="309" t="s">
        <v>722</v>
      </c>
      <c r="E674" s="279" t="s">
        <v>781</v>
      </c>
      <c r="F674" s="265"/>
      <c r="G674" s="265"/>
      <c r="H674" s="266"/>
      <c r="I674" s="267"/>
      <c r="J674" s="279"/>
      <c r="K674" s="279"/>
      <c r="L674" s="279"/>
      <c r="M674" s="279"/>
      <c r="N674" s="280"/>
    </row>
    <row r="675" spans="1:14" ht="16.5">
      <c r="A675" s="242">
        <v>669</v>
      </c>
      <c r="B675" s="276"/>
      <c r="C675" s="308"/>
      <c r="D675" s="278" t="s">
        <v>581</v>
      </c>
      <c r="E675" s="279"/>
      <c r="F675" s="265"/>
      <c r="G675" s="265"/>
      <c r="H675" s="266"/>
      <c r="I675" s="267">
        <f t="shared" si="12"/>
        <v>500</v>
      </c>
      <c r="J675" s="68"/>
      <c r="K675" s="68"/>
      <c r="L675" s="68">
        <v>500</v>
      </c>
      <c r="M675" s="68"/>
      <c r="N675" s="69"/>
    </row>
    <row r="676" spans="1:14" ht="17.25">
      <c r="A676" s="254">
        <v>670</v>
      </c>
      <c r="B676" s="268"/>
      <c r="C676" s="907"/>
      <c r="D676" s="270" t="s">
        <v>579</v>
      </c>
      <c r="E676" s="271"/>
      <c r="F676" s="272"/>
      <c r="G676" s="272"/>
      <c r="H676" s="273"/>
      <c r="I676" s="274">
        <f t="shared" si="12"/>
        <v>80</v>
      </c>
      <c r="J676" s="272"/>
      <c r="K676" s="272"/>
      <c r="L676" s="272">
        <v>80</v>
      </c>
      <c r="M676" s="272"/>
      <c r="N676" s="275"/>
    </row>
    <row r="677" spans="1:14" s="253" customFormat="1" ht="19.5" customHeight="1">
      <c r="A677" s="242">
        <v>671</v>
      </c>
      <c r="B677" s="276"/>
      <c r="C677" s="277">
        <v>161</v>
      </c>
      <c r="D677" s="309" t="s">
        <v>85</v>
      </c>
      <c r="E677" s="279" t="s">
        <v>781</v>
      </c>
      <c r="F677" s="265"/>
      <c r="G677" s="265"/>
      <c r="H677" s="266"/>
      <c r="I677" s="267"/>
      <c r="J677" s="279"/>
      <c r="K677" s="279"/>
      <c r="L677" s="279"/>
      <c r="M677" s="279"/>
      <c r="N677" s="280"/>
    </row>
    <row r="678" spans="1:14" ht="16.5">
      <c r="A678" s="242">
        <v>672</v>
      </c>
      <c r="B678" s="276"/>
      <c r="C678" s="308"/>
      <c r="D678" s="278" t="s">
        <v>581</v>
      </c>
      <c r="E678" s="279"/>
      <c r="F678" s="265"/>
      <c r="G678" s="265"/>
      <c r="H678" s="266"/>
      <c r="I678" s="267">
        <f t="shared" si="12"/>
        <v>240</v>
      </c>
      <c r="J678" s="68"/>
      <c r="K678" s="68"/>
      <c r="L678" s="68">
        <v>240</v>
      </c>
      <c r="M678" s="68"/>
      <c r="N678" s="69"/>
    </row>
    <row r="679" spans="1:14" ht="17.25">
      <c r="A679" s="254">
        <v>673</v>
      </c>
      <c r="B679" s="268"/>
      <c r="C679" s="907"/>
      <c r="D679" s="270" t="s">
        <v>579</v>
      </c>
      <c r="E679" s="271"/>
      <c r="F679" s="272"/>
      <c r="G679" s="272"/>
      <c r="H679" s="273"/>
      <c r="I679" s="274">
        <f t="shared" si="12"/>
        <v>240</v>
      </c>
      <c r="J679" s="272"/>
      <c r="K679" s="272"/>
      <c r="L679" s="272">
        <v>240</v>
      </c>
      <c r="M679" s="272"/>
      <c r="N679" s="275"/>
    </row>
    <row r="680" spans="1:14" s="253" customFormat="1" ht="33">
      <c r="A680" s="254">
        <v>674</v>
      </c>
      <c r="B680" s="276"/>
      <c r="C680" s="308">
        <v>162</v>
      </c>
      <c r="D680" s="309" t="s">
        <v>1253</v>
      </c>
      <c r="E680" s="279" t="s">
        <v>781</v>
      </c>
      <c r="F680" s="265"/>
      <c r="G680" s="265"/>
      <c r="H680" s="266"/>
      <c r="I680" s="267"/>
      <c r="J680" s="279"/>
      <c r="K680" s="279"/>
      <c r="L680" s="279"/>
      <c r="M680" s="279"/>
      <c r="N680" s="280"/>
    </row>
    <row r="681" spans="1:14" ht="16.5">
      <c r="A681" s="242">
        <v>675</v>
      </c>
      <c r="B681" s="276"/>
      <c r="C681" s="308"/>
      <c r="D681" s="278" t="s">
        <v>581</v>
      </c>
      <c r="E681" s="279"/>
      <c r="F681" s="265"/>
      <c r="G681" s="265"/>
      <c r="H681" s="266"/>
      <c r="I681" s="267">
        <f aca="true" t="shared" si="13" ref="I681:I731">SUM(J681:N681)</f>
        <v>150</v>
      </c>
      <c r="J681" s="68"/>
      <c r="K681" s="68"/>
      <c r="L681" s="68">
        <v>150</v>
      </c>
      <c r="M681" s="68"/>
      <c r="N681" s="69"/>
    </row>
    <row r="682" spans="1:14" ht="17.25">
      <c r="A682" s="254">
        <v>676</v>
      </c>
      <c r="B682" s="268"/>
      <c r="C682" s="907"/>
      <c r="D682" s="270" t="s">
        <v>579</v>
      </c>
      <c r="E682" s="271"/>
      <c r="F682" s="272"/>
      <c r="G682" s="272"/>
      <c r="H682" s="273"/>
      <c r="I682" s="274">
        <f t="shared" si="13"/>
        <v>145</v>
      </c>
      <c r="J682" s="272"/>
      <c r="K682" s="272"/>
      <c r="L682" s="272">
        <v>145</v>
      </c>
      <c r="M682" s="272"/>
      <c r="N682" s="275"/>
    </row>
    <row r="683" spans="1:14" s="253" customFormat="1" ht="33">
      <c r="A683" s="254">
        <v>677</v>
      </c>
      <c r="B683" s="276"/>
      <c r="C683" s="308">
        <v>163</v>
      </c>
      <c r="D683" s="309" t="s">
        <v>89</v>
      </c>
      <c r="E683" s="279" t="s">
        <v>781</v>
      </c>
      <c r="F683" s="265"/>
      <c r="G683" s="265"/>
      <c r="H683" s="266"/>
      <c r="I683" s="267"/>
      <c r="J683" s="279"/>
      <c r="K683" s="279"/>
      <c r="L683" s="279"/>
      <c r="M683" s="279"/>
      <c r="N683" s="280"/>
    </row>
    <row r="684" spans="1:14" ht="16.5">
      <c r="A684" s="242">
        <v>678</v>
      </c>
      <c r="B684" s="276"/>
      <c r="C684" s="308"/>
      <c r="D684" s="278" t="s">
        <v>581</v>
      </c>
      <c r="E684" s="279"/>
      <c r="F684" s="265"/>
      <c r="G684" s="265"/>
      <c r="H684" s="266"/>
      <c r="I684" s="267">
        <f t="shared" si="13"/>
        <v>250</v>
      </c>
      <c r="J684" s="68"/>
      <c r="K684" s="68"/>
      <c r="L684" s="68">
        <v>250</v>
      </c>
      <c r="M684" s="68"/>
      <c r="N684" s="69"/>
    </row>
    <row r="685" spans="1:14" ht="17.25">
      <c r="A685" s="254">
        <v>679</v>
      </c>
      <c r="B685" s="268"/>
      <c r="C685" s="907"/>
      <c r="D685" s="270" t="s">
        <v>579</v>
      </c>
      <c r="E685" s="271"/>
      <c r="F685" s="272"/>
      <c r="G685" s="272"/>
      <c r="H685" s="273"/>
      <c r="I685" s="274">
        <f t="shared" si="13"/>
        <v>0</v>
      </c>
      <c r="J685" s="272"/>
      <c r="K685" s="272"/>
      <c r="L685" s="272"/>
      <c r="M685" s="272"/>
      <c r="N685" s="275"/>
    </row>
    <row r="686" spans="1:14" s="253" customFormat="1" ht="33">
      <c r="A686" s="254">
        <v>680</v>
      </c>
      <c r="B686" s="276"/>
      <c r="C686" s="308">
        <v>164</v>
      </c>
      <c r="D686" s="309" t="s">
        <v>90</v>
      </c>
      <c r="E686" s="279" t="s">
        <v>781</v>
      </c>
      <c r="F686" s="265"/>
      <c r="G686" s="265"/>
      <c r="H686" s="266"/>
      <c r="I686" s="267"/>
      <c r="J686" s="279"/>
      <c r="K686" s="279"/>
      <c r="L686" s="279"/>
      <c r="M686" s="279"/>
      <c r="N686" s="280"/>
    </row>
    <row r="687" spans="1:14" ht="16.5">
      <c r="A687" s="242">
        <v>681</v>
      </c>
      <c r="B687" s="276"/>
      <c r="C687" s="308"/>
      <c r="D687" s="278" t="s">
        <v>581</v>
      </c>
      <c r="E687" s="279"/>
      <c r="F687" s="265"/>
      <c r="G687" s="265"/>
      <c r="H687" s="266"/>
      <c r="I687" s="267">
        <f t="shared" si="13"/>
        <v>250</v>
      </c>
      <c r="J687" s="68"/>
      <c r="K687" s="68"/>
      <c r="L687" s="68">
        <v>250</v>
      </c>
      <c r="M687" s="68"/>
      <c r="N687" s="69"/>
    </row>
    <row r="688" spans="1:14" ht="17.25">
      <c r="A688" s="254">
        <v>682</v>
      </c>
      <c r="B688" s="268"/>
      <c r="C688" s="907"/>
      <c r="D688" s="270" t="s">
        <v>579</v>
      </c>
      <c r="E688" s="271"/>
      <c r="F688" s="272"/>
      <c r="G688" s="272"/>
      <c r="H688" s="273"/>
      <c r="I688" s="274">
        <f t="shared" si="13"/>
        <v>0</v>
      </c>
      <c r="J688" s="272"/>
      <c r="K688" s="272"/>
      <c r="L688" s="272"/>
      <c r="M688" s="272"/>
      <c r="N688" s="275"/>
    </row>
    <row r="689" spans="1:14" s="253" customFormat="1" ht="33">
      <c r="A689" s="254">
        <v>683</v>
      </c>
      <c r="B689" s="276"/>
      <c r="C689" s="308">
        <v>165</v>
      </c>
      <c r="D689" s="309" t="s">
        <v>91</v>
      </c>
      <c r="E689" s="279" t="s">
        <v>781</v>
      </c>
      <c r="F689" s="265"/>
      <c r="G689" s="265"/>
      <c r="H689" s="266"/>
      <c r="I689" s="267"/>
      <c r="J689" s="279"/>
      <c r="K689" s="279"/>
      <c r="L689" s="279"/>
      <c r="M689" s="279"/>
      <c r="N689" s="280"/>
    </row>
    <row r="690" spans="1:14" ht="16.5">
      <c r="A690" s="242">
        <v>684</v>
      </c>
      <c r="B690" s="276"/>
      <c r="C690" s="308"/>
      <c r="D690" s="278" t="s">
        <v>581</v>
      </c>
      <c r="E690" s="279"/>
      <c r="F690" s="265"/>
      <c r="G690" s="265"/>
      <c r="H690" s="266"/>
      <c r="I690" s="267">
        <f t="shared" si="13"/>
        <v>500</v>
      </c>
      <c r="J690" s="68"/>
      <c r="K690" s="68"/>
      <c r="L690" s="68">
        <v>500</v>
      </c>
      <c r="M690" s="68"/>
      <c r="N690" s="69"/>
    </row>
    <row r="691" spans="1:14" ht="17.25">
      <c r="A691" s="254">
        <v>685</v>
      </c>
      <c r="B691" s="268"/>
      <c r="C691" s="907"/>
      <c r="D691" s="270" t="s">
        <v>579</v>
      </c>
      <c r="E691" s="271"/>
      <c r="F691" s="272"/>
      <c r="G691" s="272"/>
      <c r="H691" s="273"/>
      <c r="I691" s="274">
        <f t="shared" si="13"/>
        <v>298</v>
      </c>
      <c r="J691" s="272"/>
      <c r="K691" s="272"/>
      <c r="L691" s="272">
        <v>298</v>
      </c>
      <c r="M691" s="272"/>
      <c r="N691" s="275"/>
    </row>
    <row r="692" spans="1:14" ht="21.75" customHeight="1">
      <c r="A692" s="242">
        <v>686</v>
      </c>
      <c r="B692" s="268"/>
      <c r="C692" s="907"/>
      <c r="D692" s="904" t="s">
        <v>1254</v>
      </c>
      <c r="E692" s="271"/>
      <c r="F692" s="272"/>
      <c r="G692" s="272"/>
      <c r="H692" s="399"/>
      <c r="I692" s="274"/>
      <c r="J692" s="222"/>
      <c r="K692" s="222"/>
      <c r="L692" s="222"/>
      <c r="M692" s="222"/>
      <c r="N692" s="223"/>
    </row>
    <row r="693" spans="1:14" s="253" customFormat="1" ht="33">
      <c r="A693" s="254">
        <v>687</v>
      </c>
      <c r="B693" s="276"/>
      <c r="C693" s="308">
        <v>166</v>
      </c>
      <c r="D693" s="309" t="s">
        <v>1255</v>
      </c>
      <c r="E693" s="279" t="s">
        <v>781</v>
      </c>
      <c r="F693" s="265"/>
      <c r="G693" s="265"/>
      <c r="H693" s="266"/>
      <c r="I693" s="267"/>
      <c r="J693" s="279"/>
      <c r="K693" s="279"/>
      <c r="L693" s="279"/>
      <c r="M693" s="279"/>
      <c r="N693" s="280"/>
    </row>
    <row r="694" spans="1:14" ht="16.5">
      <c r="A694" s="254">
        <v>688</v>
      </c>
      <c r="B694" s="276"/>
      <c r="C694" s="308"/>
      <c r="D694" s="278" t="s">
        <v>581</v>
      </c>
      <c r="E694" s="279"/>
      <c r="F694" s="265"/>
      <c r="G694" s="265"/>
      <c r="H694" s="266"/>
      <c r="I694" s="267">
        <f t="shared" si="13"/>
        <v>10</v>
      </c>
      <c r="J694" s="68"/>
      <c r="K694" s="68"/>
      <c r="L694" s="68">
        <v>10</v>
      </c>
      <c r="M694" s="68"/>
      <c r="N694" s="69"/>
    </row>
    <row r="695" spans="1:14" ht="17.25">
      <c r="A695" s="242">
        <v>689</v>
      </c>
      <c r="B695" s="268"/>
      <c r="C695" s="907"/>
      <c r="D695" s="270" t="s">
        <v>579</v>
      </c>
      <c r="E695" s="271"/>
      <c r="F695" s="272"/>
      <c r="G695" s="272"/>
      <c r="H695" s="273"/>
      <c r="I695" s="274">
        <f t="shared" si="13"/>
        <v>10</v>
      </c>
      <c r="J695" s="272"/>
      <c r="K695" s="272"/>
      <c r="L695" s="272">
        <v>10</v>
      </c>
      <c r="M695" s="272"/>
      <c r="N695" s="275"/>
    </row>
    <row r="696" spans="1:14" s="253" customFormat="1" ht="33">
      <c r="A696" s="254">
        <v>690</v>
      </c>
      <c r="B696" s="276"/>
      <c r="C696" s="308">
        <v>167</v>
      </c>
      <c r="D696" s="309" t="s">
        <v>1256</v>
      </c>
      <c r="E696" s="279" t="s">
        <v>781</v>
      </c>
      <c r="F696" s="265"/>
      <c r="G696" s="265"/>
      <c r="H696" s="266"/>
      <c r="I696" s="267"/>
      <c r="J696" s="279"/>
      <c r="K696" s="279"/>
      <c r="L696" s="279"/>
      <c r="M696" s="279"/>
      <c r="N696" s="280"/>
    </row>
    <row r="697" spans="1:14" ht="16.5">
      <c r="A697" s="254">
        <v>691</v>
      </c>
      <c r="B697" s="276"/>
      <c r="C697" s="308"/>
      <c r="D697" s="278" t="s">
        <v>581</v>
      </c>
      <c r="E697" s="279"/>
      <c r="F697" s="265"/>
      <c r="G697" s="265"/>
      <c r="H697" s="266"/>
      <c r="I697" s="267">
        <f t="shared" si="13"/>
        <v>20</v>
      </c>
      <c r="J697" s="68"/>
      <c r="K697" s="68"/>
      <c r="L697" s="68">
        <v>20</v>
      </c>
      <c r="M697" s="68"/>
      <c r="N697" s="69"/>
    </row>
    <row r="698" spans="1:14" ht="17.25">
      <c r="A698" s="242">
        <v>692</v>
      </c>
      <c r="B698" s="268"/>
      <c r="C698" s="907"/>
      <c r="D698" s="270" t="s">
        <v>579</v>
      </c>
      <c r="E698" s="271"/>
      <c r="F698" s="272"/>
      <c r="G698" s="272"/>
      <c r="H698" s="273"/>
      <c r="I698" s="274">
        <f t="shared" si="13"/>
        <v>20</v>
      </c>
      <c r="J698" s="272"/>
      <c r="K698" s="272"/>
      <c r="L698" s="272">
        <v>20</v>
      </c>
      <c r="M698" s="272"/>
      <c r="N698" s="275"/>
    </row>
    <row r="699" spans="1:14" s="253" customFormat="1" ht="33">
      <c r="A699" s="254">
        <v>693</v>
      </c>
      <c r="B699" s="276"/>
      <c r="C699" s="308">
        <v>168</v>
      </c>
      <c r="D699" s="309" t="s">
        <v>1257</v>
      </c>
      <c r="E699" s="279" t="s">
        <v>781</v>
      </c>
      <c r="F699" s="265"/>
      <c r="G699" s="265"/>
      <c r="H699" s="266"/>
      <c r="I699" s="267"/>
      <c r="J699" s="279"/>
      <c r="K699" s="279"/>
      <c r="L699" s="279"/>
      <c r="M699" s="279"/>
      <c r="N699" s="280"/>
    </row>
    <row r="700" spans="1:14" ht="16.5">
      <c r="A700" s="254">
        <v>694</v>
      </c>
      <c r="B700" s="276"/>
      <c r="C700" s="308"/>
      <c r="D700" s="278" t="s">
        <v>581</v>
      </c>
      <c r="E700" s="279"/>
      <c r="F700" s="265"/>
      <c r="G700" s="265"/>
      <c r="H700" s="266"/>
      <c r="I700" s="267">
        <f t="shared" si="13"/>
        <v>10</v>
      </c>
      <c r="J700" s="68"/>
      <c r="K700" s="68"/>
      <c r="L700" s="68">
        <v>10</v>
      </c>
      <c r="M700" s="68"/>
      <c r="N700" s="69"/>
    </row>
    <row r="701" spans="1:14" ht="17.25">
      <c r="A701" s="242">
        <v>695</v>
      </c>
      <c r="B701" s="268"/>
      <c r="C701" s="907"/>
      <c r="D701" s="270" t="s">
        <v>579</v>
      </c>
      <c r="E701" s="271"/>
      <c r="F701" s="272"/>
      <c r="G701" s="272"/>
      <c r="H701" s="273"/>
      <c r="I701" s="274">
        <f t="shared" si="13"/>
        <v>10</v>
      </c>
      <c r="J701" s="272"/>
      <c r="K701" s="272"/>
      <c r="L701" s="272">
        <v>10</v>
      </c>
      <c r="M701" s="272"/>
      <c r="N701" s="275"/>
    </row>
    <row r="702" spans="1:14" s="253" customFormat="1" ht="33">
      <c r="A702" s="254">
        <v>696</v>
      </c>
      <c r="B702" s="276"/>
      <c r="C702" s="308">
        <v>169</v>
      </c>
      <c r="D702" s="309" t="s">
        <v>1258</v>
      </c>
      <c r="E702" s="279" t="s">
        <v>781</v>
      </c>
      <c r="F702" s="265"/>
      <c r="G702" s="265"/>
      <c r="H702" s="266"/>
      <c r="I702" s="267"/>
      <c r="J702" s="279"/>
      <c r="K702" s="279"/>
      <c r="L702" s="279"/>
      <c r="M702" s="279"/>
      <c r="N702" s="280"/>
    </row>
    <row r="703" spans="1:14" ht="16.5">
      <c r="A703" s="254">
        <v>697</v>
      </c>
      <c r="B703" s="276"/>
      <c r="C703" s="308"/>
      <c r="D703" s="278" t="s">
        <v>581</v>
      </c>
      <c r="E703" s="279"/>
      <c r="F703" s="265"/>
      <c r="G703" s="265"/>
      <c r="H703" s="266"/>
      <c r="I703" s="267">
        <f t="shared" si="13"/>
        <v>10</v>
      </c>
      <c r="J703" s="68"/>
      <c r="K703" s="68"/>
      <c r="L703" s="68">
        <v>10</v>
      </c>
      <c r="M703" s="68"/>
      <c r="N703" s="69"/>
    </row>
    <row r="704" spans="1:14" ht="17.25">
      <c r="A704" s="242">
        <v>698</v>
      </c>
      <c r="B704" s="268"/>
      <c r="C704" s="907"/>
      <c r="D704" s="270" t="s">
        <v>579</v>
      </c>
      <c r="E704" s="271"/>
      <c r="F704" s="272"/>
      <c r="G704" s="272"/>
      <c r="H704" s="273"/>
      <c r="I704" s="274">
        <f t="shared" si="13"/>
        <v>10</v>
      </c>
      <c r="J704" s="272"/>
      <c r="K704" s="272"/>
      <c r="L704" s="272">
        <v>10</v>
      </c>
      <c r="M704" s="272"/>
      <c r="N704" s="275"/>
    </row>
    <row r="705" spans="1:14" s="253" customFormat="1" ht="33">
      <c r="A705" s="254">
        <v>699</v>
      </c>
      <c r="B705" s="276"/>
      <c r="C705" s="308">
        <v>170</v>
      </c>
      <c r="D705" s="309" t="s">
        <v>1259</v>
      </c>
      <c r="E705" s="279" t="s">
        <v>781</v>
      </c>
      <c r="F705" s="265"/>
      <c r="G705" s="265"/>
      <c r="H705" s="266"/>
      <c r="I705" s="267"/>
      <c r="J705" s="279"/>
      <c r="K705" s="279"/>
      <c r="L705" s="279"/>
      <c r="M705" s="279"/>
      <c r="N705" s="280"/>
    </row>
    <row r="706" spans="1:14" ht="16.5">
      <c r="A706" s="254">
        <v>700</v>
      </c>
      <c r="B706" s="276"/>
      <c r="C706" s="308"/>
      <c r="D706" s="278" t="s">
        <v>581</v>
      </c>
      <c r="E706" s="279"/>
      <c r="F706" s="265"/>
      <c r="G706" s="265"/>
      <c r="H706" s="266"/>
      <c r="I706" s="267">
        <f t="shared" si="13"/>
        <v>6</v>
      </c>
      <c r="J706" s="68"/>
      <c r="K706" s="68"/>
      <c r="L706" s="68">
        <v>6</v>
      </c>
      <c r="M706" s="68"/>
      <c r="N706" s="69"/>
    </row>
    <row r="707" spans="1:14" ht="17.25">
      <c r="A707" s="242">
        <v>701</v>
      </c>
      <c r="B707" s="268"/>
      <c r="C707" s="907"/>
      <c r="D707" s="270" t="s">
        <v>579</v>
      </c>
      <c r="E707" s="271"/>
      <c r="F707" s="272"/>
      <c r="G707" s="272"/>
      <c r="H707" s="273"/>
      <c r="I707" s="274">
        <f t="shared" si="13"/>
        <v>6</v>
      </c>
      <c r="J707" s="272"/>
      <c r="K707" s="272"/>
      <c r="L707" s="272">
        <v>6</v>
      </c>
      <c r="M707" s="272"/>
      <c r="N707" s="275"/>
    </row>
    <row r="708" spans="1:14" s="253" customFormat="1" ht="33">
      <c r="A708" s="254">
        <v>702</v>
      </c>
      <c r="B708" s="276"/>
      <c r="C708" s="308">
        <v>171</v>
      </c>
      <c r="D708" s="309" t="s">
        <v>1260</v>
      </c>
      <c r="E708" s="279" t="s">
        <v>781</v>
      </c>
      <c r="F708" s="265"/>
      <c r="G708" s="265"/>
      <c r="H708" s="266"/>
      <c r="I708" s="267"/>
      <c r="J708" s="279"/>
      <c r="K708" s="279"/>
      <c r="L708" s="279"/>
      <c r="M708" s="279"/>
      <c r="N708" s="280"/>
    </row>
    <row r="709" spans="1:14" ht="16.5">
      <c r="A709" s="254">
        <v>703</v>
      </c>
      <c r="B709" s="276"/>
      <c r="C709" s="308"/>
      <c r="D709" s="278" t="s">
        <v>581</v>
      </c>
      <c r="E709" s="279"/>
      <c r="F709" s="265"/>
      <c r="G709" s="265"/>
      <c r="H709" s="266"/>
      <c r="I709" s="267">
        <f t="shared" si="13"/>
        <v>26</v>
      </c>
      <c r="J709" s="68"/>
      <c r="K709" s="68"/>
      <c r="L709" s="68">
        <v>26</v>
      </c>
      <c r="M709" s="68"/>
      <c r="N709" s="69"/>
    </row>
    <row r="710" spans="1:14" ht="17.25">
      <c r="A710" s="242">
        <v>704</v>
      </c>
      <c r="B710" s="268"/>
      <c r="C710" s="907"/>
      <c r="D710" s="270" t="s">
        <v>579</v>
      </c>
      <c r="E710" s="271"/>
      <c r="F710" s="272"/>
      <c r="G710" s="272"/>
      <c r="H710" s="273"/>
      <c r="I710" s="274">
        <f t="shared" si="13"/>
        <v>26</v>
      </c>
      <c r="J710" s="272"/>
      <c r="K710" s="272"/>
      <c r="L710" s="272">
        <v>26</v>
      </c>
      <c r="M710" s="272"/>
      <c r="N710" s="275"/>
    </row>
    <row r="711" spans="1:14" s="253" customFormat="1" ht="33">
      <c r="A711" s="254">
        <v>705</v>
      </c>
      <c r="B711" s="276"/>
      <c r="C711" s="308">
        <v>172</v>
      </c>
      <c r="D711" s="309" t="s">
        <v>1261</v>
      </c>
      <c r="E711" s="279" t="s">
        <v>781</v>
      </c>
      <c r="F711" s="265"/>
      <c r="G711" s="265"/>
      <c r="H711" s="266"/>
      <c r="I711" s="267"/>
      <c r="J711" s="279"/>
      <c r="K711" s="279"/>
      <c r="L711" s="279"/>
      <c r="M711" s="279"/>
      <c r="N711" s="280"/>
    </row>
    <row r="712" spans="1:14" ht="16.5">
      <c r="A712" s="254">
        <v>706</v>
      </c>
      <c r="B712" s="276"/>
      <c r="C712" s="308"/>
      <c r="D712" s="278" t="s">
        <v>581</v>
      </c>
      <c r="E712" s="279"/>
      <c r="F712" s="265"/>
      <c r="G712" s="265"/>
      <c r="H712" s="266"/>
      <c r="I712" s="267">
        <f t="shared" si="13"/>
        <v>80</v>
      </c>
      <c r="J712" s="68"/>
      <c r="K712" s="68"/>
      <c r="L712" s="68">
        <v>80</v>
      </c>
      <c r="M712" s="68"/>
      <c r="N712" s="69"/>
    </row>
    <row r="713" spans="1:14" ht="17.25">
      <c r="A713" s="242">
        <v>707</v>
      </c>
      <c r="B713" s="268"/>
      <c r="C713" s="907"/>
      <c r="D713" s="270" t="s">
        <v>579</v>
      </c>
      <c r="E713" s="271"/>
      <c r="F713" s="272"/>
      <c r="G713" s="272"/>
      <c r="H713" s="273"/>
      <c r="I713" s="274">
        <f t="shared" si="13"/>
        <v>160</v>
      </c>
      <c r="J713" s="272"/>
      <c r="K713" s="272"/>
      <c r="L713" s="272">
        <v>160</v>
      </c>
      <c r="M713" s="272"/>
      <c r="N713" s="275"/>
    </row>
    <row r="714" spans="1:14" s="253" customFormat="1" ht="33">
      <c r="A714" s="254">
        <v>708</v>
      </c>
      <c r="B714" s="276"/>
      <c r="C714" s="308">
        <v>173</v>
      </c>
      <c r="D714" s="309" t="s">
        <v>1262</v>
      </c>
      <c r="E714" s="279" t="s">
        <v>781</v>
      </c>
      <c r="F714" s="265"/>
      <c r="G714" s="265"/>
      <c r="H714" s="266"/>
      <c r="I714" s="267"/>
      <c r="J714" s="279"/>
      <c r="K714" s="279"/>
      <c r="L714" s="279"/>
      <c r="M714" s="279"/>
      <c r="N714" s="280"/>
    </row>
    <row r="715" spans="1:14" ht="16.5">
      <c r="A715" s="254">
        <v>709</v>
      </c>
      <c r="B715" s="276"/>
      <c r="C715" s="308"/>
      <c r="D715" s="278" t="s">
        <v>581</v>
      </c>
      <c r="E715" s="279"/>
      <c r="F715" s="265"/>
      <c r="G715" s="265"/>
      <c r="H715" s="266"/>
      <c r="I715" s="267">
        <f t="shared" si="13"/>
        <v>38</v>
      </c>
      <c r="J715" s="68"/>
      <c r="K715" s="68"/>
      <c r="L715" s="68">
        <v>38</v>
      </c>
      <c r="M715" s="68"/>
      <c r="N715" s="69"/>
    </row>
    <row r="716" spans="1:14" ht="17.25">
      <c r="A716" s="242">
        <v>710</v>
      </c>
      <c r="B716" s="268"/>
      <c r="C716" s="907"/>
      <c r="D716" s="270" t="s">
        <v>579</v>
      </c>
      <c r="E716" s="271"/>
      <c r="F716" s="272"/>
      <c r="G716" s="272"/>
      <c r="H716" s="273"/>
      <c r="I716" s="274">
        <f t="shared" si="13"/>
        <v>37</v>
      </c>
      <c r="J716" s="272"/>
      <c r="K716" s="272"/>
      <c r="L716" s="272">
        <v>37</v>
      </c>
      <c r="M716" s="272"/>
      <c r="N716" s="275"/>
    </row>
    <row r="717" spans="1:14" s="253" customFormat="1" ht="33">
      <c r="A717" s="254">
        <v>711</v>
      </c>
      <c r="B717" s="276"/>
      <c r="C717" s="308">
        <v>174</v>
      </c>
      <c r="D717" s="309" t="s">
        <v>1263</v>
      </c>
      <c r="E717" s="279" t="s">
        <v>781</v>
      </c>
      <c r="F717" s="265"/>
      <c r="G717" s="265"/>
      <c r="H717" s="266"/>
      <c r="I717" s="267"/>
      <c r="J717" s="279"/>
      <c r="K717" s="279"/>
      <c r="L717" s="279"/>
      <c r="M717" s="279"/>
      <c r="N717" s="280"/>
    </row>
    <row r="718" spans="1:14" ht="16.5">
      <c r="A718" s="254">
        <v>712</v>
      </c>
      <c r="B718" s="276"/>
      <c r="C718" s="308"/>
      <c r="D718" s="278" t="s">
        <v>581</v>
      </c>
      <c r="E718" s="279"/>
      <c r="F718" s="265"/>
      <c r="G718" s="265"/>
      <c r="H718" s="266"/>
      <c r="I718" s="267">
        <f t="shared" si="13"/>
        <v>18</v>
      </c>
      <c r="J718" s="68"/>
      <c r="K718" s="68"/>
      <c r="L718" s="68">
        <v>18</v>
      </c>
      <c r="M718" s="68"/>
      <c r="N718" s="69"/>
    </row>
    <row r="719" spans="1:14" ht="17.25">
      <c r="A719" s="242">
        <v>713</v>
      </c>
      <c r="B719" s="268"/>
      <c r="C719" s="907"/>
      <c r="D719" s="270" t="s">
        <v>579</v>
      </c>
      <c r="E719" s="271"/>
      <c r="F719" s="272"/>
      <c r="G719" s="272"/>
      <c r="H719" s="273"/>
      <c r="I719" s="274">
        <f t="shared" si="13"/>
        <v>16</v>
      </c>
      <c r="J719" s="272"/>
      <c r="K719" s="272"/>
      <c r="L719" s="272">
        <v>16</v>
      </c>
      <c r="M719" s="272"/>
      <c r="N719" s="275"/>
    </row>
    <row r="720" spans="1:14" s="253" customFormat="1" ht="33">
      <c r="A720" s="254">
        <v>714</v>
      </c>
      <c r="B720" s="276"/>
      <c r="C720" s="308">
        <v>175</v>
      </c>
      <c r="D720" s="309" t="s">
        <v>1264</v>
      </c>
      <c r="E720" s="279" t="s">
        <v>781</v>
      </c>
      <c r="F720" s="265"/>
      <c r="G720" s="265"/>
      <c r="H720" s="266"/>
      <c r="I720" s="267"/>
      <c r="J720" s="279"/>
      <c r="K720" s="279"/>
      <c r="L720" s="279"/>
      <c r="M720" s="279"/>
      <c r="N720" s="280"/>
    </row>
    <row r="721" spans="1:14" ht="16.5">
      <c r="A721" s="254">
        <v>715</v>
      </c>
      <c r="B721" s="276"/>
      <c r="C721" s="308"/>
      <c r="D721" s="278" t="s">
        <v>581</v>
      </c>
      <c r="E721" s="279"/>
      <c r="F721" s="265"/>
      <c r="G721" s="265"/>
      <c r="H721" s="266"/>
      <c r="I721" s="267">
        <f t="shared" si="13"/>
        <v>20</v>
      </c>
      <c r="J721" s="68"/>
      <c r="K721" s="68"/>
      <c r="L721" s="68">
        <v>20</v>
      </c>
      <c r="M721" s="68"/>
      <c r="N721" s="69"/>
    </row>
    <row r="722" spans="1:14" ht="17.25">
      <c r="A722" s="242">
        <v>716</v>
      </c>
      <c r="B722" s="268"/>
      <c r="C722" s="907"/>
      <c r="D722" s="270" t="s">
        <v>579</v>
      </c>
      <c r="E722" s="271"/>
      <c r="F722" s="272"/>
      <c r="G722" s="272"/>
      <c r="H722" s="273"/>
      <c r="I722" s="274">
        <f t="shared" si="13"/>
        <v>20</v>
      </c>
      <c r="J722" s="272"/>
      <c r="K722" s="272"/>
      <c r="L722" s="272">
        <v>20</v>
      </c>
      <c r="M722" s="272"/>
      <c r="N722" s="275"/>
    </row>
    <row r="723" spans="1:14" s="253" customFormat="1" ht="33">
      <c r="A723" s="254">
        <v>717</v>
      </c>
      <c r="B723" s="276"/>
      <c r="C723" s="308">
        <v>176</v>
      </c>
      <c r="D723" s="309" t="s">
        <v>1265</v>
      </c>
      <c r="E723" s="279" t="s">
        <v>781</v>
      </c>
      <c r="F723" s="265"/>
      <c r="G723" s="265"/>
      <c r="H723" s="266"/>
      <c r="I723" s="267"/>
      <c r="J723" s="279"/>
      <c r="K723" s="279"/>
      <c r="L723" s="279"/>
      <c r="M723" s="279"/>
      <c r="N723" s="280"/>
    </row>
    <row r="724" spans="1:14" ht="16.5">
      <c r="A724" s="254">
        <v>718</v>
      </c>
      <c r="B724" s="276"/>
      <c r="C724" s="308"/>
      <c r="D724" s="278" t="s">
        <v>581</v>
      </c>
      <c r="E724" s="279"/>
      <c r="F724" s="265"/>
      <c r="G724" s="265"/>
      <c r="H724" s="266"/>
      <c r="I724" s="267">
        <f t="shared" si="13"/>
        <v>20</v>
      </c>
      <c r="J724" s="68"/>
      <c r="K724" s="68"/>
      <c r="L724" s="68">
        <v>20</v>
      </c>
      <c r="M724" s="68"/>
      <c r="N724" s="69"/>
    </row>
    <row r="725" spans="1:14" ht="17.25">
      <c r="A725" s="242">
        <v>719</v>
      </c>
      <c r="B725" s="268"/>
      <c r="C725" s="907"/>
      <c r="D725" s="270" t="s">
        <v>579</v>
      </c>
      <c r="E725" s="271"/>
      <c r="F725" s="272"/>
      <c r="G725" s="272"/>
      <c r="H725" s="273"/>
      <c r="I725" s="274">
        <f t="shared" si="13"/>
        <v>23</v>
      </c>
      <c r="J725" s="272"/>
      <c r="K725" s="272"/>
      <c r="L725" s="272">
        <v>23</v>
      </c>
      <c r="M725" s="272"/>
      <c r="N725" s="275"/>
    </row>
    <row r="726" spans="1:14" s="253" customFormat="1" ht="16.5">
      <c r="A726" s="242">
        <v>720</v>
      </c>
      <c r="B726" s="276"/>
      <c r="C726" s="277">
        <v>177</v>
      </c>
      <c r="D726" s="309" t="s">
        <v>1266</v>
      </c>
      <c r="E726" s="279" t="s">
        <v>781</v>
      </c>
      <c r="F726" s="265"/>
      <c r="G726" s="265"/>
      <c r="H726" s="266"/>
      <c r="I726" s="267"/>
      <c r="J726" s="279"/>
      <c r="K726" s="279"/>
      <c r="L726" s="279"/>
      <c r="M726" s="279"/>
      <c r="N726" s="280"/>
    </row>
    <row r="727" spans="1:14" ht="16.5">
      <c r="A727" s="254">
        <v>721</v>
      </c>
      <c r="B727" s="276"/>
      <c r="C727" s="308"/>
      <c r="D727" s="278" t="s">
        <v>581</v>
      </c>
      <c r="E727" s="279"/>
      <c r="F727" s="265"/>
      <c r="G727" s="265"/>
      <c r="H727" s="266"/>
      <c r="I727" s="267">
        <f t="shared" si="13"/>
        <v>160</v>
      </c>
      <c r="J727" s="68"/>
      <c r="K727" s="68"/>
      <c r="L727" s="68">
        <v>160</v>
      </c>
      <c r="M727" s="68"/>
      <c r="N727" s="69"/>
    </row>
    <row r="728" spans="1:14" ht="17.25">
      <c r="A728" s="242">
        <v>722</v>
      </c>
      <c r="B728" s="268"/>
      <c r="C728" s="907"/>
      <c r="D728" s="270" t="s">
        <v>579</v>
      </c>
      <c r="E728" s="271"/>
      <c r="F728" s="272"/>
      <c r="G728" s="272"/>
      <c r="H728" s="273"/>
      <c r="I728" s="274">
        <f t="shared" si="13"/>
        <v>160</v>
      </c>
      <c r="J728" s="272"/>
      <c r="K728" s="272"/>
      <c r="L728" s="272">
        <v>160</v>
      </c>
      <c r="M728" s="272"/>
      <c r="N728" s="275"/>
    </row>
    <row r="729" spans="1:14" s="253" customFormat="1" ht="33">
      <c r="A729" s="254">
        <v>723</v>
      </c>
      <c r="B729" s="276"/>
      <c r="C729" s="308">
        <v>178</v>
      </c>
      <c r="D729" s="309" t="s">
        <v>1267</v>
      </c>
      <c r="E729" s="279" t="s">
        <v>781</v>
      </c>
      <c r="F729" s="265"/>
      <c r="G729" s="265"/>
      <c r="H729" s="266"/>
      <c r="I729" s="267"/>
      <c r="J729" s="279"/>
      <c r="K729" s="279"/>
      <c r="L729" s="279"/>
      <c r="M729" s="279"/>
      <c r="N729" s="280"/>
    </row>
    <row r="730" spans="1:14" ht="16.5">
      <c r="A730" s="254">
        <v>724</v>
      </c>
      <c r="B730" s="276"/>
      <c r="C730" s="308"/>
      <c r="D730" s="278" t="s">
        <v>581</v>
      </c>
      <c r="E730" s="279"/>
      <c r="F730" s="265"/>
      <c r="G730" s="265"/>
      <c r="H730" s="266"/>
      <c r="I730" s="267">
        <f t="shared" si="13"/>
        <v>103</v>
      </c>
      <c r="J730" s="68"/>
      <c r="K730" s="68"/>
      <c r="L730" s="68">
        <v>103</v>
      </c>
      <c r="M730" s="68"/>
      <c r="N730" s="69"/>
    </row>
    <row r="731" spans="1:14" ht="17.25">
      <c r="A731" s="242">
        <v>725</v>
      </c>
      <c r="B731" s="268"/>
      <c r="C731" s="907"/>
      <c r="D731" s="270" t="s">
        <v>579</v>
      </c>
      <c r="E731" s="271"/>
      <c r="F731" s="272"/>
      <c r="G731" s="272"/>
      <c r="H731" s="273"/>
      <c r="I731" s="274">
        <f t="shared" si="13"/>
        <v>102</v>
      </c>
      <c r="J731" s="272"/>
      <c r="K731" s="272"/>
      <c r="L731" s="272">
        <v>102</v>
      </c>
      <c r="M731" s="272"/>
      <c r="N731" s="275"/>
    </row>
    <row r="732" spans="1:14" s="253" customFormat="1" ht="25.5" customHeight="1">
      <c r="A732" s="242">
        <v>726</v>
      </c>
      <c r="B732" s="276"/>
      <c r="C732" s="277">
        <v>179</v>
      </c>
      <c r="D732" s="309" t="s">
        <v>1268</v>
      </c>
      <c r="E732" s="279" t="s">
        <v>781</v>
      </c>
      <c r="F732" s="265"/>
      <c r="G732" s="265"/>
      <c r="H732" s="266"/>
      <c r="I732" s="267"/>
      <c r="J732" s="279"/>
      <c r="K732" s="279"/>
      <c r="L732" s="279"/>
      <c r="M732" s="279"/>
      <c r="N732" s="280"/>
    </row>
    <row r="733" spans="1:14" ht="16.5">
      <c r="A733" s="254">
        <v>727</v>
      </c>
      <c r="B733" s="276"/>
      <c r="C733" s="308"/>
      <c r="D733" s="278" t="s">
        <v>581</v>
      </c>
      <c r="E733" s="279"/>
      <c r="F733" s="265"/>
      <c r="G733" s="265"/>
      <c r="H733" s="266"/>
      <c r="I733" s="267">
        <f aca="true" t="shared" si="14" ref="I733:I781">SUM(J733:N733)</f>
        <v>20</v>
      </c>
      <c r="J733" s="68"/>
      <c r="K733" s="68"/>
      <c r="L733" s="68">
        <v>20</v>
      </c>
      <c r="M733" s="68"/>
      <c r="N733" s="69"/>
    </row>
    <row r="734" spans="1:14" ht="17.25">
      <c r="A734" s="242">
        <v>728</v>
      </c>
      <c r="B734" s="268"/>
      <c r="C734" s="907"/>
      <c r="D734" s="270" t="s">
        <v>579</v>
      </c>
      <c r="E734" s="271"/>
      <c r="F734" s="272"/>
      <c r="G734" s="272"/>
      <c r="H734" s="273"/>
      <c r="I734" s="274">
        <f t="shared" si="14"/>
        <v>20</v>
      </c>
      <c r="J734" s="272"/>
      <c r="K734" s="272"/>
      <c r="L734" s="272">
        <v>20</v>
      </c>
      <c r="M734" s="272"/>
      <c r="N734" s="275"/>
    </row>
    <row r="735" spans="1:14" s="253" customFormat="1" ht="33">
      <c r="A735" s="254">
        <v>729</v>
      </c>
      <c r="B735" s="276"/>
      <c r="C735" s="308">
        <v>180</v>
      </c>
      <c r="D735" s="309" t="s">
        <v>1269</v>
      </c>
      <c r="E735" s="279" t="s">
        <v>781</v>
      </c>
      <c r="F735" s="265"/>
      <c r="G735" s="265"/>
      <c r="H735" s="266"/>
      <c r="I735" s="267"/>
      <c r="J735" s="279"/>
      <c r="K735" s="279"/>
      <c r="L735" s="279"/>
      <c r="M735" s="279"/>
      <c r="N735" s="280"/>
    </row>
    <row r="736" spans="1:14" ht="16.5">
      <c r="A736" s="254">
        <v>730</v>
      </c>
      <c r="B736" s="276"/>
      <c r="C736" s="308"/>
      <c r="D736" s="278" t="s">
        <v>581</v>
      </c>
      <c r="E736" s="279"/>
      <c r="F736" s="265"/>
      <c r="G736" s="265"/>
      <c r="H736" s="266"/>
      <c r="I736" s="267">
        <f t="shared" si="14"/>
        <v>20</v>
      </c>
      <c r="J736" s="68"/>
      <c r="K736" s="68"/>
      <c r="L736" s="68">
        <v>20</v>
      </c>
      <c r="M736" s="68"/>
      <c r="N736" s="69"/>
    </row>
    <row r="737" spans="1:14" ht="17.25">
      <c r="A737" s="242">
        <v>731</v>
      </c>
      <c r="B737" s="268"/>
      <c r="C737" s="907"/>
      <c r="D737" s="270" t="s">
        <v>579</v>
      </c>
      <c r="E737" s="271"/>
      <c r="F737" s="272"/>
      <c r="G737" s="272"/>
      <c r="H737" s="273"/>
      <c r="I737" s="274">
        <f t="shared" si="14"/>
        <v>20</v>
      </c>
      <c r="J737" s="272"/>
      <c r="K737" s="272"/>
      <c r="L737" s="272">
        <v>20</v>
      </c>
      <c r="M737" s="272"/>
      <c r="N737" s="275"/>
    </row>
    <row r="738" spans="1:14" s="253" customFormat="1" ht="33">
      <c r="A738" s="254">
        <v>732</v>
      </c>
      <c r="B738" s="276"/>
      <c r="C738" s="308">
        <v>181</v>
      </c>
      <c r="D738" s="309" t="s">
        <v>1270</v>
      </c>
      <c r="E738" s="279" t="s">
        <v>781</v>
      </c>
      <c r="F738" s="265"/>
      <c r="G738" s="265"/>
      <c r="H738" s="266"/>
      <c r="I738" s="267"/>
      <c r="J738" s="279"/>
      <c r="K738" s="279"/>
      <c r="L738" s="279"/>
      <c r="M738" s="279"/>
      <c r="N738" s="280"/>
    </row>
    <row r="739" spans="1:14" ht="16.5">
      <c r="A739" s="254">
        <v>733</v>
      </c>
      <c r="B739" s="276"/>
      <c r="C739" s="308"/>
      <c r="D739" s="278" t="s">
        <v>581</v>
      </c>
      <c r="E739" s="279"/>
      <c r="F739" s="265"/>
      <c r="G739" s="265"/>
      <c r="H739" s="266"/>
      <c r="I739" s="267">
        <f t="shared" si="14"/>
        <v>160</v>
      </c>
      <c r="J739" s="68"/>
      <c r="K739" s="68"/>
      <c r="L739" s="68">
        <v>160</v>
      </c>
      <c r="M739" s="68"/>
      <c r="N739" s="69"/>
    </row>
    <row r="740" spans="1:14" ht="17.25">
      <c r="A740" s="242">
        <v>734</v>
      </c>
      <c r="B740" s="268"/>
      <c r="C740" s="907"/>
      <c r="D740" s="270" t="s">
        <v>579</v>
      </c>
      <c r="E740" s="271"/>
      <c r="F740" s="272"/>
      <c r="G740" s="272"/>
      <c r="H740" s="273"/>
      <c r="I740" s="274">
        <f t="shared" si="14"/>
        <v>160</v>
      </c>
      <c r="J740" s="272"/>
      <c r="K740" s="272"/>
      <c r="L740" s="272">
        <v>160</v>
      </c>
      <c r="M740" s="272"/>
      <c r="N740" s="275"/>
    </row>
    <row r="741" spans="1:14" s="253" customFormat="1" ht="16.5">
      <c r="A741" s="242">
        <v>735</v>
      </c>
      <c r="B741" s="276"/>
      <c r="C741" s="308">
        <v>182</v>
      </c>
      <c r="D741" s="309" t="s">
        <v>1271</v>
      </c>
      <c r="E741" s="279" t="s">
        <v>781</v>
      </c>
      <c r="F741" s="265"/>
      <c r="G741" s="265"/>
      <c r="H741" s="266"/>
      <c r="I741" s="267"/>
      <c r="J741" s="279"/>
      <c r="K741" s="279"/>
      <c r="L741" s="279"/>
      <c r="M741" s="279"/>
      <c r="N741" s="280"/>
    </row>
    <row r="742" spans="1:14" ht="16.5">
      <c r="A742" s="254">
        <v>736</v>
      </c>
      <c r="B742" s="276"/>
      <c r="C742" s="308"/>
      <c r="D742" s="278" t="s">
        <v>581</v>
      </c>
      <c r="E742" s="279"/>
      <c r="F742" s="265"/>
      <c r="G742" s="265"/>
      <c r="H742" s="266"/>
      <c r="I742" s="267">
        <f t="shared" si="14"/>
        <v>240</v>
      </c>
      <c r="J742" s="68"/>
      <c r="K742" s="68"/>
      <c r="L742" s="68">
        <v>240</v>
      </c>
      <c r="M742" s="68"/>
      <c r="N742" s="69"/>
    </row>
    <row r="743" spans="1:14" ht="17.25">
      <c r="A743" s="242">
        <v>737</v>
      </c>
      <c r="B743" s="268"/>
      <c r="C743" s="907"/>
      <c r="D743" s="270" t="s">
        <v>579</v>
      </c>
      <c r="E743" s="271"/>
      <c r="F743" s="272"/>
      <c r="G743" s="272"/>
      <c r="H743" s="273"/>
      <c r="I743" s="274">
        <f t="shared" si="14"/>
        <v>240</v>
      </c>
      <c r="J743" s="272"/>
      <c r="K743" s="272"/>
      <c r="L743" s="272">
        <v>240</v>
      </c>
      <c r="M743" s="272"/>
      <c r="N743" s="275"/>
    </row>
    <row r="744" spans="1:14" s="253" customFormat="1" ht="33">
      <c r="A744" s="242">
        <v>738</v>
      </c>
      <c r="B744" s="276"/>
      <c r="C744" s="308">
        <v>183</v>
      </c>
      <c r="D744" s="309" t="s">
        <v>1272</v>
      </c>
      <c r="E744" s="279" t="s">
        <v>781</v>
      </c>
      <c r="F744" s="265"/>
      <c r="G744" s="265"/>
      <c r="H744" s="266"/>
      <c r="I744" s="267"/>
      <c r="J744" s="279"/>
      <c r="K744" s="279"/>
      <c r="L744" s="279"/>
      <c r="M744" s="279"/>
      <c r="N744" s="280"/>
    </row>
    <row r="745" spans="1:14" ht="16.5">
      <c r="A745" s="254">
        <v>739</v>
      </c>
      <c r="B745" s="276"/>
      <c r="C745" s="308"/>
      <c r="D745" s="278" t="s">
        <v>581</v>
      </c>
      <c r="E745" s="279"/>
      <c r="F745" s="265"/>
      <c r="G745" s="265"/>
      <c r="H745" s="266"/>
      <c r="I745" s="267">
        <f t="shared" si="14"/>
        <v>40</v>
      </c>
      <c r="J745" s="68"/>
      <c r="K745" s="68"/>
      <c r="L745" s="68">
        <v>40</v>
      </c>
      <c r="M745" s="68"/>
      <c r="N745" s="69"/>
    </row>
    <row r="746" spans="1:14" ht="17.25">
      <c r="A746" s="242">
        <v>740</v>
      </c>
      <c r="B746" s="268"/>
      <c r="C746" s="907"/>
      <c r="D746" s="270" t="s">
        <v>579</v>
      </c>
      <c r="E746" s="271"/>
      <c r="F746" s="272"/>
      <c r="G746" s="272"/>
      <c r="H746" s="273"/>
      <c r="I746" s="274">
        <f t="shared" si="14"/>
        <v>0</v>
      </c>
      <c r="J746" s="272"/>
      <c r="K746" s="272"/>
      <c r="L746" s="272"/>
      <c r="M746" s="272"/>
      <c r="N746" s="275"/>
    </row>
    <row r="747" spans="1:14" s="253" customFormat="1" ht="33">
      <c r="A747" s="254">
        <v>741</v>
      </c>
      <c r="B747" s="276"/>
      <c r="C747" s="308">
        <v>184</v>
      </c>
      <c r="D747" s="309" t="s">
        <v>1273</v>
      </c>
      <c r="E747" s="279" t="s">
        <v>781</v>
      </c>
      <c r="F747" s="265"/>
      <c r="G747" s="265"/>
      <c r="H747" s="266"/>
      <c r="I747" s="267"/>
      <c r="J747" s="279"/>
      <c r="K747" s="279"/>
      <c r="L747" s="279"/>
      <c r="M747" s="279"/>
      <c r="N747" s="280"/>
    </row>
    <row r="748" spans="1:14" ht="16.5">
      <c r="A748" s="254">
        <v>742</v>
      </c>
      <c r="B748" s="276"/>
      <c r="C748" s="308"/>
      <c r="D748" s="278" t="s">
        <v>581</v>
      </c>
      <c r="E748" s="279"/>
      <c r="F748" s="265"/>
      <c r="G748" s="265"/>
      <c r="H748" s="266"/>
      <c r="I748" s="267">
        <f t="shared" si="14"/>
        <v>20</v>
      </c>
      <c r="J748" s="68"/>
      <c r="K748" s="68"/>
      <c r="L748" s="68">
        <v>20</v>
      </c>
      <c r="M748" s="68"/>
      <c r="N748" s="69"/>
    </row>
    <row r="749" spans="1:14" ht="17.25">
      <c r="A749" s="242">
        <v>743</v>
      </c>
      <c r="B749" s="268"/>
      <c r="C749" s="907"/>
      <c r="D749" s="270" t="s">
        <v>579</v>
      </c>
      <c r="E749" s="271"/>
      <c r="F749" s="272"/>
      <c r="G749" s="272"/>
      <c r="H749" s="273"/>
      <c r="I749" s="274">
        <f t="shared" si="14"/>
        <v>20</v>
      </c>
      <c r="J749" s="272"/>
      <c r="K749" s="272"/>
      <c r="L749" s="272">
        <v>20</v>
      </c>
      <c r="M749" s="272"/>
      <c r="N749" s="275"/>
    </row>
    <row r="750" spans="1:14" s="253" customFormat="1" ht="33">
      <c r="A750" s="254">
        <v>744</v>
      </c>
      <c r="B750" s="276"/>
      <c r="C750" s="308">
        <v>185</v>
      </c>
      <c r="D750" s="309" t="s">
        <v>1274</v>
      </c>
      <c r="E750" s="279" t="s">
        <v>781</v>
      </c>
      <c r="F750" s="265"/>
      <c r="G750" s="265"/>
      <c r="H750" s="266"/>
      <c r="I750" s="267"/>
      <c r="J750" s="279"/>
      <c r="K750" s="279"/>
      <c r="L750" s="279"/>
      <c r="M750" s="279"/>
      <c r="N750" s="280"/>
    </row>
    <row r="751" spans="1:14" ht="16.5">
      <c r="A751" s="254">
        <v>745</v>
      </c>
      <c r="B751" s="276"/>
      <c r="C751" s="308"/>
      <c r="D751" s="278" t="s">
        <v>581</v>
      </c>
      <c r="E751" s="279"/>
      <c r="F751" s="265"/>
      <c r="G751" s="265"/>
      <c r="H751" s="266"/>
      <c r="I751" s="267">
        <f t="shared" si="14"/>
        <v>20</v>
      </c>
      <c r="J751" s="68"/>
      <c r="K751" s="68"/>
      <c r="L751" s="68">
        <v>20</v>
      </c>
      <c r="M751" s="68"/>
      <c r="N751" s="69"/>
    </row>
    <row r="752" spans="1:14" ht="17.25">
      <c r="A752" s="242">
        <v>746</v>
      </c>
      <c r="B752" s="268"/>
      <c r="C752" s="907"/>
      <c r="D752" s="270" t="s">
        <v>579</v>
      </c>
      <c r="E752" s="271"/>
      <c r="F752" s="272"/>
      <c r="G752" s="272"/>
      <c r="H752" s="273"/>
      <c r="I752" s="274">
        <f t="shared" si="14"/>
        <v>10</v>
      </c>
      <c r="J752" s="272"/>
      <c r="K752" s="272"/>
      <c r="L752" s="272">
        <v>10</v>
      </c>
      <c r="M752" s="272"/>
      <c r="N752" s="275"/>
    </row>
    <row r="753" spans="1:14" s="253" customFormat="1" ht="32.25" customHeight="1">
      <c r="A753" s="242">
        <v>747</v>
      </c>
      <c r="B753" s="276"/>
      <c r="C753" s="277">
        <v>186</v>
      </c>
      <c r="D753" s="309" t="s">
        <v>1275</v>
      </c>
      <c r="E753" s="279" t="s">
        <v>781</v>
      </c>
      <c r="F753" s="265"/>
      <c r="G753" s="265"/>
      <c r="H753" s="266"/>
      <c r="I753" s="267"/>
      <c r="J753" s="279"/>
      <c r="K753" s="279"/>
      <c r="L753" s="279"/>
      <c r="M753" s="279"/>
      <c r="N753" s="280"/>
    </row>
    <row r="754" spans="1:14" ht="16.5">
      <c r="A754" s="254">
        <v>748</v>
      </c>
      <c r="B754" s="276"/>
      <c r="C754" s="308"/>
      <c r="D754" s="278" t="s">
        <v>581</v>
      </c>
      <c r="E754" s="279"/>
      <c r="F754" s="265"/>
      <c r="G754" s="265"/>
      <c r="H754" s="266"/>
      <c r="I754" s="267">
        <f t="shared" si="14"/>
        <v>19</v>
      </c>
      <c r="J754" s="68"/>
      <c r="K754" s="68"/>
      <c r="L754" s="68">
        <v>19</v>
      </c>
      <c r="M754" s="68"/>
      <c r="N754" s="69"/>
    </row>
    <row r="755" spans="1:14" ht="17.25">
      <c r="A755" s="242">
        <v>749</v>
      </c>
      <c r="B755" s="268"/>
      <c r="C755" s="907"/>
      <c r="D755" s="270" t="s">
        <v>579</v>
      </c>
      <c r="E755" s="271"/>
      <c r="F755" s="272"/>
      <c r="G755" s="272"/>
      <c r="H755" s="273"/>
      <c r="I755" s="274">
        <f t="shared" si="14"/>
        <v>18</v>
      </c>
      <c r="J755" s="272"/>
      <c r="K755" s="272"/>
      <c r="L755" s="272">
        <v>18</v>
      </c>
      <c r="M755" s="272"/>
      <c r="N755" s="275"/>
    </row>
    <row r="756" spans="1:14" s="253" customFormat="1" ht="24" customHeight="1">
      <c r="A756" s="242">
        <v>750</v>
      </c>
      <c r="B756" s="276"/>
      <c r="C756" s="277">
        <v>187</v>
      </c>
      <c r="D756" s="309" t="s">
        <v>1276</v>
      </c>
      <c r="E756" s="279" t="s">
        <v>781</v>
      </c>
      <c r="F756" s="265"/>
      <c r="G756" s="265"/>
      <c r="H756" s="266"/>
      <c r="I756" s="267"/>
      <c r="J756" s="279"/>
      <c r="K756" s="279"/>
      <c r="L756" s="279"/>
      <c r="M756" s="279"/>
      <c r="N756" s="280"/>
    </row>
    <row r="757" spans="1:14" ht="16.5">
      <c r="A757" s="254">
        <v>751</v>
      </c>
      <c r="B757" s="276"/>
      <c r="C757" s="308"/>
      <c r="D757" s="278" t="s">
        <v>581</v>
      </c>
      <c r="E757" s="279"/>
      <c r="F757" s="265"/>
      <c r="G757" s="265"/>
      <c r="H757" s="266"/>
      <c r="I757" s="267">
        <f t="shared" si="14"/>
        <v>20</v>
      </c>
      <c r="J757" s="68"/>
      <c r="K757" s="68"/>
      <c r="L757" s="68">
        <v>20</v>
      </c>
      <c r="M757" s="68"/>
      <c r="N757" s="69"/>
    </row>
    <row r="758" spans="1:14" ht="17.25">
      <c r="A758" s="242">
        <v>752</v>
      </c>
      <c r="B758" s="268"/>
      <c r="C758" s="907"/>
      <c r="D758" s="270" t="s">
        <v>579</v>
      </c>
      <c r="E758" s="271"/>
      <c r="F758" s="272"/>
      <c r="G758" s="272"/>
      <c r="H758" s="273"/>
      <c r="I758" s="274">
        <f t="shared" si="14"/>
        <v>20</v>
      </c>
      <c r="J758" s="272"/>
      <c r="K758" s="272"/>
      <c r="L758" s="272">
        <v>20</v>
      </c>
      <c r="M758" s="272"/>
      <c r="N758" s="275"/>
    </row>
    <row r="759" spans="1:14" s="253" customFormat="1" ht="33">
      <c r="A759" s="254">
        <v>753</v>
      </c>
      <c r="B759" s="276"/>
      <c r="C759" s="308">
        <v>188</v>
      </c>
      <c r="D759" s="309" t="s">
        <v>1277</v>
      </c>
      <c r="E759" s="279" t="s">
        <v>781</v>
      </c>
      <c r="F759" s="265"/>
      <c r="G759" s="265"/>
      <c r="H759" s="266"/>
      <c r="I759" s="267"/>
      <c r="J759" s="279"/>
      <c r="K759" s="279"/>
      <c r="L759" s="279"/>
      <c r="M759" s="279"/>
      <c r="N759" s="280"/>
    </row>
    <row r="760" spans="1:14" ht="16.5">
      <c r="A760" s="254">
        <v>754</v>
      </c>
      <c r="B760" s="276"/>
      <c r="C760" s="308"/>
      <c r="D760" s="278" t="s">
        <v>581</v>
      </c>
      <c r="E760" s="279"/>
      <c r="F760" s="265"/>
      <c r="G760" s="265"/>
      <c r="H760" s="266"/>
      <c r="I760" s="267">
        <f t="shared" si="14"/>
        <v>50</v>
      </c>
      <c r="J760" s="68"/>
      <c r="K760" s="68"/>
      <c r="L760" s="68">
        <v>50</v>
      </c>
      <c r="M760" s="68"/>
      <c r="N760" s="69"/>
    </row>
    <row r="761" spans="1:14" ht="17.25">
      <c r="A761" s="242">
        <v>755</v>
      </c>
      <c r="B761" s="268"/>
      <c r="C761" s="907"/>
      <c r="D761" s="270" t="s">
        <v>579</v>
      </c>
      <c r="E761" s="271"/>
      <c r="F761" s="272"/>
      <c r="G761" s="272"/>
      <c r="H761" s="273"/>
      <c r="I761" s="274">
        <f t="shared" si="14"/>
        <v>21</v>
      </c>
      <c r="J761" s="272"/>
      <c r="K761" s="272"/>
      <c r="L761" s="272">
        <v>21</v>
      </c>
      <c r="M761" s="272"/>
      <c r="N761" s="275"/>
    </row>
    <row r="762" spans="1:14" s="253" customFormat="1" ht="33">
      <c r="A762" s="254">
        <v>756</v>
      </c>
      <c r="B762" s="276"/>
      <c r="C762" s="308">
        <v>189</v>
      </c>
      <c r="D762" s="309" t="s">
        <v>1278</v>
      </c>
      <c r="E762" s="279" t="s">
        <v>781</v>
      </c>
      <c r="F762" s="265"/>
      <c r="G762" s="265"/>
      <c r="H762" s="266"/>
      <c r="I762" s="267"/>
      <c r="J762" s="279"/>
      <c r="K762" s="279"/>
      <c r="L762" s="279"/>
      <c r="M762" s="279"/>
      <c r="N762" s="280"/>
    </row>
    <row r="763" spans="1:14" ht="16.5">
      <c r="A763" s="254">
        <v>757</v>
      </c>
      <c r="B763" s="276"/>
      <c r="C763" s="308"/>
      <c r="D763" s="278" t="s">
        <v>581</v>
      </c>
      <c r="E763" s="279"/>
      <c r="F763" s="265"/>
      <c r="G763" s="265"/>
      <c r="H763" s="266"/>
      <c r="I763" s="267">
        <f t="shared" si="14"/>
        <v>80</v>
      </c>
      <c r="J763" s="68"/>
      <c r="K763" s="68"/>
      <c r="L763" s="68">
        <v>80</v>
      </c>
      <c r="M763" s="68"/>
      <c r="N763" s="69"/>
    </row>
    <row r="764" spans="1:14" ht="17.25">
      <c r="A764" s="242">
        <v>758</v>
      </c>
      <c r="B764" s="268"/>
      <c r="C764" s="907"/>
      <c r="D764" s="270" t="s">
        <v>579</v>
      </c>
      <c r="E764" s="271"/>
      <c r="F764" s="272"/>
      <c r="G764" s="272"/>
      <c r="H764" s="273"/>
      <c r="I764" s="274">
        <f t="shared" si="14"/>
        <v>0</v>
      </c>
      <c r="J764" s="272"/>
      <c r="K764" s="272"/>
      <c r="L764" s="272"/>
      <c r="M764" s="272"/>
      <c r="N764" s="275"/>
    </row>
    <row r="765" spans="1:14" s="253" customFormat="1" ht="33">
      <c r="A765" s="254">
        <v>759</v>
      </c>
      <c r="B765" s="276"/>
      <c r="C765" s="308">
        <v>190</v>
      </c>
      <c r="D765" s="309" t="s">
        <v>1279</v>
      </c>
      <c r="E765" s="279" t="s">
        <v>781</v>
      </c>
      <c r="F765" s="265"/>
      <c r="G765" s="265"/>
      <c r="H765" s="266"/>
      <c r="I765" s="267"/>
      <c r="J765" s="279"/>
      <c r="K765" s="279"/>
      <c r="L765" s="279"/>
      <c r="M765" s="279"/>
      <c r="N765" s="280"/>
    </row>
    <row r="766" spans="1:14" ht="16.5">
      <c r="A766" s="254">
        <v>760</v>
      </c>
      <c r="B766" s="276"/>
      <c r="C766" s="308"/>
      <c r="D766" s="278" t="s">
        <v>581</v>
      </c>
      <c r="E766" s="279"/>
      <c r="F766" s="265"/>
      <c r="G766" s="265"/>
      <c r="H766" s="266"/>
      <c r="I766" s="267">
        <f t="shared" si="14"/>
        <v>0</v>
      </c>
      <c r="J766" s="68"/>
      <c r="K766" s="68"/>
      <c r="L766" s="68">
        <v>0</v>
      </c>
      <c r="M766" s="68"/>
      <c r="N766" s="69"/>
    </row>
    <row r="767" spans="1:14" ht="17.25">
      <c r="A767" s="242">
        <v>761</v>
      </c>
      <c r="B767" s="268"/>
      <c r="C767" s="907"/>
      <c r="D767" s="270" t="s">
        <v>579</v>
      </c>
      <c r="E767" s="271"/>
      <c r="F767" s="272"/>
      <c r="G767" s="272"/>
      <c r="H767" s="273"/>
      <c r="I767" s="274">
        <f t="shared" si="14"/>
        <v>0</v>
      </c>
      <c r="J767" s="272"/>
      <c r="K767" s="272"/>
      <c r="L767" s="272"/>
      <c r="M767" s="272"/>
      <c r="N767" s="275"/>
    </row>
    <row r="768" spans="1:14" s="253" customFormat="1" ht="24" customHeight="1">
      <c r="A768" s="242">
        <v>762</v>
      </c>
      <c r="B768" s="276"/>
      <c r="C768" s="277">
        <v>191</v>
      </c>
      <c r="D768" s="309" t="s">
        <v>1280</v>
      </c>
      <c r="E768" s="279" t="s">
        <v>781</v>
      </c>
      <c r="F768" s="265"/>
      <c r="G768" s="265"/>
      <c r="H768" s="266"/>
      <c r="I768" s="267"/>
      <c r="J768" s="279"/>
      <c r="K768" s="279"/>
      <c r="L768" s="279"/>
      <c r="M768" s="279"/>
      <c r="N768" s="280"/>
    </row>
    <row r="769" spans="1:14" ht="16.5">
      <c r="A769" s="254">
        <v>763</v>
      </c>
      <c r="B769" s="276"/>
      <c r="C769" s="308"/>
      <c r="D769" s="278" t="s">
        <v>581</v>
      </c>
      <c r="E769" s="279"/>
      <c r="F769" s="265"/>
      <c r="G769" s="265"/>
      <c r="H769" s="266"/>
      <c r="I769" s="267">
        <f t="shared" si="14"/>
        <v>80</v>
      </c>
      <c r="J769" s="68"/>
      <c r="K769" s="68"/>
      <c r="L769" s="68">
        <v>80</v>
      </c>
      <c r="M769" s="68"/>
      <c r="N769" s="69"/>
    </row>
    <row r="770" spans="1:14" ht="17.25">
      <c r="A770" s="242">
        <v>764</v>
      </c>
      <c r="B770" s="268"/>
      <c r="C770" s="907"/>
      <c r="D770" s="270" t="s">
        <v>579</v>
      </c>
      <c r="E770" s="271"/>
      <c r="F770" s="272"/>
      <c r="G770" s="272"/>
      <c r="H770" s="273"/>
      <c r="I770" s="274">
        <f t="shared" si="14"/>
        <v>80</v>
      </c>
      <c r="J770" s="272"/>
      <c r="K770" s="272"/>
      <c r="L770" s="272">
        <v>80</v>
      </c>
      <c r="M770" s="272"/>
      <c r="N770" s="275"/>
    </row>
    <row r="771" spans="1:14" s="253" customFormat="1" ht="33">
      <c r="A771" s="254">
        <v>765</v>
      </c>
      <c r="B771" s="276"/>
      <c r="C771" s="308">
        <v>192</v>
      </c>
      <c r="D771" s="309" t="s">
        <v>1281</v>
      </c>
      <c r="E771" s="279" t="s">
        <v>781</v>
      </c>
      <c r="F771" s="265"/>
      <c r="G771" s="265"/>
      <c r="H771" s="266"/>
      <c r="I771" s="267"/>
      <c r="J771" s="279"/>
      <c r="K771" s="279"/>
      <c r="L771" s="279"/>
      <c r="M771" s="279"/>
      <c r="N771" s="280"/>
    </row>
    <row r="772" spans="1:14" ht="16.5">
      <c r="A772" s="254">
        <v>766</v>
      </c>
      <c r="B772" s="276"/>
      <c r="C772" s="308"/>
      <c r="D772" s="278" t="s">
        <v>581</v>
      </c>
      <c r="E772" s="279"/>
      <c r="F772" s="265"/>
      <c r="G772" s="265"/>
      <c r="H772" s="266"/>
      <c r="I772" s="267">
        <f t="shared" si="14"/>
        <v>160</v>
      </c>
      <c r="J772" s="68"/>
      <c r="K772" s="68"/>
      <c r="L772" s="68">
        <v>160</v>
      </c>
      <c r="M772" s="68"/>
      <c r="N772" s="69"/>
    </row>
    <row r="773" spans="1:14" ht="17.25">
      <c r="A773" s="242">
        <v>767</v>
      </c>
      <c r="B773" s="268"/>
      <c r="C773" s="907"/>
      <c r="D773" s="270" t="s">
        <v>579</v>
      </c>
      <c r="E773" s="271"/>
      <c r="F773" s="272"/>
      <c r="G773" s="272"/>
      <c r="H773" s="273"/>
      <c r="I773" s="274">
        <f t="shared" si="14"/>
        <v>0</v>
      </c>
      <c r="J773" s="272"/>
      <c r="K773" s="272"/>
      <c r="L773" s="272"/>
      <c r="M773" s="272"/>
      <c r="N773" s="275"/>
    </row>
    <row r="774" spans="1:14" s="253" customFormat="1" ht="24" customHeight="1">
      <c r="A774" s="242">
        <v>768</v>
      </c>
      <c r="B774" s="276"/>
      <c r="C774" s="277">
        <v>193</v>
      </c>
      <c r="D774" s="309" t="s">
        <v>1282</v>
      </c>
      <c r="E774" s="279" t="s">
        <v>781</v>
      </c>
      <c r="F774" s="265"/>
      <c r="G774" s="265"/>
      <c r="H774" s="266"/>
      <c r="I774" s="267"/>
      <c r="J774" s="279"/>
      <c r="K774" s="279"/>
      <c r="L774" s="279"/>
      <c r="M774" s="279"/>
      <c r="N774" s="280"/>
    </row>
    <row r="775" spans="1:14" ht="16.5">
      <c r="A775" s="254">
        <v>769</v>
      </c>
      <c r="B775" s="276"/>
      <c r="C775" s="308"/>
      <c r="D775" s="278" t="s">
        <v>581</v>
      </c>
      <c r="E775" s="279"/>
      <c r="F775" s="265"/>
      <c r="G775" s="265"/>
      <c r="H775" s="266"/>
      <c r="I775" s="267">
        <f t="shared" si="14"/>
        <v>10</v>
      </c>
      <c r="J775" s="68"/>
      <c r="K775" s="68"/>
      <c r="L775" s="68">
        <v>10</v>
      </c>
      <c r="M775" s="68"/>
      <c r="N775" s="69"/>
    </row>
    <row r="776" spans="1:14" ht="17.25">
      <c r="A776" s="242">
        <v>770</v>
      </c>
      <c r="B776" s="268"/>
      <c r="C776" s="907"/>
      <c r="D776" s="270" t="s">
        <v>579</v>
      </c>
      <c r="E776" s="271"/>
      <c r="F776" s="272"/>
      <c r="G776" s="272"/>
      <c r="H776" s="273"/>
      <c r="I776" s="274">
        <f t="shared" si="14"/>
        <v>10</v>
      </c>
      <c r="J776" s="272"/>
      <c r="K776" s="272"/>
      <c r="L776" s="272">
        <v>10</v>
      </c>
      <c r="M776" s="272"/>
      <c r="N776" s="275"/>
    </row>
    <row r="777" spans="1:14" s="253" customFormat="1" ht="19.5" customHeight="1">
      <c r="A777" s="242">
        <v>771</v>
      </c>
      <c r="B777" s="276"/>
      <c r="C777" s="277">
        <v>194</v>
      </c>
      <c r="D777" s="309" t="s">
        <v>1283</v>
      </c>
      <c r="E777" s="279" t="s">
        <v>781</v>
      </c>
      <c r="F777" s="265"/>
      <c r="G777" s="265"/>
      <c r="H777" s="266"/>
      <c r="I777" s="267"/>
      <c r="J777" s="279"/>
      <c r="K777" s="279"/>
      <c r="L777" s="279"/>
      <c r="M777" s="279"/>
      <c r="N777" s="280"/>
    </row>
    <row r="778" spans="1:14" ht="16.5">
      <c r="A778" s="254">
        <v>772</v>
      </c>
      <c r="B778" s="276"/>
      <c r="C778" s="308"/>
      <c r="D778" s="278" t="s">
        <v>581</v>
      </c>
      <c r="E778" s="279"/>
      <c r="F778" s="265"/>
      <c r="G778" s="265"/>
      <c r="H778" s="266"/>
      <c r="I778" s="267">
        <f t="shared" si="14"/>
        <v>20</v>
      </c>
      <c r="J778" s="68"/>
      <c r="K778" s="68"/>
      <c r="L778" s="68">
        <v>20</v>
      </c>
      <c r="M778" s="68"/>
      <c r="N778" s="69"/>
    </row>
    <row r="779" spans="1:14" ht="17.25">
      <c r="A779" s="242">
        <v>773</v>
      </c>
      <c r="B779" s="268"/>
      <c r="C779" s="907"/>
      <c r="D779" s="270" t="s">
        <v>579</v>
      </c>
      <c r="E779" s="271"/>
      <c r="F779" s="272"/>
      <c r="G779" s="272"/>
      <c r="H779" s="273"/>
      <c r="I779" s="274">
        <f t="shared" si="14"/>
        <v>20</v>
      </c>
      <c r="J779" s="272"/>
      <c r="K779" s="272"/>
      <c r="L779" s="272">
        <v>20</v>
      </c>
      <c r="M779" s="272"/>
      <c r="N779" s="275"/>
    </row>
    <row r="780" spans="1:14" s="253" customFormat="1" ht="33">
      <c r="A780" s="254">
        <v>774</v>
      </c>
      <c r="B780" s="276"/>
      <c r="C780" s="308">
        <v>195</v>
      </c>
      <c r="D780" s="309" t="s">
        <v>1284</v>
      </c>
      <c r="E780" s="279" t="s">
        <v>781</v>
      </c>
      <c r="F780" s="265"/>
      <c r="G780" s="265"/>
      <c r="H780" s="266"/>
      <c r="I780" s="267"/>
      <c r="J780" s="279"/>
      <c r="K780" s="279"/>
      <c r="L780" s="279"/>
      <c r="M780" s="279"/>
      <c r="N780" s="280"/>
    </row>
    <row r="781" spans="1:14" ht="16.5">
      <c r="A781" s="254">
        <v>775</v>
      </c>
      <c r="B781" s="276"/>
      <c r="C781" s="308"/>
      <c r="D781" s="278" t="s">
        <v>581</v>
      </c>
      <c r="E781" s="279"/>
      <c r="F781" s="265"/>
      <c r="G781" s="265"/>
      <c r="H781" s="266"/>
      <c r="I781" s="267">
        <f t="shared" si="14"/>
        <v>160</v>
      </c>
      <c r="J781" s="68"/>
      <c r="K781" s="68"/>
      <c r="L781" s="68">
        <v>160</v>
      </c>
      <c r="M781" s="68"/>
      <c r="N781" s="69"/>
    </row>
    <row r="782" spans="1:14" ht="17.25">
      <c r="A782" s="242">
        <v>776</v>
      </c>
      <c r="B782" s="268"/>
      <c r="C782" s="907"/>
      <c r="D782" s="270" t="s">
        <v>579</v>
      </c>
      <c r="E782" s="271"/>
      <c r="F782" s="272"/>
      <c r="G782" s="272"/>
      <c r="H782" s="273"/>
      <c r="I782" s="274">
        <f aca="true" t="shared" si="15" ref="I782:I829">SUM(J782:N782)</f>
        <v>0</v>
      </c>
      <c r="J782" s="272"/>
      <c r="K782" s="272"/>
      <c r="L782" s="272"/>
      <c r="M782" s="272"/>
      <c r="N782" s="275"/>
    </row>
    <row r="783" spans="1:14" s="253" customFormat="1" ht="19.5" customHeight="1">
      <c r="A783" s="242">
        <v>777</v>
      </c>
      <c r="B783" s="276"/>
      <c r="C783" s="277">
        <v>196</v>
      </c>
      <c r="D783" s="309" t="s">
        <v>1285</v>
      </c>
      <c r="E783" s="279" t="s">
        <v>781</v>
      </c>
      <c r="F783" s="265"/>
      <c r="G783" s="265"/>
      <c r="H783" s="266"/>
      <c r="I783" s="267"/>
      <c r="J783" s="279"/>
      <c r="K783" s="279"/>
      <c r="L783" s="279"/>
      <c r="M783" s="279"/>
      <c r="N783" s="280"/>
    </row>
    <row r="784" spans="1:14" ht="16.5">
      <c r="A784" s="254">
        <v>778</v>
      </c>
      <c r="B784" s="276"/>
      <c r="C784" s="308"/>
      <c r="D784" s="278" t="s">
        <v>581</v>
      </c>
      <c r="E784" s="279"/>
      <c r="F784" s="265"/>
      <c r="G784" s="265"/>
      <c r="H784" s="266"/>
      <c r="I784" s="267">
        <f t="shared" si="15"/>
        <v>20</v>
      </c>
      <c r="J784" s="68"/>
      <c r="K784" s="68"/>
      <c r="L784" s="68">
        <v>20</v>
      </c>
      <c r="M784" s="68"/>
      <c r="N784" s="69"/>
    </row>
    <row r="785" spans="1:14" ht="17.25">
      <c r="A785" s="242">
        <v>779</v>
      </c>
      <c r="B785" s="268"/>
      <c r="C785" s="907"/>
      <c r="D785" s="270" t="s">
        <v>579</v>
      </c>
      <c r="E785" s="271"/>
      <c r="F785" s="272"/>
      <c r="G785" s="272"/>
      <c r="H785" s="273"/>
      <c r="I785" s="274">
        <f t="shared" si="15"/>
        <v>10</v>
      </c>
      <c r="J785" s="272"/>
      <c r="K785" s="272"/>
      <c r="L785" s="272">
        <v>10</v>
      </c>
      <c r="M785" s="272"/>
      <c r="N785" s="275"/>
    </row>
    <row r="786" spans="1:14" s="253" customFormat="1" ht="33">
      <c r="A786" s="254">
        <v>780</v>
      </c>
      <c r="B786" s="276"/>
      <c r="C786" s="308">
        <v>197</v>
      </c>
      <c r="D786" s="309" t="s">
        <v>1286</v>
      </c>
      <c r="E786" s="279" t="s">
        <v>781</v>
      </c>
      <c r="F786" s="265"/>
      <c r="G786" s="265"/>
      <c r="H786" s="266"/>
      <c r="I786" s="267"/>
      <c r="J786" s="279"/>
      <c r="K786" s="279"/>
      <c r="L786" s="279"/>
      <c r="M786" s="279"/>
      <c r="N786" s="280"/>
    </row>
    <row r="787" spans="1:14" ht="16.5">
      <c r="A787" s="254">
        <v>781</v>
      </c>
      <c r="B787" s="276"/>
      <c r="C787" s="308"/>
      <c r="D787" s="278" t="s">
        <v>581</v>
      </c>
      <c r="E787" s="279"/>
      <c r="F787" s="265"/>
      <c r="G787" s="265"/>
      <c r="H787" s="266"/>
      <c r="I787" s="267">
        <f t="shared" si="15"/>
        <v>60</v>
      </c>
      <c r="J787" s="68"/>
      <c r="K787" s="68"/>
      <c r="L787" s="68">
        <v>60</v>
      </c>
      <c r="M787" s="68"/>
      <c r="N787" s="69"/>
    </row>
    <row r="788" spans="1:14" ht="17.25">
      <c r="A788" s="242">
        <v>782</v>
      </c>
      <c r="B788" s="268"/>
      <c r="C788" s="907"/>
      <c r="D788" s="270" t="s">
        <v>579</v>
      </c>
      <c r="E788" s="271"/>
      <c r="F788" s="272"/>
      <c r="G788" s="272"/>
      <c r="H788" s="273"/>
      <c r="I788" s="274">
        <f t="shared" si="15"/>
        <v>58</v>
      </c>
      <c r="J788" s="272"/>
      <c r="K788" s="272"/>
      <c r="L788" s="272">
        <v>58</v>
      </c>
      <c r="M788" s="272"/>
      <c r="N788" s="275"/>
    </row>
    <row r="789" spans="1:14" s="253" customFormat="1" ht="19.5" customHeight="1">
      <c r="A789" s="242">
        <v>783</v>
      </c>
      <c r="B789" s="276"/>
      <c r="C789" s="277">
        <v>198</v>
      </c>
      <c r="D789" s="309" t="s">
        <v>1287</v>
      </c>
      <c r="E789" s="279" t="s">
        <v>781</v>
      </c>
      <c r="F789" s="265"/>
      <c r="G789" s="265"/>
      <c r="H789" s="266"/>
      <c r="I789" s="267"/>
      <c r="J789" s="279"/>
      <c r="K789" s="279"/>
      <c r="L789" s="279"/>
      <c r="M789" s="279"/>
      <c r="N789" s="280"/>
    </row>
    <row r="790" spans="1:14" ht="16.5">
      <c r="A790" s="254">
        <v>784</v>
      </c>
      <c r="B790" s="276"/>
      <c r="C790" s="308"/>
      <c r="D790" s="278" t="s">
        <v>581</v>
      </c>
      <c r="E790" s="279"/>
      <c r="F790" s="265"/>
      <c r="G790" s="265"/>
      <c r="H790" s="266"/>
      <c r="I790" s="267">
        <f t="shared" si="15"/>
        <v>38</v>
      </c>
      <c r="J790" s="68"/>
      <c r="K790" s="68"/>
      <c r="L790" s="68">
        <v>38</v>
      </c>
      <c r="M790" s="68"/>
      <c r="N790" s="69"/>
    </row>
    <row r="791" spans="1:14" ht="17.25">
      <c r="A791" s="242">
        <v>785</v>
      </c>
      <c r="B791" s="268"/>
      <c r="C791" s="907"/>
      <c r="D791" s="270" t="s">
        <v>579</v>
      </c>
      <c r="E791" s="271"/>
      <c r="F791" s="272"/>
      <c r="G791" s="272"/>
      <c r="H791" s="273"/>
      <c r="I791" s="274">
        <f t="shared" si="15"/>
        <v>38</v>
      </c>
      <c r="J791" s="272"/>
      <c r="K791" s="272"/>
      <c r="L791" s="272">
        <v>38</v>
      </c>
      <c r="M791" s="272"/>
      <c r="N791" s="275"/>
    </row>
    <row r="792" spans="1:14" s="253" customFormat="1" ht="19.5" customHeight="1">
      <c r="A792" s="242">
        <v>786</v>
      </c>
      <c r="B792" s="276"/>
      <c r="C792" s="277">
        <v>199</v>
      </c>
      <c r="D792" s="309" t="s">
        <v>1288</v>
      </c>
      <c r="E792" s="279" t="s">
        <v>781</v>
      </c>
      <c r="F792" s="265"/>
      <c r="G792" s="265"/>
      <c r="H792" s="266"/>
      <c r="I792" s="267"/>
      <c r="J792" s="279"/>
      <c r="K792" s="279"/>
      <c r="L792" s="279"/>
      <c r="M792" s="279"/>
      <c r="N792" s="280"/>
    </row>
    <row r="793" spans="1:14" ht="16.5">
      <c r="A793" s="254">
        <v>787</v>
      </c>
      <c r="B793" s="276"/>
      <c r="C793" s="308"/>
      <c r="D793" s="278" t="s">
        <v>581</v>
      </c>
      <c r="E793" s="279"/>
      <c r="F793" s="265"/>
      <c r="G793" s="265"/>
      <c r="H793" s="266"/>
      <c r="I793" s="267">
        <f t="shared" si="15"/>
        <v>20</v>
      </c>
      <c r="J793" s="68"/>
      <c r="K793" s="68"/>
      <c r="L793" s="68">
        <v>20</v>
      </c>
      <c r="M793" s="68"/>
      <c r="N793" s="69"/>
    </row>
    <row r="794" spans="1:14" ht="17.25">
      <c r="A794" s="242">
        <v>788</v>
      </c>
      <c r="B794" s="268"/>
      <c r="C794" s="907"/>
      <c r="D794" s="270" t="s">
        <v>579</v>
      </c>
      <c r="E794" s="271"/>
      <c r="F794" s="272"/>
      <c r="G794" s="272"/>
      <c r="H794" s="273"/>
      <c r="I794" s="274">
        <f t="shared" si="15"/>
        <v>20</v>
      </c>
      <c r="J794" s="272"/>
      <c r="K794" s="272"/>
      <c r="L794" s="272">
        <v>20</v>
      </c>
      <c r="M794" s="272"/>
      <c r="N794" s="275"/>
    </row>
    <row r="795" spans="1:14" s="253" customFormat="1" ht="33">
      <c r="A795" s="254">
        <v>789</v>
      </c>
      <c r="B795" s="276"/>
      <c r="C795" s="308">
        <v>200</v>
      </c>
      <c r="D795" s="309" t="s">
        <v>1289</v>
      </c>
      <c r="E795" s="279" t="s">
        <v>781</v>
      </c>
      <c r="F795" s="265"/>
      <c r="G795" s="265"/>
      <c r="H795" s="266"/>
      <c r="I795" s="267"/>
      <c r="J795" s="279"/>
      <c r="K795" s="279"/>
      <c r="L795" s="279"/>
      <c r="M795" s="279"/>
      <c r="N795" s="280"/>
    </row>
    <row r="796" spans="1:14" ht="16.5">
      <c r="A796" s="254">
        <v>790</v>
      </c>
      <c r="B796" s="276"/>
      <c r="C796" s="308"/>
      <c r="D796" s="278" t="s">
        <v>581</v>
      </c>
      <c r="E796" s="279"/>
      <c r="F796" s="265"/>
      <c r="G796" s="265"/>
      <c r="H796" s="266"/>
      <c r="I796" s="267">
        <f t="shared" si="15"/>
        <v>77</v>
      </c>
      <c r="J796" s="68"/>
      <c r="K796" s="68"/>
      <c r="L796" s="68">
        <v>77</v>
      </c>
      <c r="M796" s="68"/>
      <c r="N796" s="69"/>
    </row>
    <row r="797" spans="1:14" ht="17.25">
      <c r="A797" s="242">
        <v>791</v>
      </c>
      <c r="B797" s="268"/>
      <c r="C797" s="907"/>
      <c r="D797" s="270" t="s">
        <v>579</v>
      </c>
      <c r="E797" s="271"/>
      <c r="F797" s="272"/>
      <c r="G797" s="272"/>
      <c r="H797" s="273"/>
      <c r="I797" s="274">
        <f t="shared" si="15"/>
        <v>0</v>
      </c>
      <c r="J797" s="272"/>
      <c r="K797" s="272"/>
      <c r="L797" s="272"/>
      <c r="M797" s="272"/>
      <c r="N797" s="275"/>
    </row>
    <row r="798" spans="1:14" s="253" customFormat="1" ht="19.5" customHeight="1">
      <c r="A798" s="242">
        <v>792</v>
      </c>
      <c r="B798" s="276"/>
      <c r="C798" s="277">
        <v>201</v>
      </c>
      <c r="D798" s="309" t="s">
        <v>1290</v>
      </c>
      <c r="E798" s="279" t="s">
        <v>781</v>
      </c>
      <c r="F798" s="265"/>
      <c r="G798" s="265"/>
      <c r="H798" s="266"/>
      <c r="I798" s="267"/>
      <c r="J798" s="279"/>
      <c r="K798" s="279"/>
      <c r="L798" s="279"/>
      <c r="M798" s="279"/>
      <c r="N798" s="280"/>
    </row>
    <row r="799" spans="1:14" ht="16.5">
      <c r="A799" s="254">
        <v>793</v>
      </c>
      <c r="B799" s="276"/>
      <c r="C799" s="308"/>
      <c r="D799" s="278" t="s">
        <v>581</v>
      </c>
      <c r="E799" s="279"/>
      <c r="F799" s="265"/>
      <c r="G799" s="265"/>
      <c r="H799" s="266"/>
      <c r="I799" s="267">
        <f t="shared" si="15"/>
        <v>26</v>
      </c>
      <c r="J799" s="68"/>
      <c r="K799" s="68"/>
      <c r="L799" s="68">
        <v>26</v>
      </c>
      <c r="M799" s="68"/>
      <c r="N799" s="69"/>
    </row>
    <row r="800" spans="1:14" ht="17.25">
      <c r="A800" s="242">
        <v>794</v>
      </c>
      <c r="B800" s="268"/>
      <c r="C800" s="907"/>
      <c r="D800" s="270" t="s">
        <v>579</v>
      </c>
      <c r="E800" s="271"/>
      <c r="F800" s="272"/>
      <c r="G800" s="272"/>
      <c r="H800" s="273"/>
      <c r="I800" s="274">
        <f t="shared" si="15"/>
        <v>8</v>
      </c>
      <c r="J800" s="272"/>
      <c r="K800" s="272"/>
      <c r="L800" s="272">
        <v>8</v>
      </c>
      <c r="M800" s="272"/>
      <c r="N800" s="275"/>
    </row>
    <row r="801" spans="1:14" s="253" customFormat="1" ht="33">
      <c r="A801" s="254">
        <v>795</v>
      </c>
      <c r="B801" s="276"/>
      <c r="C801" s="308">
        <v>202</v>
      </c>
      <c r="D801" s="309" t="s">
        <v>1291</v>
      </c>
      <c r="E801" s="279" t="s">
        <v>781</v>
      </c>
      <c r="F801" s="265"/>
      <c r="G801" s="265"/>
      <c r="H801" s="266"/>
      <c r="I801" s="267"/>
      <c r="J801" s="279"/>
      <c r="K801" s="279"/>
      <c r="L801" s="279"/>
      <c r="M801" s="279"/>
      <c r="N801" s="280"/>
    </row>
    <row r="802" spans="1:14" ht="16.5">
      <c r="A802" s="254">
        <v>796</v>
      </c>
      <c r="B802" s="276"/>
      <c r="C802" s="308"/>
      <c r="D802" s="278" t="s">
        <v>581</v>
      </c>
      <c r="E802" s="279"/>
      <c r="F802" s="265"/>
      <c r="G802" s="265"/>
      <c r="H802" s="266"/>
      <c r="I802" s="267">
        <f t="shared" si="15"/>
        <v>80</v>
      </c>
      <c r="J802" s="68"/>
      <c r="K802" s="68"/>
      <c r="L802" s="68">
        <v>80</v>
      </c>
      <c r="M802" s="68"/>
      <c r="N802" s="69"/>
    </row>
    <row r="803" spans="1:14" ht="17.25">
      <c r="A803" s="242">
        <v>797</v>
      </c>
      <c r="B803" s="268"/>
      <c r="C803" s="907"/>
      <c r="D803" s="270" t="s">
        <v>579</v>
      </c>
      <c r="E803" s="271"/>
      <c r="F803" s="272"/>
      <c r="G803" s="272"/>
      <c r="H803" s="273"/>
      <c r="I803" s="274">
        <f t="shared" si="15"/>
        <v>80</v>
      </c>
      <c r="J803" s="272"/>
      <c r="K803" s="272"/>
      <c r="L803" s="272">
        <v>80</v>
      </c>
      <c r="M803" s="272"/>
      <c r="N803" s="275"/>
    </row>
    <row r="804" spans="1:14" s="253" customFormat="1" ht="33">
      <c r="A804" s="254">
        <v>798</v>
      </c>
      <c r="B804" s="276"/>
      <c r="C804" s="308">
        <v>203</v>
      </c>
      <c r="D804" s="309" t="s">
        <v>1292</v>
      </c>
      <c r="E804" s="279" t="s">
        <v>781</v>
      </c>
      <c r="F804" s="265"/>
      <c r="G804" s="265"/>
      <c r="H804" s="266"/>
      <c r="I804" s="267"/>
      <c r="J804" s="279"/>
      <c r="K804" s="279"/>
      <c r="L804" s="279"/>
      <c r="M804" s="279"/>
      <c r="N804" s="280"/>
    </row>
    <row r="805" spans="1:14" ht="16.5">
      <c r="A805" s="254">
        <v>799</v>
      </c>
      <c r="B805" s="276"/>
      <c r="C805" s="308"/>
      <c r="D805" s="278" t="s">
        <v>581</v>
      </c>
      <c r="E805" s="279"/>
      <c r="F805" s="265"/>
      <c r="G805" s="265"/>
      <c r="H805" s="266"/>
      <c r="I805" s="267">
        <f t="shared" si="15"/>
        <v>46</v>
      </c>
      <c r="J805" s="68"/>
      <c r="K805" s="68"/>
      <c r="L805" s="68">
        <v>46</v>
      </c>
      <c r="M805" s="68"/>
      <c r="N805" s="69"/>
    </row>
    <row r="806" spans="1:14" ht="17.25">
      <c r="A806" s="242">
        <v>800</v>
      </c>
      <c r="B806" s="268"/>
      <c r="C806" s="907"/>
      <c r="D806" s="270" t="s">
        <v>579</v>
      </c>
      <c r="E806" s="271"/>
      <c r="F806" s="272"/>
      <c r="G806" s="272"/>
      <c r="H806" s="273"/>
      <c r="I806" s="274">
        <f t="shared" si="15"/>
        <v>0</v>
      </c>
      <c r="J806" s="272"/>
      <c r="K806" s="272"/>
      <c r="L806" s="272"/>
      <c r="M806" s="272"/>
      <c r="N806" s="275"/>
    </row>
    <row r="807" spans="1:14" s="253" customFormat="1" ht="33">
      <c r="A807" s="254">
        <v>801</v>
      </c>
      <c r="B807" s="276"/>
      <c r="C807" s="308">
        <v>204</v>
      </c>
      <c r="D807" s="309" t="s">
        <v>1293</v>
      </c>
      <c r="E807" s="279" t="s">
        <v>781</v>
      </c>
      <c r="F807" s="265"/>
      <c r="G807" s="265"/>
      <c r="H807" s="266"/>
      <c r="I807" s="267"/>
      <c r="J807" s="279"/>
      <c r="K807" s="279"/>
      <c r="L807" s="279"/>
      <c r="M807" s="279"/>
      <c r="N807" s="280"/>
    </row>
    <row r="808" spans="1:14" ht="16.5">
      <c r="A808" s="254">
        <v>802</v>
      </c>
      <c r="B808" s="276"/>
      <c r="C808" s="308"/>
      <c r="D808" s="278" t="s">
        <v>581</v>
      </c>
      <c r="E808" s="279"/>
      <c r="F808" s="265"/>
      <c r="G808" s="265"/>
      <c r="H808" s="266"/>
      <c r="I808" s="267">
        <f t="shared" si="15"/>
        <v>500</v>
      </c>
      <c r="J808" s="68"/>
      <c r="K808" s="68"/>
      <c r="L808" s="68">
        <v>500</v>
      </c>
      <c r="M808" s="68"/>
      <c r="N808" s="69"/>
    </row>
    <row r="809" spans="1:14" ht="17.25">
      <c r="A809" s="242">
        <v>803</v>
      </c>
      <c r="B809" s="268"/>
      <c r="C809" s="907"/>
      <c r="D809" s="270" t="s">
        <v>579</v>
      </c>
      <c r="E809" s="271"/>
      <c r="F809" s="272"/>
      <c r="G809" s="272"/>
      <c r="H809" s="273"/>
      <c r="I809" s="274">
        <f t="shared" si="15"/>
        <v>0</v>
      </c>
      <c r="J809" s="272"/>
      <c r="K809" s="272"/>
      <c r="L809" s="272"/>
      <c r="M809" s="272"/>
      <c r="N809" s="275"/>
    </row>
    <row r="810" spans="1:14" s="253" customFormat="1" ht="33">
      <c r="A810" s="254">
        <v>804</v>
      </c>
      <c r="B810" s="276"/>
      <c r="C810" s="308">
        <v>205</v>
      </c>
      <c r="D810" s="309" t="s">
        <v>1294</v>
      </c>
      <c r="E810" s="279" t="s">
        <v>781</v>
      </c>
      <c r="F810" s="265"/>
      <c r="G810" s="265"/>
      <c r="H810" s="266"/>
      <c r="I810" s="267"/>
      <c r="J810" s="279"/>
      <c r="K810" s="279"/>
      <c r="L810" s="279"/>
      <c r="M810" s="279"/>
      <c r="N810" s="280"/>
    </row>
    <row r="811" spans="1:14" ht="16.5">
      <c r="A811" s="254">
        <v>805</v>
      </c>
      <c r="B811" s="276"/>
      <c r="C811" s="308"/>
      <c r="D811" s="278" t="s">
        <v>581</v>
      </c>
      <c r="E811" s="279"/>
      <c r="F811" s="265"/>
      <c r="G811" s="265"/>
      <c r="H811" s="266"/>
      <c r="I811" s="267">
        <f t="shared" si="15"/>
        <v>16</v>
      </c>
      <c r="J811" s="68"/>
      <c r="K811" s="68"/>
      <c r="L811" s="68">
        <v>16</v>
      </c>
      <c r="M811" s="68"/>
      <c r="N811" s="69"/>
    </row>
    <row r="812" spans="1:14" ht="17.25">
      <c r="A812" s="242">
        <v>806</v>
      </c>
      <c r="B812" s="268"/>
      <c r="C812" s="907"/>
      <c r="D812" s="270" t="s">
        <v>579</v>
      </c>
      <c r="E812" s="271"/>
      <c r="F812" s="272"/>
      <c r="G812" s="272"/>
      <c r="H812" s="273"/>
      <c r="I812" s="274">
        <f t="shared" si="15"/>
        <v>15</v>
      </c>
      <c r="J812" s="272"/>
      <c r="K812" s="272"/>
      <c r="L812" s="272">
        <v>15</v>
      </c>
      <c r="M812" s="272"/>
      <c r="N812" s="275"/>
    </row>
    <row r="813" spans="1:14" s="253" customFormat="1" ht="33">
      <c r="A813" s="254">
        <v>807</v>
      </c>
      <c r="B813" s="276"/>
      <c r="C813" s="308">
        <v>206</v>
      </c>
      <c r="D813" s="309" t="s">
        <v>1295</v>
      </c>
      <c r="E813" s="279" t="s">
        <v>781</v>
      </c>
      <c r="F813" s="265"/>
      <c r="G813" s="265"/>
      <c r="H813" s="266"/>
      <c r="I813" s="267"/>
      <c r="J813" s="279"/>
      <c r="K813" s="279"/>
      <c r="L813" s="279"/>
      <c r="M813" s="279"/>
      <c r="N813" s="280"/>
    </row>
    <row r="814" spans="1:14" ht="16.5">
      <c r="A814" s="254">
        <v>808</v>
      </c>
      <c r="B814" s="276"/>
      <c r="C814" s="308"/>
      <c r="D814" s="278" t="s">
        <v>581</v>
      </c>
      <c r="E814" s="279"/>
      <c r="F814" s="265"/>
      <c r="G814" s="265"/>
      <c r="H814" s="266"/>
      <c r="I814" s="267">
        <f t="shared" si="15"/>
        <v>19</v>
      </c>
      <c r="J814" s="68"/>
      <c r="K814" s="68"/>
      <c r="L814" s="68">
        <v>19</v>
      </c>
      <c r="M814" s="68"/>
      <c r="N814" s="69"/>
    </row>
    <row r="815" spans="1:14" ht="17.25">
      <c r="A815" s="242">
        <v>809</v>
      </c>
      <c r="B815" s="268"/>
      <c r="C815" s="907"/>
      <c r="D815" s="270" t="s">
        <v>579</v>
      </c>
      <c r="E815" s="271"/>
      <c r="F815" s="272"/>
      <c r="G815" s="272"/>
      <c r="H815" s="273"/>
      <c r="I815" s="274">
        <f t="shared" si="15"/>
        <v>18</v>
      </c>
      <c r="J815" s="272"/>
      <c r="K815" s="272"/>
      <c r="L815" s="272">
        <v>18</v>
      </c>
      <c r="M815" s="272"/>
      <c r="N815" s="275"/>
    </row>
    <row r="816" spans="1:14" s="253" customFormat="1" ht="33">
      <c r="A816" s="254">
        <v>810</v>
      </c>
      <c r="B816" s="276"/>
      <c r="C816" s="308">
        <v>207</v>
      </c>
      <c r="D816" s="309" t="s">
        <v>1296</v>
      </c>
      <c r="E816" s="279" t="s">
        <v>781</v>
      </c>
      <c r="F816" s="265"/>
      <c r="G816" s="265"/>
      <c r="H816" s="266"/>
      <c r="I816" s="267"/>
      <c r="J816" s="279"/>
      <c r="K816" s="279"/>
      <c r="L816" s="279"/>
      <c r="M816" s="279"/>
      <c r="N816" s="280"/>
    </row>
    <row r="817" spans="1:14" ht="16.5">
      <c r="A817" s="254">
        <v>811</v>
      </c>
      <c r="B817" s="276"/>
      <c r="C817" s="308"/>
      <c r="D817" s="278" t="s">
        <v>581</v>
      </c>
      <c r="E817" s="279"/>
      <c r="F817" s="265"/>
      <c r="G817" s="265"/>
      <c r="H817" s="266"/>
      <c r="I817" s="267">
        <f t="shared" si="15"/>
        <v>16</v>
      </c>
      <c r="J817" s="68"/>
      <c r="K817" s="68"/>
      <c r="L817" s="68">
        <v>16</v>
      </c>
      <c r="M817" s="68"/>
      <c r="N817" s="69"/>
    </row>
    <row r="818" spans="1:14" ht="17.25">
      <c r="A818" s="242">
        <v>812</v>
      </c>
      <c r="B818" s="268"/>
      <c r="C818" s="907"/>
      <c r="D818" s="270" t="s">
        <v>579</v>
      </c>
      <c r="E818" s="271"/>
      <c r="F818" s="272"/>
      <c r="G818" s="272"/>
      <c r="H818" s="273"/>
      <c r="I818" s="274">
        <f t="shared" si="15"/>
        <v>15</v>
      </c>
      <c r="J818" s="272"/>
      <c r="K818" s="272"/>
      <c r="L818" s="272">
        <v>15</v>
      </c>
      <c r="M818" s="272"/>
      <c r="N818" s="275"/>
    </row>
    <row r="819" spans="1:14" s="253" customFormat="1" ht="33">
      <c r="A819" s="254">
        <v>813</v>
      </c>
      <c r="B819" s="276"/>
      <c r="C819" s="308">
        <v>208</v>
      </c>
      <c r="D819" s="309" t="s">
        <v>1297</v>
      </c>
      <c r="E819" s="279" t="s">
        <v>781</v>
      </c>
      <c r="F819" s="265"/>
      <c r="G819" s="265"/>
      <c r="H819" s="266"/>
      <c r="I819" s="267"/>
      <c r="J819" s="279"/>
      <c r="K819" s="279"/>
      <c r="L819" s="279"/>
      <c r="M819" s="279"/>
      <c r="N819" s="280"/>
    </row>
    <row r="820" spans="1:14" ht="16.5">
      <c r="A820" s="254">
        <v>814</v>
      </c>
      <c r="B820" s="276"/>
      <c r="C820" s="308"/>
      <c r="D820" s="278" t="s">
        <v>581</v>
      </c>
      <c r="E820" s="279"/>
      <c r="F820" s="265"/>
      <c r="G820" s="265"/>
      <c r="H820" s="266"/>
      <c r="I820" s="267">
        <f t="shared" si="15"/>
        <v>20</v>
      </c>
      <c r="J820" s="68"/>
      <c r="K820" s="68"/>
      <c r="L820" s="68">
        <v>20</v>
      </c>
      <c r="M820" s="68"/>
      <c r="N820" s="69"/>
    </row>
    <row r="821" spans="1:14" ht="17.25">
      <c r="A821" s="242">
        <v>815</v>
      </c>
      <c r="B821" s="268"/>
      <c r="C821" s="907"/>
      <c r="D821" s="270" t="s">
        <v>579</v>
      </c>
      <c r="E821" s="271"/>
      <c r="F821" s="272"/>
      <c r="G821" s="272"/>
      <c r="H821" s="273"/>
      <c r="I821" s="274">
        <f t="shared" si="15"/>
        <v>20</v>
      </c>
      <c r="J821" s="272"/>
      <c r="K821" s="272"/>
      <c r="L821" s="272">
        <v>20</v>
      </c>
      <c r="M821" s="272"/>
      <c r="N821" s="275"/>
    </row>
    <row r="822" spans="1:14" s="253" customFormat="1" ht="33">
      <c r="A822" s="254">
        <v>816</v>
      </c>
      <c r="B822" s="276"/>
      <c r="C822" s="308">
        <v>209</v>
      </c>
      <c r="D822" s="309" t="s">
        <v>1298</v>
      </c>
      <c r="E822" s="279" t="s">
        <v>781</v>
      </c>
      <c r="F822" s="265"/>
      <c r="G822" s="265"/>
      <c r="H822" s="266"/>
      <c r="I822" s="267"/>
      <c r="J822" s="279"/>
      <c r="K822" s="279"/>
      <c r="L822" s="279"/>
      <c r="M822" s="279"/>
      <c r="N822" s="280"/>
    </row>
    <row r="823" spans="1:14" ht="16.5">
      <c r="A823" s="254">
        <v>817</v>
      </c>
      <c r="B823" s="276"/>
      <c r="C823" s="308"/>
      <c r="D823" s="278" t="s">
        <v>581</v>
      </c>
      <c r="E823" s="279"/>
      <c r="F823" s="265"/>
      <c r="G823" s="265"/>
      <c r="H823" s="266"/>
      <c r="I823" s="267">
        <f t="shared" si="15"/>
        <v>20</v>
      </c>
      <c r="J823" s="68"/>
      <c r="K823" s="68"/>
      <c r="L823" s="68">
        <v>20</v>
      </c>
      <c r="M823" s="68"/>
      <c r="N823" s="69"/>
    </row>
    <row r="824" spans="1:14" ht="17.25">
      <c r="A824" s="242">
        <v>818</v>
      </c>
      <c r="B824" s="268"/>
      <c r="C824" s="907"/>
      <c r="D824" s="270" t="s">
        <v>579</v>
      </c>
      <c r="E824" s="271"/>
      <c r="F824" s="272"/>
      <c r="G824" s="272"/>
      <c r="H824" s="273"/>
      <c r="I824" s="274">
        <f t="shared" si="15"/>
        <v>20</v>
      </c>
      <c r="J824" s="272"/>
      <c r="K824" s="272"/>
      <c r="L824" s="272">
        <v>20</v>
      </c>
      <c r="M824" s="272"/>
      <c r="N824" s="275"/>
    </row>
    <row r="825" spans="1:14" s="253" customFormat="1" ht="19.5" customHeight="1">
      <c r="A825" s="242">
        <v>819</v>
      </c>
      <c r="B825" s="276"/>
      <c r="C825" s="277">
        <v>210</v>
      </c>
      <c r="D825" s="309" t="s">
        <v>1299</v>
      </c>
      <c r="E825" s="279" t="s">
        <v>781</v>
      </c>
      <c r="F825" s="265"/>
      <c r="G825" s="265"/>
      <c r="H825" s="266"/>
      <c r="I825" s="267"/>
      <c r="J825" s="279"/>
      <c r="K825" s="279"/>
      <c r="L825" s="279"/>
      <c r="M825" s="279"/>
      <c r="N825" s="280"/>
    </row>
    <row r="826" spans="1:14" ht="16.5">
      <c r="A826" s="254">
        <v>820</v>
      </c>
      <c r="B826" s="276"/>
      <c r="C826" s="308"/>
      <c r="D826" s="278" t="s">
        <v>581</v>
      </c>
      <c r="E826" s="279"/>
      <c r="F826" s="265"/>
      <c r="G826" s="265"/>
      <c r="H826" s="266"/>
      <c r="I826" s="267">
        <f t="shared" si="15"/>
        <v>11</v>
      </c>
      <c r="J826" s="68"/>
      <c r="K826" s="68"/>
      <c r="L826" s="68">
        <v>11</v>
      </c>
      <c r="M826" s="68"/>
      <c r="N826" s="69"/>
    </row>
    <row r="827" spans="1:14" ht="17.25">
      <c r="A827" s="242">
        <v>821</v>
      </c>
      <c r="B827" s="268"/>
      <c r="C827" s="907"/>
      <c r="D827" s="270" t="s">
        <v>579</v>
      </c>
      <c r="E827" s="271"/>
      <c r="F827" s="272"/>
      <c r="G827" s="272"/>
      <c r="H827" s="273"/>
      <c r="I827" s="274">
        <f t="shared" si="15"/>
        <v>10</v>
      </c>
      <c r="J827" s="272"/>
      <c r="K827" s="272"/>
      <c r="L827" s="272">
        <v>10</v>
      </c>
      <c r="M827" s="272"/>
      <c r="N827" s="275"/>
    </row>
    <row r="828" spans="1:14" s="253" customFormat="1" ht="33">
      <c r="A828" s="254">
        <v>822</v>
      </c>
      <c r="B828" s="276"/>
      <c r="C828" s="308">
        <v>211</v>
      </c>
      <c r="D828" s="309" t="s">
        <v>1300</v>
      </c>
      <c r="E828" s="279" t="s">
        <v>781</v>
      </c>
      <c r="F828" s="265"/>
      <c r="G828" s="265"/>
      <c r="H828" s="266"/>
      <c r="I828" s="267"/>
      <c r="J828" s="279"/>
      <c r="K828" s="279"/>
      <c r="L828" s="279"/>
      <c r="M828" s="279"/>
      <c r="N828" s="280"/>
    </row>
    <row r="829" spans="1:14" ht="16.5">
      <c r="A829" s="254">
        <v>823</v>
      </c>
      <c r="B829" s="276"/>
      <c r="C829" s="308"/>
      <c r="D829" s="278" t="s">
        <v>581</v>
      </c>
      <c r="E829" s="279"/>
      <c r="F829" s="265"/>
      <c r="G829" s="265"/>
      <c r="H829" s="266"/>
      <c r="I829" s="267">
        <f t="shared" si="15"/>
        <v>80</v>
      </c>
      <c r="J829" s="68"/>
      <c r="K829" s="68"/>
      <c r="L829" s="68">
        <v>80</v>
      </c>
      <c r="M829" s="68"/>
      <c r="N829" s="69"/>
    </row>
    <row r="830" spans="1:14" ht="17.25">
      <c r="A830" s="242">
        <v>824</v>
      </c>
      <c r="B830" s="268"/>
      <c r="C830" s="907"/>
      <c r="D830" s="270" t="s">
        <v>579</v>
      </c>
      <c r="E830" s="271"/>
      <c r="F830" s="272"/>
      <c r="G830" s="272"/>
      <c r="H830" s="273"/>
      <c r="I830" s="274">
        <f aca="true" t="shared" si="16" ref="I830:I851">SUM(J830:N830)</f>
        <v>80</v>
      </c>
      <c r="J830" s="272"/>
      <c r="K830" s="272"/>
      <c r="L830" s="272">
        <v>80</v>
      </c>
      <c r="M830" s="272"/>
      <c r="N830" s="275"/>
    </row>
    <row r="831" spans="1:14" s="253" customFormat="1" ht="33">
      <c r="A831" s="254">
        <v>825</v>
      </c>
      <c r="B831" s="276"/>
      <c r="C831" s="308">
        <v>212</v>
      </c>
      <c r="D831" s="309" t="s">
        <v>1301</v>
      </c>
      <c r="E831" s="279" t="s">
        <v>781</v>
      </c>
      <c r="F831" s="265"/>
      <c r="G831" s="265"/>
      <c r="H831" s="266"/>
      <c r="I831" s="267"/>
      <c r="J831" s="279"/>
      <c r="K831" s="279"/>
      <c r="L831" s="279"/>
      <c r="M831" s="279"/>
      <c r="N831" s="280"/>
    </row>
    <row r="832" spans="1:14" ht="16.5">
      <c r="A832" s="254">
        <v>826</v>
      </c>
      <c r="B832" s="276"/>
      <c r="C832" s="308"/>
      <c r="D832" s="278" t="s">
        <v>581</v>
      </c>
      <c r="E832" s="279"/>
      <c r="F832" s="265"/>
      <c r="G832" s="265"/>
      <c r="H832" s="266"/>
      <c r="I832" s="267">
        <f t="shared" si="16"/>
        <v>100</v>
      </c>
      <c r="J832" s="68"/>
      <c r="K832" s="68"/>
      <c r="L832" s="68">
        <v>100</v>
      </c>
      <c r="M832" s="68"/>
      <c r="N832" s="69"/>
    </row>
    <row r="833" spans="1:14" ht="17.25">
      <c r="A833" s="242">
        <v>827</v>
      </c>
      <c r="B833" s="268"/>
      <c r="C833" s="907"/>
      <c r="D833" s="270" t="s">
        <v>579</v>
      </c>
      <c r="E833" s="271"/>
      <c r="F833" s="272"/>
      <c r="G833" s="272"/>
      <c r="H833" s="273"/>
      <c r="I833" s="274">
        <f t="shared" si="16"/>
        <v>80</v>
      </c>
      <c r="J833" s="272"/>
      <c r="K833" s="272"/>
      <c r="L833" s="272">
        <v>80</v>
      </c>
      <c r="M833" s="272"/>
      <c r="N833" s="275"/>
    </row>
    <row r="834" spans="1:14" s="253" customFormat="1" ht="33">
      <c r="A834" s="254">
        <v>828</v>
      </c>
      <c r="B834" s="276"/>
      <c r="C834" s="308">
        <v>213</v>
      </c>
      <c r="D834" s="309" t="s">
        <v>1302</v>
      </c>
      <c r="E834" s="279" t="s">
        <v>781</v>
      </c>
      <c r="F834" s="265"/>
      <c r="G834" s="265"/>
      <c r="H834" s="266"/>
      <c r="I834" s="267"/>
      <c r="J834" s="279"/>
      <c r="K834" s="279"/>
      <c r="L834" s="279"/>
      <c r="M834" s="279"/>
      <c r="N834" s="280"/>
    </row>
    <row r="835" spans="1:14" ht="16.5">
      <c r="A835" s="254">
        <v>829</v>
      </c>
      <c r="B835" s="276"/>
      <c r="C835" s="308"/>
      <c r="D835" s="278" t="s">
        <v>1303</v>
      </c>
      <c r="E835" s="279"/>
      <c r="F835" s="265"/>
      <c r="G835" s="265"/>
      <c r="H835" s="266"/>
      <c r="I835" s="267">
        <f t="shared" si="16"/>
        <v>40</v>
      </c>
      <c r="J835" s="68"/>
      <c r="K835" s="68"/>
      <c r="L835" s="68">
        <v>40</v>
      </c>
      <c r="M835" s="68"/>
      <c r="N835" s="69"/>
    </row>
    <row r="836" spans="1:14" ht="17.25">
      <c r="A836" s="242">
        <v>830</v>
      </c>
      <c r="B836" s="268"/>
      <c r="C836" s="907"/>
      <c r="D836" s="270" t="s">
        <v>579</v>
      </c>
      <c r="E836" s="271"/>
      <c r="F836" s="272"/>
      <c r="G836" s="272"/>
      <c r="H836" s="273"/>
      <c r="I836" s="274">
        <f t="shared" si="16"/>
        <v>0</v>
      </c>
      <c r="J836" s="272"/>
      <c r="K836" s="272"/>
      <c r="L836" s="272"/>
      <c r="M836" s="272"/>
      <c r="N836" s="275"/>
    </row>
    <row r="837" spans="1:14" s="253" customFormat="1" ht="19.5" customHeight="1">
      <c r="A837" s="242">
        <v>831</v>
      </c>
      <c r="B837" s="276"/>
      <c r="C837" s="277">
        <v>214</v>
      </c>
      <c r="D837" s="309" t="s">
        <v>1304</v>
      </c>
      <c r="E837" s="279" t="s">
        <v>781</v>
      </c>
      <c r="F837" s="265"/>
      <c r="G837" s="265"/>
      <c r="H837" s="266"/>
      <c r="I837" s="267"/>
      <c r="J837" s="279"/>
      <c r="K837" s="279"/>
      <c r="L837" s="279"/>
      <c r="M837" s="279"/>
      <c r="N837" s="280"/>
    </row>
    <row r="838" spans="1:14" ht="16.5">
      <c r="A838" s="254">
        <v>832</v>
      </c>
      <c r="B838" s="276"/>
      <c r="C838" s="308"/>
      <c r="D838" s="278" t="s">
        <v>581</v>
      </c>
      <c r="E838" s="279"/>
      <c r="F838" s="265"/>
      <c r="G838" s="265"/>
      <c r="H838" s="266"/>
      <c r="I838" s="267">
        <f t="shared" si="16"/>
        <v>100</v>
      </c>
      <c r="J838" s="68"/>
      <c r="K838" s="68"/>
      <c r="L838" s="68">
        <v>100</v>
      </c>
      <c r="M838" s="68"/>
      <c r="N838" s="69"/>
    </row>
    <row r="839" spans="1:14" ht="17.25">
      <c r="A839" s="242">
        <v>833</v>
      </c>
      <c r="B839" s="268"/>
      <c r="C839" s="907"/>
      <c r="D839" s="270" t="s">
        <v>579</v>
      </c>
      <c r="E839" s="271"/>
      <c r="F839" s="272"/>
      <c r="G839" s="272"/>
      <c r="H839" s="273"/>
      <c r="I839" s="274">
        <f t="shared" si="16"/>
        <v>99</v>
      </c>
      <c r="J839" s="272"/>
      <c r="K839" s="272"/>
      <c r="L839" s="272">
        <v>99</v>
      </c>
      <c r="M839" s="272"/>
      <c r="N839" s="275"/>
    </row>
    <row r="840" spans="1:14" s="253" customFormat="1" ht="33">
      <c r="A840" s="254">
        <v>834</v>
      </c>
      <c r="B840" s="276"/>
      <c r="C840" s="308">
        <v>215</v>
      </c>
      <c r="D840" s="309" t="s">
        <v>1305</v>
      </c>
      <c r="E840" s="279" t="s">
        <v>781</v>
      </c>
      <c r="F840" s="265"/>
      <c r="G840" s="265"/>
      <c r="H840" s="266"/>
      <c r="I840" s="267"/>
      <c r="J840" s="279"/>
      <c r="K840" s="279"/>
      <c r="L840" s="279"/>
      <c r="M840" s="279"/>
      <c r="N840" s="280"/>
    </row>
    <row r="841" spans="1:14" ht="16.5">
      <c r="A841" s="254">
        <v>835</v>
      </c>
      <c r="B841" s="276"/>
      <c r="C841" s="308"/>
      <c r="D841" s="278" t="s">
        <v>581</v>
      </c>
      <c r="E841" s="279"/>
      <c r="F841" s="265"/>
      <c r="G841" s="265"/>
      <c r="H841" s="266"/>
      <c r="I841" s="267">
        <f t="shared" si="16"/>
        <v>35</v>
      </c>
      <c r="J841" s="68"/>
      <c r="K841" s="68"/>
      <c r="L841" s="68">
        <v>35</v>
      </c>
      <c r="M841" s="68"/>
      <c r="N841" s="69"/>
    </row>
    <row r="842" spans="1:14" ht="17.25">
      <c r="A842" s="242">
        <v>836</v>
      </c>
      <c r="B842" s="268"/>
      <c r="C842" s="907"/>
      <c r="D842" s="270" t="s">
        <v>579</v>
      </c>
      <c r="E842" s="271"/>
      <c r="F842" s="272"/>
      <c r="G842" s="272"/>
      <c r="H842" s="273"/>
      <c r="I842" s="274">
        <f t="shared" si="16"/>
        <v>35</v>
      </c>
      <c r="J842" s="272"/>
      <c r="K842" s="272"/>
      <c r="L842" s="272">
        <v>35</v>
      </c>
      <c r="M842" s="272"/>
      <c r="N842" s="275"/>
    </row>
    <row r="843" spans="1:14" s="253" customFormat="1" ht="33">
      <c r="A843" s="254">
        <v>837</v>
      </c>
      <c r="B843" s="276"/>
      <c r="C843" s="308">
        <v>216</v>
      </c>
      <c r="D843" s="309" t="s">
        <v>1306</v>
      </c>
      <c r="E843" s="279" t="s">
        <v>781</v>
      </c>
      <c r="F843" s="265"/>
      <c r="G843" s="265"/>
      <c r="H843" s="266"/>
      <c r="I843" s="267"/>
      <c r="J843" s="279"/>
      <c r="K843" s="279"/>
      <c r="L843" s="279"/>
      <c r="M843" s="279"/>
      <c r="N843" s="280"/>
    </row>
    <row r="844" spans="1:14" ht="16.5">
      <c r="A844" s="254">
        <v>838</v>
      </c>
      <c r="B844" s="276"/>
      <c r="C844" s="308"/>
      <c r="D844" s="278" t="s">
        <v>581</v>
      </c>
      <c r="E844" s="279"/>
      <c r="F844" s="265"/>
      <c r="G844" s="265"/>
      <c r="H844" s="266"/>
      <c r="I844" s="267">
        <f t="shared" si="16"/>
        <v>12</v>
      </c>
      <c r="J844" s="68"/>
      <c r="K844" s="68"/>
      <c r="L844" s="68">
        <v>12</v>
      </c>
      <c r="M844" s="68"/>
      <c r="N844" s="69"/>
    </row>
    <row r="845" spans="1:14" ht="17.25">
      <c r="A845" s="242">
        <v>839</v>
      </c>
      <c r="B845" s="268"/>
      <c r="C845" s="907"/>
      <c r="D845" s="270" t="s">
        <v>579</v>
      </c>
      <c r="E845" s="271"/>
      <c r="F845" s="272"/>
      <c r="G845" s="272"/>
      <c r="H845" s="273"/>
      <c r="I845" s="274">
        <f t="shared" si="16"/>
        <v>11</v>
      </c>
      <c r="J845" s="272"/>
      <c r="K845" s="272"/>
      <c r="L845" s="272">
        <v>11</v>
      </c>
      <c r="M845" s="272"/>
      <c r="N845" s="275"/>
    </row>
    <row r="846" spans="1:14" s="253" customFormat="1" ht="33">
      <c r="A846" s="254">
        <v>840</v>
      </c>
      <c r="B846" s="276"/>
      <c r="C846" s="308">
        <v>217</v>
      </c>
      <c r="D846" s="309" t="s">
        <v>1307</v>
      </c>
      <c r="E846" s="279" t="s">
        <v>781</v>
      </c>
      <c r="F846" s="265"/>
      <c r="G846" s="265"/>
      <c r="H846" s="266"/>
      <c r="I846" s="267"/>
      <c r="J846" s="279"/>
      <c r="K846" s="279"/>
      <c r="L846" s="279"/>
      <c r="M846" s="279"/>
      <c r="N846" s="280"/>
    </row>
    <row r="847" spans="1:14" ht="16.5">
      <c r="A847" s="254">
        <v>841</v>
      </c>
      <c r="B847" s="276"/>
      <c r="C847" s="308"/>
      <c r="D847" s="278" t="s">
        <v>581</v>
      </c>
      <c r="E847" s="279"/>
      <c r="F847" s="265"/>
      <c r="G847" s="265"/>
      <c r="H847" s="266"/>
      <c r="I847" s="267">
        <f t="shared" si="16"/>
        <v>15</v>
      </c>
      <c r="J847" s="68"/>
      <c r="K847" s="68"/>
      <c r="L847" s="68">
        <v>15</v>
      </c>
      <c r="M847" s="68"/>
      <c r="N847" s="69"/>
    </row>
    <row r="848" spans="1:14" ht="17.25">
      <c r="A848" s="242">
        <v>842</v>
      </c>
      <c r="B848" s="268"/>
      <c r="C848" s="907"/>
      <c r="D848" s="270" t="s">
        <v>579</v>
      </c>
      <c r="E848" s="271"/>
      <c r="F848" s="272"/>
      <c r="G848" s="272"/>
      <c r="H848" s="273"/>
      <c r="I848" s="274">
        <f t="shared" si="16"/>
        <v>15</v>
      </c>
      <c r="J848" s="272"/>
      <c r="K848" s="272"/>
      <c r="L848" s="272">
        <v>15</v>
      </c>
      <c r="M848" s="272"/>
      <c r="N848" s="275"/>
    </row>
    <row r="849" spans="1:14" s="253" customFormat="1" ht="19.5" customHeight="1">
      <c r="A849" s="242">
        <v>843</v>
      </c>
      <c r="B849" s="276"/>
      <c r="C849" s="277">
        <v>218</v>
      </c>
      <c r="D849" s="309" t="s">
        <v>163</v>
      </c>
      <c r="E849" s="279" t="s">
        <v>781</v>
      </c>
      <c r="F849" s="265"/>
      <c r="G849" s="265"/>
      <c r="H849" s="266"/>
      <c r="I849" s="267"/>
      <c r="J849" s="279"/>
      <c r="K849" s="279"/>
      <c r="L849" s="279"/>
      <c r="M849" s="279"/>
      <c r="N849" s="280"/>
    </row>
    <row r="850" spans="1:14" ht="16.5">
      <c r="A850" s="254">
        <v>844</v>
      </c>
      <c r="B850" s="276"/>
      <c r="C850" s="308"/>
      <c r="D850" s="278" t="s">
        <v>581</v>
      </c>
      <c r="E850" s="279"/>
      <c r="F850" s="265"/>
      <c r="G850" s="265"/>
      <c r="H850" s="266"/>
      <c r="I850" s="267">
        <f t="shared" si="16"/>
        <v>190</v>
      </c>
      <c r="J850" s="68"/>
      <c r="K850" s="68"/>
      <c r="L850" s="68">
        <v>190</v>
      </c>
      <c r="M850" s="68"/>
      <c r="N850" s="69"/>
    </row>
    <row r="851" spans="1:14" ht="17.25">
      <c r="A851" s="242">
        <v>845</v>
      </c>
      <c r="B851" s="268"/>
      <c r="C851" s="907"/>
      <c r="D851" s="270" t="s">
        <v>579</v>
      </c>
      <c r="E851" s="271"/>
      <c r="F851" s="272"/>
      <c r="G851" s="272"/>
      <c r="H851" s="273"/>
      <c r="I851" s="274">
        <f t="shared" si="16"/>
        <v>0</v>
      </c>
      <c r="J851" s="272"/>
      <c r="K851" s="272"/>
      <c r="L851" s="272"/>
      <c r="M851" s="272"/>
      <c r="N851" s="275"/>
    </row>
    <row r="852" spans="1:14" s="243" customFormat="1" ht="25.5" customHeight="1">
      <c r="A852" s="242">
        <v>846</v>
      </c>
      <c r="B852" s="276"/>
      <c r="C852" s="277">
        <v>219</v>
      </c>
      <c r="D852" s="309" t="s">
        <v>386</v>
      </c>
      <c r="E852" s="279" t="s">
        <v>781</v>
      </c>
      <c r="F852" s="265"/>
      <c r="G852" s="265">
        <v>1000</v>
      </c>
      <c r="H852" s="405"/>
      <c r="I852" s="267"/>
      <c r="J852" s="279"/>
      <c r="K852" s="279"/>
      <c r="L852" s="279"/>
      <c r="M852" s="279"/>
      <c r="N852" s="280"/>
    </row>
    <row r="853" spans="1:14" ht="16.5">
      <c r="A853" s="254">
        <v>847</v>
      </c>
      <c r="B853" s="276"/>
      <c r="C853" s="320">
        <v>220</v>
      </c>
      <c r="D853" s="278" t="s">
        <v>760</v>
      </c>
      <c r="E853" s="279" t="s">
        <v>781</v>
      </c>
      <c r="F853" s="265"/>
      <c r="G853" s="265">
        <v>5262</v>
      </c>
      <c r="H853" s="405"/>
      <c r="I853" s="267"/>
      <c r="J853" s="224"/>
      <c r="K853" s="224"/>
      <c r="L853" s="224"/>
      <c r="M853" s="224"/>
      <c r="N853" s="225"/>
    </row>
    <row r="854" spans="1:14" ht="16.5">
      <c r="A854" s="242">
        <v>848</v>
      </c>
      <c r="B854" s="276"/>
      <c r="C854" s="320">
        <v>221</v>
      </c>
      <c r="D854" s="400" t="s">
        <v>398</v>
      </c>
      <c r="E854" s="401" t="s">
        <v>781</v>
      </c>
      <c r="F854" s="340">
        <v>1500</v>
      </c>
      <c r="G854" s="340">
        <v>2000</v>
      </c>
      <c r="H854" s="402">
        <v>2000</v>
      </c>
      <c r="I854" s="267">
        <f aca="true" t="shared" si="17" ref="I854:I878">SUM(J854:N854)</f>
        <v>0</v>
      </c>
      <c r="J854" s="68"/>
      <c r="K854" s="68"/>
      <c r="L854" s="68"/>
      <c r="M854" s="68"/>
      <c r="N854" s="69"/>
    </row>
    <row r="855" spans="1:14" ht="16.5">
      <c r="A855" s="242">
        <v>849</v>
      </c>
      <c r="B855" s="276"/>
      <c r="C855" s="320">
        <v>222</v>
      </c>
      <c r="D855" s="400" t="s">
        <v>35</v>
      </c>
      <c r="E855" s="403" t="s">
        <v>815</v>
      </c>
      <c r="F855" s="352">
        <v>4905</v>
      </c>
      <c r="G855" s="352"/>
      <c r="H855" s="404"/>
      <c r="I855" s="267">
        <f t="shared" si="17"/>
        <v>0</v>
      </c>
      <c r="J855" s="68"/>
      <c r="K855" s="68"/>
      <c r="L855" s="68"/>
      <c r="M855" s="68"/>
      <c r="N855" s="69"/>
    </row>
    <row r="856" spans="1:14" ht="16.5">
      <c r="A856" s="254">
        <v>850</v>
      </c>
      <c r="B856" s="276"/>
      <c r="C856" s="320">
        <v>223</v>
      </c>
      <c r="D856" s="400" t="s">
        <v>36</v>
      </c>
      <c r="E856" s="403" t="s">
        <v>815</v>
      </c>
      <c r="F856" s="352">
        <v>12688</v>
      </c>
      <c r="G856" s="352"/>
      <c r="H856" s="404"/>
      <c r="I856" s="267">
        <f t="shared" si="17"/>
        <v>0</v>
      </c>
      <c r="J856" s="68"/>
      <c r="K856" s="68"/>
      <c r="L856" s="68"/>
      <c r="M856" s="68"/>
      <c r="N856" s="69"/>
    </row>
    <row r="857" spans="1:14" ht="33">
      <c r="A857" s="321">
        <v>851</v>
      </c>
      <c r="B857" s="276"/>
      <c r="C857" s="320">
        <v>224</v>
      </c>
      <c r="D857" s="400" t="s">
        <v>37</v>
      </c>
      <c r="E857" s="401" t="s">
        <v>781</v>
      </c>
      <c r="F857" s="340"/>
      <c r="G857" s="340"/>
      <c r="H857" s="402">
        <v>32465</v>
      </c>
      <c r="I857" s="267">
        <f t="shared" si="17"/>
        <v>0</v>
      </c>
      <c r="J857" s="68"/>
      <c r="K857" s="68"/>
      <c r="L857" s="68"/>
      <c r="M857" s="68"/>
      <c r="N857" s="69"/>
    </row>
    <row r="858" spans="1:14" ht="33">
      <c r="A858" s="242">
        <v>852</v>
      </c>
      <c r="B858" s="276"/>
      <c r="C858" s="320">
        <v>225</v>
      </c>
      <c r="D858" s="400" t="s">
        <v>412</v>
      </c>
      <c r="E858" s="401" t="s">
        <v>781</v>
      </c>
      <c r="F858" s="340">
        <v>24396</v>
      </c>
      <c r="G858" s="340"/>
      <c r="H858" s="402">
        <v>75</v>
      </c>
      <c r="I858" s="267">
        <f t="shared" si="17"/>
        <v>0</v>
      </c>
      <c r="J858" s="68"/>
      <c r="K858" s="68"/>
      <c r="L858" s="68"/>
      <c r="M858" s="68"/>
      <c r="N858" s="69"/>
    </row>
    <row r="859" spans="1:14" ht="33">
      <c r="A859" s="254">
        <v>853</v>
      </c>
      <c r="B859" s="276"/>
      <c r="C859" s="320">
        <v>226</v>
      </c>
      <c r="D859" s="309" t="s">
        <v>38</v>
      </c>
      <c r="E859" s="279" t="s">
        <v>781</v>
      </c>
      <c r="F859" s="265"/>
      <c r="G859" s="265"/>
      <c r="H859" s="405">
        <v>258</v>
      </c>
      <c r="I859" s="267">
        <f t="shared" si="17"/>
        <v>0</v>
      </c>
      <c r="J859" s="68"/>
      <c r="K859" s="68"/>
      <c r="L859" s="68"/>
      <c r="M859" s="68"/>
      <c r="N859" s="69"/>
    </row>
    <row r="860" spans="1:14" ht="49.5">
      <c r="A860" s="321">
        <v>854</v>
      </c>
      <c r="B860" s="276"/>
      <c r="C860" s="320">
        <v>227</v>
      </c>
      <c r="D860" s="400" t="s">
        <v>1383</v>
      </c>
      <c r="E860" s="401" t="s">
        <v>781</v>
      </c>
      <c r="F860" s="340"/>
      <c r="G860" s="340">
        <v>16410</v>
      </c>
      <c r="H860" s="402"/>
      <c r="I860" s="267">
        <f t="shared" si="17"/>
        <v>0</v>
      </c>
      <c r="J860" s="68"/>
      <c r="K860" s="68"/>
      <c r="L860" s="68"/>
      <c r="M860" s="68"/>
      <c r="N860" s="69"/>
    </row>
    <row r="861" spans="1:14" ht="49.5">
      <c r="A861" s="321">
        <v>855</v>
      </c>
      <c r="B861" s="276"/>
      <c r="C861" s="320">
        <v>228</v>
      </c>
      <c r="D861" s="400" t="s">
        <v>39</v>
      </c>
      <c r="E861" s="401" t="s">
        <v>781</v>
      </c>
      <c r="F861" s="340"/>
      <c r="G861" s="340"/>
      <c r="H861" s="402">
        <v>1100</v>
      </c>
      <c r="I861" s="267">
        <f t="shared" si="17"/>
        <v>0</v>
      </c>
      <c r="J861" s="68"/>
      <c r="K861" s="68"/>
      <c r="L861" s="68"/>
      <c r="M861" s="68"/>
      <c r="N861" s="69"/>
    </row>
    <row r="862" spans="1:14" ht="16.5">
      <c r="A862" s="254">
        <v>856</v>
      </c>
      <c r="B862" s="276"/>
      <c r="C862" s="320">
        <v>229</v>
      </c>
      <c r="D862" s="400" t="s">
        <v>592</v>
      </c>
      <c r="E862" s="401" t="s">
        <v>781</v>
      </c>
      <c r="F862" s="340"/>
      <c r="G862" s="340"/>
      <c r="H862" s="402">
        <v>1400</v>
      </c>
      <c r="I862" s="267">
        <f t="shared" si="17"/>
        <v>0</v>
      </c>
      <c r="J862" s="68"/>
      <c r="K862" s="68"/>
      <c r="L862" s="68"/>
      <c r="M862" s="68"/>
      <c r="N862" s="69"/>
    </row>
    <row r="863" spans="1:14" ht="16.5">
      <c r="A863" s="242">
        <v>857</v>
      </c>
      <c r="B863" s="276"/>
      <c r="C863" s="320">
        <v>230</v>
      </c>
      <c r="D863" s="400" t="s">
        <v>40</v>
      </c>
      <c r="E863" s="401" t="s">
        <v>781</v>
      </c>
      <c r="F863" s="340"/>
      <c r="G863" s="340"/>
      <c r="H863" s="402">
        <v>1935</v>
      </c>
      <c r="I863" s="267">
        <f t="shared" si="17"/>
        <v>0</v>
      </c>
      <c r="J863" s="68"/>
      <c r="K863" s="68"/>
      <c r="L863" s="68"/>
      <c r="M863" s="68"/>
      <c r="N863" s="69"/>
    </row>
    <row r="864" spans="1:14" ht="16.5">
      <c r="A864" s="242">
        <v>858</v>
      </c>
      <c r="B864" s="276"/>
      <c r="C864" s="320">
        <v>231</v>
      </c>
      <c r="D864" s="400" t="s">
        <v>41</v>
      </c>
      <c r="E864" s="401" t="s">
        <v>781</v>
      </c>
      <c r="F864" s="340"/>
      <c r="G864" s="340"/>
      <c r="H864" s="402">
        <v>150</v>
      </c>
      <c r="I864" s="267">
        <f t="shared" si="17"/>
        <v>0</v>
      </c>
      <c r="J864" s="68"/>
      <c r="K864" s="68"/>
      <c r="L864" s="68"/>
      <c r="M864" s="68"/>
      <c r="N864" s="69"/>
    </row>
    <row r="865" spans="1:14" ht="16.5">
      <c r="A865" s="254">
        <v>859</v>
      </c>
      <c r="B865" s="276"/>
      <c r="C865" s="320">
        <v>232</v>
      </c>
      <c r="D865" s="400" t="s">
        <v>593</v>
      </c>
      <c r="E865" s="401" t="s">
        <v>781</v>
      </c>
      <c r="F865" s="340"/>
      <c r="G865" s="340"/>
      <c r="H865" s="402">
        <v>900</v>
      </c>
      <c r="I865" s="267">
        <f t="shared" si="17"/>
        <v>0</v>
      </c>
      <c r="J865" s="68"/>
      <c r="K865" s="68"/>
      <c r="L865" s="68"/>
      <c r="M865" s="68"/>
      <c r="N865" s="69"/>
    </row>
    <row r="866" spans="1:14" ht="16.5">
      <c r="A866" s="242">
        <v>860</v>
      </c>
      <c r="B866" s="276"/>
      <c r="C866" s="320">
        <v>233</v>
      </c>
      <c r="D866" s="400" t="s">
        <v>42</v>
      </c>
      <c r="E866" s="401" t="s">
        <v>781</v>
      </c>
      <c r="F866" s="340"/>
      <c r="G866" s="340"/>
      <c r="H866" s="402">
        <v>1000</v>
      </c>
      <c r="I866" s="267">
        <f t="shared" si="17"/>
        <v>0</v>
      </c>
      <c r="J866" s="68"/>
      <c r="K866" s="68"/>
      <c r="L866" s="68"/>
      <c r="M866" s="68"/>
      <c r="N866" s="69"/>
    </row>
    <row r="867" spans="1:15" ht="16.5">
      <c r="A867" s="242">
        <v>861</v>
      </c>
      <c r="B867" s="276"/>
      <c r="C867" s="320">
        <v>234</v>
      </c>
      <c r="D867" s="400" t="s">
        <v>43</v>
      </c>
      <c r="E867" s="401" t="s">
        <v>781</v>
      </c>
      <c r="F867" s="340"/>
      <c r="G867" s="340"/>
      <c r="H867" s="402">
        <v>501</v>
      </c>
      <c r="I867" s="267">
        <f t="shared" si="17"/>
        <v>0</v>
      </c>
      <c r="J867" s="68"/>
      <c r="K867" s="68"/>
      <c r="L867" s="68"/>
      <c r="M867" s="68"/>
      <c r="N867" s="69"/>
      <c r="O867" s="247">
        <f>SUM(L598)</f>
        <v>1211</v>
      </c>
    </row>
    <row r="868" spans="1:14" ht="16.5">
      <c r="A868" s="254">
        <v>862</v>
      </c>
      <c r="B868" s="276"/>
      <c r="C868" s="320">
        <v>235</v>
      </c>
      <c r="D868" s="400" t="s">
        <v>44</v>
      </c>
      <c r="E868" s="401" t="s">
        <v>781</v>
      </c>
      <c r="F868" s="340"/>
      <c r="G868" s="340"/>
      <c r="H868" s="402">
        <v>600</v>
      </c>
      <c r="I868" s="267">
        <f t="shared" si="17"/>
        <v>0</v>
      </c>
      <c r="J868" s="68"/>
      <c r="K868" s="68"/>
      <c r="L868" s="68"/>
      <c r="M868" s="68"/>
      <c r="N868" s="69"/>
    </row>
    <row r="869" spans="1:14" ht="16.5">
      <c r="A869" s="242">
        <v>863</v>
      </c>
      <c r="B869" s="276"/>
      <c r="C869" s="320">
        <v>236</v>
      </c>
      <c r="D869" s="400" t="s">
        <v>576</v>
      </c>
      <c r="E869" s="401" t="s">
        <v>781</v>
      </c>
      <c r="F869" s="340">
        <v>1559</v>
      </c>
      <c r="G869" s="340"/>
      <c r="H869" s="402"/>
      <c r="I869" s="267">
        <f t="shared" si="17"/>
        <v>0</v>
      </c>
      <c r="J869" s="68"/>
      <c r="K869" s="68"/>
      <c r="L869" s="68"/>
      <c r="M869" s="68"/>
      <c r="N869" s="69"/>
    </row>
    <row r="870" spans="1:14" ht="16.5">
      <c r="A870" s="242">
        <v>864</v>
      </c>
      <c r="B870" s="276"/>
      <c r="C870" s="320">
        <v>237</v>
      </c>
      <c r="D870" s="400" t="s">
        <v>452</v>
      </c>
      <c r="E870" s="401" t="s">
        <v>781</v>
      </c>
      <c r="F870" s="340">
        <v>25</v>
      </c>
      <c r="G870" s="340"/>
      <c r="H870" s="402"/>
      <c r="I870" s="267">
        <f t="shared" si="17"/>
        <v>0</v>
      </c>
      <c r="J870" s="68"/>
      <c r="K870" s="68"/>
      <c r="L870" s="68"/>
      <c r="M870" s="68"/>
      <c r="N870" s="69"/>
    </row>
    <row r="871" spans="1:14" ht="16.5">
      <c r="A871" s="254">
        <v>865</v>
      </c>
      <c r="B871" s="276"/>
      <c r="C871" s="320">
        <v>238</v>
      </c>
      <c r="D871" s="400" t="s">
        <v>708</v>
      </c>
      <c r="E871" s="401" t="s">
        <v>781</v>
      </c>
      <c r="F871" s="340">
        <v>7723</v>
      </c>
      <c r="G871" s="340"/>
      <c r="H871" s="402"/>
      <c r="I871" s="267">
        <f t="shared" si="17"/>
        <v>0</v>
      </c>
      <c r="J871" s="68"/>
      <c r="K871" s="68"/>
      <c r="L871" s="68"/>
      <c r="M871" s="68"/>
      <c r="N871" s="69"/>
    </row>
    <row r="872" spans="1:14" ht="16.5">
      <c r="A872" s="242">
        <v>866</v>
      </c>
      <c r="B872" s="276"/>
      <c r="C872" s="320">
        <v>239</v>
      </c>
      <c r="D872" s="400" t="s">
        <v>448</v>
      </c>
      <c r="E872" s="401" t="s">
        <v>754</v>
      </c>
      <c r="F872" s="340">
        <v>165</v>
      </c>
      <c r="G872" s="340"/>
      <c r="H872" s="402"/>
      <c r="I872" s="267">
        <f t="shared" si="17"/>
        <v>0</v>
      </c>
      <c r="J872" s="68"/>
      <c r="K872" s="68"/>
      <c r="L872" s="68"/>
      <c r="M872" s="68"/>
      <c r="N872" s="69"/>
    </row>
    <row r="873" spans="1:14" ht="16.5">
      <c r="A873" s="242">
        <v>867</v>
      </c>
      <c r="B873" s="276"/>
      <c r="C873" s="320">
        <v>240</v>
      </c>
      <c r="D873" s="400" t="s">
        <v>450</v>
      </c>
      <c r="E873" s="401" t="s">
        <v>754</v>
      </c>
      <c r="F873" s="340">
        <v>4801</v>
      </c>
      <c r="G873" s="340"/>
      <c r="H873" s="402"/>
      <c r="I873" s="267">
        <f t="shared" si="17"/>
        <v>0</v>
      </c>
      <c r="J873" s="68"/>
      <c r="K873" s="68"/>
      <c r="L873" s="68"/>
      <c r="M873" s="68"/>
      <c r="N873" s="69"/>
    </row>
    <row r="874" spans="1:14" ht="16.5">
      <c r="A874" s="254">
        <v>868</v>
      </c>
      <c r="B874" s="276"/>
      <c r="C874" s="320">
        <v>241</v>
      </c>
      <c r="D874" s="400" t="s">
        <v>443</v>
      </c>
      <c r="E874" s="401" t="s">
        <v>754</v>
      </c>
      <c r="F874" s="340">
        <v>369</v>
      </c>
      <c r="G874" s="340"/>
      <c r="H874" s="402"/>
      <c r="I874" s="267">
        <f t="shared" si="17"/>
        <v>0</v>
      </c>
      <c r="J874" s="68"/>
      <c r="K874" s="68"/>
      <c r="L874" s="68"/>
      <c r="M874" s="68"/>
      <c r="N874" s="69"/>
    </row>
    <row r="875" spans="1:14" ht="33">
      <c r="A875" s="321">
        <v>869</v>
      </c>
      <c r="B875" s="276"/>
      <c r="C875" s="320">
        <v>242</v>
      </c>
      <c r="D875" s="400" t="s">
        <v>701</v>
      </c>
      <c r="E875" s="401" t="s">
        <v>815</v>
      </c>
      <c r="F875" s="340">
        <v>63</v>
      </c>
      <c r="G875" s="340"/>
      <c r="H875" s="402"/>
      <c r="I875" s="267">
        <f t="shared" si="17"/>
        <v>0</v>
      </c>
      <c r="J875" s="68"/>
      <c r="K875" s="68"/>
      <c r="L875" s="68"/>
      <c r="M875" s="68"/>
      <c r="N875" s="69"/>
    </row>
    <row r="876" spans="1:14" ht="33">
      <c r="A876" s="321">
        <v>870</v>
      </c>
      <c r="B876" s="276"/>
      <c r="C876" s="320">
        <v>243</v>
      </c>
      <c r="D876" s="400" t="s">
        <v>702</v>
      </c>
      <c r="E876" s="401" t="s">
        <v>815</v>
      </c>
      <c r="F876" s="340">
        <v>59</v>
      </c>
      <c r="G876" s="340"/>
      <c r="H876" s="402"/>
      <c r="I876" s="267">
        <f t="shared" si="17"/>
        <v>0</v>
      </c>
      <c r="J876" s="68"/>
      <c r="K876" s="68"/>
      <c r="L876" s="68"/>
      <c r="M876" s="68"/>
      <c r="N876" s="69"/>
    </row>
    <row r="877" spans="1:14" ht="33">
      <c r="A877" s="321">
        <v>871</v>
      </c>
      <c r="B877" s="276"/>
      <c r="C877" s="320">
        <v>244</v>
      </c>
      <c r="D877" s="400" t="s">
        <v>703</v>
      </c>
      <c r="E877" s="401" t="s">
        <v>815</v>
      </c>
      <c r="F877" s="340">
        <v>17515</v>
      </c>
      <c r="G877" s="340"/>
      <c r="H877" s="402"/>
      <c r="I877" s="267">
        <f t="shared" si="17"/>
        <v>0</v>
      </c>
      <c r="J877" s="68"/>
      <c r="K877" s="68"/>
      <c r="L877" s="68"/>
      <c r="M877" s="68"/>
      <c r="N877" s="69"/>
    </row>
    <row r="878" spans="1:14" ht="50.25" thickBot="1">
      <c r="A878" s="321">
        <v>872</v>
      </c>
      <c r="B878" s="607"/>
      <c r="C878" s="320">
        <v>245</v>
      </c>
      <c r="D878" s="608" t="s">
        <v>694</v>
      </c>
      <c r="E878" s="609" t="s">
        <v>815</v>
      </c>
      <c r="F878" s="610">
        <v>4064</v>
      </c>
      <c r="G878" s="610"/>
      <c r="H878" s="611"/>
      <c r="I878" s="267">
        <f t="shared" si="17"/>
        <v>0</v>
      </c>
      <c r="J878" s="68"/>
      <c r="K878" s="68"/>
      <c r="L878" s="68"/>
      <c r="M878" s="68"/>
      <c r="N878" s="69"/>
    </row>
    <row r="879" spans="1:15" ht="17.25">
      <c r="A879" s="242">
        <v>873</v>
      </c>
      <c r="B879" s="322"/>
      <c r="C879" s="323"/>
      <c r="D879" s="324" t="s">
        <v>661</v>
      </c>
      <c r="E879" s="325"/>
      <c r="F879" s="326">
        <f>SUM(F540:F878,F189:F495,F115:F165,F63:F91,F7:F35)</f>
        <v>3823797</v>
      </c>
      <c r="G879" s="326">
        <f>SUM(G540:G878,G189:G495,G115:G165,G63:G91,G7:G35)</f>
        <v>4181144</v>
      </c>
      <c r="H879" s="326">
        <f>SUM(H540:H878,H189:H495,H115:H165,H63:H91,H7:H35)</f>
        <v>4362635</v>
      </c>
      <c r="I879" s="327"/>
      <c r="J879" s="328"/>
      <c r="K879" s="328"/>
      <c r="L879" s="328"/>
      <c r="M879" s="328"/>
      <c r="N879" s="329"/>
      <c r="O879" s="247">
        <f>SUM(O7:O878)</f>
        <v>2824592</v>
      </c>
    </row>
    <row r="880" spans="1:14" ht="16.5">
      <c r="A880" s="254">
        <v>874</v>
      </c>
      <c r="B880" s="307"/>
      <c r="C880" s="308"/>
      <c r="D880" s="330" t="s">
        <v>580</v>
      </c>
      <c r="E880" s="331"/>
      <c r="F880" s="332"/>
      <c r="G880" s="332"/>
      <c r="H880" s="333"/>
      <c r="I880" s="334">
        <f>SUM(J880:N880)</f>
        <v>4180802</v>
      </c>
      <c r="J880" s="332">
        <f>SUM(J541+J496+J483+J479+J475+J471+J467+J463+J459+J455+J451+J447+J440+J436+J432+J428+J416+J412+J408+J404+J400+J396+J389+J385+J378+J374+J370+J366+J362+J358+J354+J350+J346+J342+J334+J330+J326+J322+J318+J314+J307+J303+J299+J295+J285+J281+J277+J273+J269+J262+J258+J254+J250+J246+J242+J226+J222+J218+J214+J210+J206+J202+J198+J194+J190+J166+J162+J158+J154+J150+J146+J142+J127+J123+J116+J92+J88+J84+J76+J72+J68+J64+J36+J32+J28+J24+J20+J16+J12+J8)+J557+J553+J549+J545+J424+J420+J338+J238+J234+J230+J138+J131+J80</f>
        <v>36038</v>
      </c>
      <c r="K880" s="332">
        <f>SUM(K541+K496+K483+K479+K475+K471+K467+K463+K459+K455+K451+K447+K440+K436+K432+K428+K416+K412+K408+K404+K400+K396+K389+K385+K378+K374+K370+K366+K362+K358+K354+K350+K346+K342+K334+K330+K326+K322+K318+K314+K307+K303+K299+K295+K285+K281+K277+K273+K269+K262+K258+K254+K250+K246+K242+K226+K222+K218+K214+K210+K206+K202+K198+K194+K190+K166+K162+K158+K154+K150+K146+K142+K127+K123+K116+K92+K88+K84+K76+K72+K68+K64+K36+K32+K28+K24+K20+K16+K12+K8)+K557+K553+K549+K545+K424+K420+K338+K238+K234+K230+K138+K131+K80</f>
        <v>9202</v>
      </c>
      <c r="L880" s="332">
        <f>SUM(L541+L496+L483+L479+L475+L471+L467+L463+L459+L455+L451+L447+L440+L436+L432+L428+L416+L412+L408+L404+L400+L396+L389+L385+L378+L374+L370+L366+L362+L358+L354+L350+L346+L342+L334+L330+L326+L322+L318+L314+L307+L303+L299+L295+L285+L281+L277+L273+L269+L262+L258+L254+L250+L246+L242+L226+L222+L218+L214+L210+L206+L202+L198+L194+L190+L166+L162+L158+L154+L150+L146+L142+L127+L123+L116+L92+L88+L84+L76+L72+L68+L64+L36+L32+L28+L24+L20+L16+L12+L8)+L557+L553+L549+L545+L424+L420+L338+L238+L234+L230+L138+L131+L80</f>
        <v>2797553</v>
      </c>
      <c r="M880" s="332">
        <f>SUM(M541+M496+M483+M479+M475+M471+M467+M463+M459+M455+M451+M447+M440+M436+M432+M428+M416+M412+M408+M404+M400+M396+M389+M385+M378+M374+M370+M366+M362+M358+M354+M350+M346+M342+M334+M330+M326+M322+M318+M314+M307+M303+M299+M295+M285+M281+M277+M273+M269+M262+M258+M254+M250+M246+M242+M226+M222+M218+M214+M210+M206+M202+M198+M194+M190+M166+M162+M158+M154+M150+M146+M142+M127+M123+M116+M92+M88+M84+M76+M72+M68+M64+M36+M32+M28+M24+M20+M16+M12+M8)+M557+M553+M549+M545+M424+M420+M338+M238+M234+M230+M138+M131+M80</f>
        <v>122600</v>
      </c>
      <c r="N880" s="595">
        <f>SUM(N541+N496+N483+N479+N475+N471+N467+N463+N459+N455+N451+N447+N440+N436+N432+N428+N416+N412+N408+N404+N400+N396+N389+N385+N378+N374+N370+N366+N362+N358+N354+N350+N346+N342+N334+N330+N326+N322+N318+N314+N307+N303+N299+N295+N285+N281+N277+N273+N269+N262+N258+N254+N250+N246+N242+N226+N222+N218+N214+N210+N206+N202+N198+N194+N190+N166+N162+N158+N154+N150+N146+N142+N127+N123+N116+N92+N88+N84+N76+N72+N68+N64+N36+N32+N28+N24+N20+N16+N12+N8)+N557+N553+N549+N545+N424+N420+N338+N238+N234+N230+N138+N131+N80</f>
        <v>1215409</v>
      </c>
    </row>
    <row r="881" spans="1:14" ht="17.25">
      <c r="A881" s="242">
        <v>875</v>
      </c>
      <c r="B881" s="307"/>
      <c r="C881" s="308"/>
      <c r="D881" s="335" t="s">
        <v>581</v>
      </c>
      <c r="E881" s="336"/>
      <c r="F881" s="337"/>
      <c r="G881" s="337"/>
      <c r="H881" s="338"/>
      <c r="I881" s="339">
        <f>SUM(J881:N881)</f>
        <v>4936709</v>
      </c>
      <c r="J881" s="340">
        <f>SUM(J602+J597+J594+J591+J588+J585+J582+J567+J564+J561+J542+J497+J484+J480+J476+J472+J468+J464+J460+J456+J452+J448+J444+J441+J437+J433+J429+J425+J417+J413+J409+J405+J401+J397+J393+J390+J386+J382+J379+J375+J371+J367+J363+J359+J355+J351+J347+J343+J335+J331+J327+J323+J319+J315+J308+J304+J300+J296+J286+J282+J278+J274+J270+J266+J263+J259+J255+J251+J247+J243+J227+J223+J219+J215+J211+J207+J203+J199+J195+J191+J167+J163+J159+J155+J151+J147+J143+J128+J124+J117+J93+J89+J85+J77+J73+J69+J65+J37+J33+J29+J25+J21+J17+J13+J9)+J605+J608+J487+J570+J558+J554+J550+J546+J493+J490+J421+J339+J292+J289+J239+J235+J231+J139+J135+J132+J120+J81+J850+J847+J844+J841+J838+J835+J832+J829+J826+J823+J820+J817+J814+J811+J808+J805+J802+J799+J796+J793+J790+J787+J784+J781+J778+J775+J772+J769+J766+J763+J760+J757+J754+J751+J748+J745+J742+J739+J736+J733+J730+J727+J724+J721+J718+J715+J712+J709+J706+J703+J700+J697+J694+J690+J687+J684+J681+J678+J675+J672+J669+J666+J663+J660+J657+J654+J651+J648+J645+J642+J639+J636+J633+J630+J627+J624+J621+J618+J579+J576+J573+J538+J535+J532+J529+J526+J523+J520+J611+J614</f>
        <v>53260</v>
      </c>
      <c r="K881" s="340">
        <f>SUM(K602+K597+K594+K591+K588+K585+K582+K567+K564+K561+K542+K497+K484+K480+K476+K472+K468+K464+K460+K456+K452+K448+K444+K441+K437+K433+K429+K425+K417+K413+K409+K405+K401+K397+K393+K390+K386+K382+K379+K375+K371+K367+K363+K359+K355+K351+K347+K343+K335+K331+K327+K323+K319+K315+K308+K304+K300+K296+K286+K282+K278+K274+K270+K266+K263+K259+K255+K251+K247+K243+K227+K223+K219+K215+K211+K207+K203+K199+K195+K191+K167+K163+K159+K155+K151+K147+K143+K128+K124+K117+K93+K89+K85+K77+K73+K69+K65+K37+K33+K29+K25+K21+K17+K13+K9)+K605+K608+K487+K570+K558+K554+K550+K546+K493+K490+K421+K339+K292+K289+K239+K235+K231+K139+K135+K132+K120+K81+K850+K847+K844+K841+K838+K835+K832+K829+K826+K823+K820+K817+K814+K811+K808+K805+K802+K799+K796+K793+K790+K787+K784+K781+K778+K775+K772+K769+K766+K763+K760+K757+K754+K751+K748+K745+K742+K739+K736+K733+K730+K727+K724+K721+K718+K715+K712+K709+K706+K703+K700+K697+K694+K690+K687+K684+K681+K678+K675+K672+K669+K666+K663+K660+K657+K654+K651+K648+K645+K642+K639+K636+K633+K630+K627+K624+K621+K618+K579+K576+K573+K538+K535+K532+K529+K526+K523+K520+K611+K614</f>
        <v>12634</v>
      </c>
      <c r="L881" s="340">
        <f>SUM(L602+L597+L594+L591+L588+L585+L582+L567+L564+L561+L542+L497+L484+L480+L476+L472+L468+L464+L460+L456+L452+L448+L444+L441+L437+L433+L429+L425+L417+L413+L409+L405+L401+L397+L393+L390+L386+L382+L379+L375+L371+L367+L363+L359+L355+L351+L347+L343+L335+L331+L327+L323+L319+L315+L308+L304+L300+L296+L286+L282+L278+L274+L270+L266+L263+L259+L255+L251+L247+L243+L227+L223+L219+L215+L211+L207+L203+L199+L195+L191+L167+L163+L159+L155+L151+L147+L143+L128+L124+L117+L93+L89+L85+L77+L73+L69+L65+L37+L33+L29+L25+L21+L17+L13+L9)+L605+L608+L487+L570+L558+L554+L550+L546+L493+L490+L421+L339+L292+L289+L239+L235+L231+L139+L135+L132+L120+L81+L850+L847+L844+L841+L838+L835+L832+L829+L826+L823+L820+L817+L814+L811+L808+L805+L802+L799+L796+L793+L790+L787+L784+L781+L778+L775+L772+L769+L766+L763+L760+L757+L754+L751+L748+L745+L742+L739+L736+L733+L730+L727+L724+L721+L718+L715+L712+L709+L706+L703+L700+L697+L694+L690+L687+L684+L681+L678+L675+L672+L669+L666+L663+L660+L657+L654+L651+L648+L645+L642+L639+L636+L633+L630+L627+L624+L621+L618+L579+L576+L573+L538+L535+L532+L529+L526+L523+L520+L611+L614</f>
        <v>3261167</v>
      </c>
      <c r="M881" s="340">
        <f>SUM(M602+M597+M594+M591+M588+M585+M582+M567+M564+M561+M542+M497+M484+M480+M476+M472+M468+M464+M460+M456+M452+M448+M444+M441+M437+M433+M429+M425+M417+M413+M409+M405+M401+M397+M393+M390+M386+M382+M379+M375+M371+M367+M363+M359+M355+M351+M347+M343+M335+M331+M327+M323+M319+M315+M308+M304+M300+M296+M286+M282+M278+M274+M270+M266+M263+M259+M255+M251+M247+M243+M227+M223+M219+M215+M211+M207+M203+M199+M195+M191+M167+M163+M159+M155+M151+M147+M143+M128+M124+M117+M93+M89+M85+M77+M73+M69+M65+M37+M33+M29+M25+M21+M17+M13+M9)+M605+M608+M487+M570+M558+M554+M550+M546+M493+M490+M421+M339+M292+M289+M239+M235+M231+M139+M135+M132+M120+M81+M850+M847+M844+M841+M838+M835+M832+M829+M826+M823+M820+M817+M814+M811+M808+M805+M802+M799+M796+M793+M790+M787+M784+M781+M778+M775+M772+M769+M766+M763+M760+M757+M754+M751+M748+M745+M742+M739+M736+M733+M730+M727+M724+M721+M718+M715+M712+M709+M706+M703+M700+M697+M694+M690+M687+M684+M681+M678+M675+M672+M669+M666+M663+M660+M657+M654+M651+M648+M645+M642+M639+M636+M633+M630+M627+M624+M621+M618+M579+M576+M573+M538+M535+M532+M529+M526+M523+M520+M611+M614</f>
        <v>91669</v>
      </c>
      <c r="N881" s="1226">
        <f>SUM(N602+N597+N594+N591+N588+N585+N582+N567+N564+N561+N542+N497+N484+N480+N476+N472+N468+N464+N460+N456+N452+N448+N444+N441+N437+N433+N429+N425+N417+N413+N409+N405+N401+N397+N393+N390+N386+N382+N379+N375+N371+N367+N363+N359+N355+N351+N347+N343+N335+N331+N327+N323+N319+N315+N308+N304+N300+N296+N286+N282+N278+N274+N270+N266+N263+N259+N255+N251+N247+N243+N227+N223+N219+N215+N211+N207+N203+N199+N195+N191+N167+N163+N159+N155+N151+N147+N143+N128+N124+N117+N93+N89+N85+N77+N73+N69+N65+N37+N33+N29+N25+N21+N17+N13+N9)+N605+N608+N487+N570+N558+N554+N550+N546+N493+N490+N421+N339+N292+N289+N239+N235+N231+N139+N135+N132+N120+N81+N850+N847+N844+N841+N838+N835+N832+N829+N826+N823+N820+N817+N814+N811+N808+N805+N802+N799+N796+N793+N790+N787+N784+N781+N778+N775+N772+N769+N766+N763+N760+N757+N754+N751+N748+N745+N742+N739+N736+N733+N730+N727+N724+N721+N718+N715+N712+N709+N706+N703+N700+N697+N694+N690+N687+N684+N681+N678+N675+N672+N669+N666+N663+N660+N657+N654+N651+N648+N645+N642+N639+N636+N633+N630+N627+N624+N621+N618+N579+N576+N573+N538+N535+N532+N529+N526+N523+N520+N611+N614</f>
        <v>1517979</v>
      </c>
    </row>
    <row r="882" spans="1:14" ht="18" thickBot="1">
      <c r="A882" s="242">
        <v>876</v>
      </c>
      <c r="B882" s="341"/>
      <c r="C882" s="342"/>
      <c r="D882" s="343" t="s">
        <v>579</v>
      </c>
      <c r="E882" s="344"/>
      <c r="F882" s="345"/>
      <c r="G882" s="345"/>
      <c r="H882" s="346"/>
      <c r="I882" s="397">
        <f>SUM(J882:N882)</f>
        <v>4415679</v>
      </c>
      <c r="J882" s="345">
        <f>SUM(J609+J606+J603+J598+J595+J592+J589+J586+J583+J568+J565+J562+J543+J498+J488+J485+J481+J477+J473+J469+J465+J461+J457+J453+J449+J445+J442+J438+J434+J430+J426+J418+J414+J410+J406+J402+J398+J394+J391+J387+J383+J380+J376+J372+J368+J364+J360+J356+J352+J348+J344+J336+J332+J328+J324+J320+J316+J309+J305+J301+J297+J287+J283+J279+J275+J271+J267+J264+J260+J256+J252+J248+J244+J228+J224+J220+J216+J212+J208+J204+J200+J196+J192+J168+J164+J160+J156+J152+J148+J144+J129+J125+J118+J94+J90+J86+J78+J74+J70+J66+J38+J34+J30+J26+J22+J18+J14+J10)+J571+J559+J555+J551+J547+J494+J491+J422+J340+J293+J290+J240+J236+J232+J140+J136+J133+J121+J82+J851+J848+J845+J842+J839+J836+J833+J830+J827+J824+J821+J818+J815+J812+J809+J806+J803+J800+J797+J794+J791+J788+J785+J782+J779+J776+J773+J770+J767+J764+J761+J758+J755+J752+J749+J746+J743+J740+J737+J734+J731+J728+J725+J722+J719+J716+J713+J710+J707+J704+J701+J698+J695+J691+J688+J685+J682+J679+J676+J673+J670+J667+J664+J661+J658+J655+J652+J649+J646+J643+J640+J637+J634+J631+J628+J625+J622+J619+J615+J612+J580+J577+J574+J539+J536+J533+J530+J527+J524+J521+J600</f>
        <v>39590</v>
      </c>
      <c r="K882" s="345">
        <f>SUM(K609+K606+K603+K598+K595+K592+K589+K586+K583+K568+K565+K562+K543+K498+K488+K485+K481+K477+K473+K469+K465+K461+K457+K453+K449+K445+K442+K438+K434+K430+K426+K418+K414+K410+K406+K402+K398+K394+K391+K387+K383+K380+K376+K372+K368+K364+K360+K356+K352+K348+K344+K336+K332+K328+K324+K320+K316+K309+K305+K301+K297+K287+K283+K279+K275+K271+K267+K264+K260+K256+K252+K248+K244+K228+K224+K220+K216+K212+K208+K204+K200+K196+K192+K168+K164+K160+K156+K152+K148+K144+K129+K125+K118+K94+K90+K86+K78+K74+K70+K66+K38+K34+K30+K26+K22+K18+K14+K10)+K571+K559+K555+K551+K547+K494+K491+K422+K340+K293+K290+K240+K236+K232+K140+K136+K133+K121+K82+K851+K848+K845+K842+K839+K836+K833+K830+K827+K824+K821+K818+K815+K812+K809+K806+K803+K800+K797+K794+K791+K788+K785+K782+K779+K776+K773+K770+K767+K764+K761+K758+K755+K752+K749+K746+K743+K740+K737+K734+K731+K728+K725+K722+K719+K716+K713+K710+K707+K704+K701+K698+K695+K691+K688+K685+K682+K679+K676+K673+K670+K667+K664+K661+K658+K655+K652+K649+K646+K643+K640+K637+K634+K631+K628+K625+K622+K619+K615+K612+K580+K577+K574+K539+K536+K533+K530+K527+K524+K521+K600</f>
        <v>9057</v>
      </c>
      <c r="L882" s="345">
        <f>SUM(L609+L606+L603+L598+L595+L592+L589+L586+L583+L568+L565+L562+L543+L498+L488+L485+L481+L477+L473+L469+L465+L461+L457+L453+L449+L445+L442+L438+L434+L430+L426+L418+L414+L410+L406+L402+L398+L394+L391+L387+L383+L380+L376+L372+L368+L364+L360+L356+L352+L348+L344+L336+L332+L328+L324+L320+L316+L309+L305+L301+L297+L287+L283+L279+L275+L271+L267+L264+L260+L256+L252+L248+L244+L228+L224+L220+L216+L212+L208+L204+L200+L196+L192+L168+L164+L160+L156+L152+L148+L144+L129+L125+L118+L94+L90+L86+L78+L74+L70+L66+L38+L34+L30+L26+L22+L18+L14+L10)+L571+L559+L555+L551+L547+L494+L491+L422+L340+L293+L290+L240+L236+L232+L140+L136+L133+L121+L82+L851+L848+L845+L842+L839+L836+L833+L830+L827+L824+L821+L818+L815+L812+L809+L806+L803+L800+L797+L794+L791+L788+L785+L782+L779+L776+L773+L770+L767+L764+L761+L758+L755+L752+L749+L746+L743+L740+L737+L734+L731+L728+L725+L722+L719+L716+L713+L710+L707+L704+L701+L698+L695+L691+L688+L685+L682+L679+L676+L673+L670+L667+L664+L661+L658+L655+L652+L649+L646+L643+L640+L637+L634+L631+L628+L625+L622+L619+L615+L612+L580+L577+L574+L539+L536+L533+L530+L527+L524+L521+L600</f>
        <v>2973867</v>
      </c>
      <c r="M882" s="345">
        <f>SUM(M609+M606+M603+M598+M595+M592+M589+M586+M583+M568+M565+M562+M543+M498+M488+M485+M481+M477+M473+M469+M465+M461+M457+M453+M449+M445+M442+M438+M434+M430+M426+M418+M414+M410+M406+M402+M398+M394+M391+M387+M383+M380+M376+M372+M368+M364+M360+M356+M352+M348+M344+M336+M332+M328+M324+M320+M316+M309+M305+M301+M297+M287+M283+M279+M275+M271+M267+M264+M260+M256+M252+M248+M244+M228+M224+M220+M216+M212+M208+M204+M200+M196+M192+M168+M164+M160+M156+M152+M148+M144+M129+M125+M118+M94+M90+M86+M78+M74+M70+M66+M38+M34+M30+M26+M22+M18+M14+M10)+M571+M559+M555+M551+M547+M494+M491+M422+M340+M293+M290+M240+M236+M232+M140+M136+M133+M121+M82+M851+M848+M845+M842+M839+M836+M833+M830+M827+M824+M821+M818+M815+M812+M809+M806+M803+M800+M797+M794+M791+M788+M785+M782+M779+M776+M773+M770+M767+M764+M761+M758+M755+M752+M749+M746+M743+M740+M737+M734+M731+M728+M725+M722+M719+M716+M713+M710+M707+M704+M701+M698+M695+M691+M688+M685+M682+M679+M676+M673+M670+M667+M664+M661+M658+M655+M652+M649+M646+M643+M640+M637+M634+M631+M628+M625+M622+M619+M615+M612+M580+M577+M574+M539+M536+M533+M530+M527+M524+M521+M600</f>
        <v>80727</v>
      </c>
      <c r="N882" s="1387">
        <f>SUM(N609+N606+N603+N598+N595+N592+N589+N586+N583+N568+N565+N562+N543+N498+N488+N485+N481+N477+N473+N469+N465+N461+N457+N453+N449+N445+N442+N438+N434+N430+N426+N418+N414+N410+N406+N402+N398+N394+N391+N387+N383+N380+N376+N372+N368+N364+N360+N356+N352+N348+N344+N336+N332+N328+N324+N320+N316+N309+N305+N301+N297+N287+N283+N279+N275+N271+N267+N264+N260+N256+N252+N248+N244+N228+N224+N220+N216+N212+N208+N204+N200+N196+N192+N168+N164+N160+N156+N152+N148+N144+N129+N125+N118+N94+N90+N86+N78+N74+N70+N66+N38+N34+N30+N26+N22+N18+N14+N10)+N571+N559+N555+N551+N547+N494+N491+N422+N340+N293+N290+N240+N236+N232+N140+N136+N133+N121+N82+N851+N848+N845+N842+N839+N836+N833+N830+N827+N824+N821+N818+N815+N812+N809+N806+N803+N800+N797+N794+N791+N788+N785+N782+N779+N776+N773+N770+N767+N764+N761+N758+N755+N752+N749+N746+N743+N740+N737+N734+N731+N728+N725+N722+N719+N716+N713+N710+N707+N704+N701+N698+N695+N691+N688+N685+N682+N679+N676+N673+N670+N667+N664+N661+N658+N655+N652+N649+N646+N643+N640+N637+N634+N631+N628+N625+N622+N619+N615+N612+N580+N577+N574+N539+N536+N533+N530+N527+N524+N521+N600</f>
        <v>1312438</v>
      </c>
    </row>
    <row r="883" spans="1:14" ht="16.5">
      <c r="A883" s="254">
        <v>877</v>
      </c>
      <c r="B883" s="1239"/>
      <c r="C883" s="1240"/>
      <c r="D883" s="1241" t="s">
        <v>761</v>
      </c>
      <c r="E883" s="1240"/>
      <c r="F883" s="1242">
        <f>SUM(F875:F878,F855:F856,F495,F486,F446:F473,F399:F439,F313:F341,F288,F272,F237:F257,F213:F225,F145:F153,F7:F15)</f>
        <v>2575522</v>
      </c>
      <c r="G883" s="1242">
        <f>SUM(G875:G878,G855:G856,G495,G486,G446:G473,G399:G439,G313:G341,G288,G272,G237:G257,G213:G225,G145:G153,G7:G15)</f>
        <v>2870429</v>
      </c>
      <c r="H883" s="1242">
        <f>SUM(H875:H878,H855:H856,H495,H486,H446:H473,H399:H439,H313:H341,H288,H272,H237:H257,H213:H225,H145:H153,H7:H15)</f>
        <v>3088342</v>
      </c>
      <c r="I883" s="1243"/>
      <c r="J883" s="1244"/>
      <c r="K883" s="1244"/>
      <c r="L883" s="1244"/>
      <c r="M883" s="1244"/>
      <c r="N883" s="1245"/>
    </row>
    <row r="884" spans="1:14" ht="16.5">
      <c r="A884" s="242">
        <v>878</v>
      </c>
      <c r="B884" s="1246"/>
      <c r="C884" s="1247"/>
      <c r="D884" s="1248" t="s">
        <v>580</v>
      </c>
      <c r="E884" s="1249"/>
      <c r="F884" s="1250"/>
      <c r="G884" s="1250"/>
      <c r="H884" s="1251"/>
      <c r="I884" s="1252">
        <f>SUM(J884:N884)</f>
        <v>3005084</v>
      </c>
      <c r="J884" s="1250">
        <f>SUM(J496+J471+J467+J463+J459+J455+J451+J447+J440+J436+J432+J428+J416+J412+J408+J404+J400+J342+J334+J330+J326+J322+J318+J314+J273+J258+J254+J250+J246+J242+J226+J222+J218+J214+J154+J150+J146+J16+J12+J8)+J424+J420+J338+J238</f>
        <v>14489</v>
      </c>
      <c r="K884" s="1250">
        <f>SUM(K496+K471+K467+K463+K459+K455+K451+K447+K440+K436+K432+K428+K416+K412+K408+K404+K400+K342+K334+K330+K326+K322+K318+K314+K273+K258+K254+K250+K246+K242+K226+K222+K218+K214+K154+K150+K146+K16+K12+K8)+K424+K420+K338+K238</f>
        <v>2020</v>
      </c>
      <c r="L884" s="1250">
        <f>SUM(L496+L471+L467+L463+L459+L455+L451+L447+L440+L436+L432+L428+L416+L412+L408+L404+L400+L342+L334+L330+L326+L322+L318+L314+L273+L258+L254+L250+L246+L242+L226+L222+L218+L214+L154+L150+L146+L16+L12+L8)+L424+L420+L338+L238</f>
        <v>2172033</v>
      </c>
      <c r="M884" s="1250">
        <f>SUM(M496+M471+M467+M463+M459+M455+M451+M447+M440+M436+M432+M428+M416+M412+M408+M404+M400+M342+M334+M330+M326+M322+M318+M314+M273+M258+M254+M250+M246+M242+M226+M222+M218+M214+M154+M150+M146+M16+M12+M8)+M424+M420+M338+M238</f>
        <v>37460</v>
      </c>
      <c r="N884" s="1253">
        <f>SUM(N496+N471+N467+N463+N459+N455+N451+N447+N440+N436+N432+N428+N416+N412+N408+N404+N400+N342+N334+N330+N326+N322+N318+N314+N273+N258+N254+N250+N246+N242+N226+N222+N218+N214+N154+N150+N146+N16+N12+N8)+N424+N420+N338+N238</f>
        <v>779082</v>
      </c>
    </row>
    <row r="885" spans="1:14" ht="16.5">
      <c r="A885" s="242">
        <v>879</v>
      </c>
      <c r="B885" s="1246"/>
      <c r="C885" s="1247"/>
      <c r="D885" s="1254" t="s">
        <v>581</v>
      </c>
      <c r="E885" s="1247"/>
      <c r="F885" s="1255"/>
      <c r="G885" s="1255"/>
      <c r="H885" s="1256"/>
      <c r="I885" s="1257">
        <f>SUM(J885:N885)</f>
        <v>3464985</v>
      </c>
      <c r="J885" s="1255">
        <f>SUM(J875:J878,J855:J856,J497,J487,J472,J468,J464,J460,J456,J448,J441,J437,J433,J429,J425,J421,J417,J413,J409,J405,J401)+J343+J339+J335+J331+J327+J323+J319+J315+J289+J274+J259+J255+J251+J247+J243+J239+J227+J223+J219+J215+J155+J151+J147+J17+J13+J9+J452</f>
        <v>15448</v>
      </c>
      <c r="K885" s="1255">
        <f>SUM(K875:K878,K855:K856,K497,K487,K472,K468,K464,K460,K456,K448,K441,K437,K433,K429,K425,K421,K417,K413,K409,K405,K401)+K343+K339+K335+K331+K327+K323+K319+K315+K289+K274+K259+K255+K251+K247+K243+K239+K227+K223+K219+K215+K155+K151+K147+K17+K13+K9+K452</f>
        <v>2121</v>
      </c>
      <c r="L885" s="1255">
        <f>SUM(L875:L878,L855:L856,L497,L487,L472,L468,L464,L460,L456,L448,L441,L437,L433,L429,L425,L421,L417,L413,L409,L405,L401)+L343+L339+L335+L331+L327+L323+L319+L315+L289+L274+L259+L255+L251+L247+L243+L239+L227+L223+L219+L215+L155+L151+L147+L17+L13+L9+L452</f>
        <v>2477101</v>
      </c>
      <c r="M885" s="1255">
        <f>SUM(M875:M878,M855:M856,M497,M487,M472,M468,M464,M460,M456,M448,M441,M437,M433,M429,M425,M421,M417,M413,M409,M405,M401)+M343+M339+M335+M331+M327+M323+M319+M315+M289+M274+M259+M255+M251+M247+M243+M239+M227+M223+M219+M215+M155+M151+M147+M17+M13+M9+M452</f>
        <v>27260</v>
      </c>
      <c r="N885" s="1258">
        <f>SUM(N875:N878,N855:N856,N497,N487,N472,N468,N464,N460,N456,N448,N441,N437,N433,N429,N425,N421,N417,N413,N409,N405,N401)+N343+N339+N335+N331+N327+N323+N319+N315+N289+N274+N259+N255+N251+N247+N243+N239+N227+N223+N219+N215+N155+N151+N147+N17+N13+N9+N452</f>
        <v>943055</v>
      </c>
    </row>
    <row r="886" spans="1:14" ht="16.5">
      <c r="A886" s="254">
        <v>880</v>
      </c>
      <c r="B886" s="1259"/>
      <c r="C886" s="1260"/>
      <c r="D886" s="1261" t="s">
        <v>579</v>
      </c>
      <c r="E886" s="1260"/>
      <c r="F886" s="1262"/>
      <c r="G886" s="1262"/>
      <c r="H886" s="1263"/>
      <c r="I886" s="1264">
        <f>SUM(J886:N886)</f>
        <v>3130584</v>
      </c>
      <c r="J886" s="1262">
        <f>SUM(J498+J488+J473+J469+J465+J461+J457+J453+J449+J442+J438+J434+J430+J418+J414+J410+J406+J402+J344+J336+J332+J328+J324+J320+J316+J275+J260+J256+J252+J248+J244+J228+J224+J220+J216+J156+J152+J148+J18+J14+J10)+J426+J422+J340+J290+J240</f>
        <v>14000</v>
      </c>
      <c r="K886" s="1262">
        <f>SUM(K498+K488+K473+K469+K465+K461+K457+K453+K449+K442+K438+K434+K430+K418+K414+K410+K406+K402+K344+K336+K332+K328+K324+K320+K316+K275+K260+K256+K252+K248+K244+K228+K224+K220+K216+K156+K152+K148+K18+K14+K10)+K426+K422+K340+K290+K240</f>
        <v>2014</v>
      </c>
      <c r="L886" s="1262">
        <f>SUM(L498+L488+L473+L469+L465+L461+L457+L453+L449+L442+L438+L434+L430+L418+L414+L410+L406+L402+L344+L336+L332+L328+L324+L320+L316+L275+L260+L256+L252+L248+L244+L228+L224+L220+L216+L156+L152+L148+L18+L14+L10)+L426+L422+L340+L290+L240</f>
        <v>2275310</v>
      </c>
      <c r="M886" s="1262">
        <f>SUM(M498+M488+M473+M469+M465+M461+M457+M453+M449+M442+M438+M434+M430+M418+M414+M410+M406+M402+M344+M336+M332+M328+M324+M320+M316+M275+M260+M256+M252+M248+M244+M228+M224+M220+M216+M156+M152+M148+M18+M14+M10)+M426+M422+M340+M290+M240</f>
        <v>23625</v>
      </c>
      <c r="N886" s="1265">
        <f>SUM(N498+N488+N473+N469+N465+N461+N457+N453+N449+N442+N438+N434+N430+N418+N414+N410+N406+N402+N344+N336+N332+N328+N324+N320+N316+N275+N260+N256+N252+N248+N244+N228+N224+N220+N216+N156+N152+N148+N18+N14+N10)+N426+N422+N340+N290+N240</f>
        <v>815635</v>
      </c>
    </row>
    <row r="887" spans="1:14" ht="16.5">
      <c r="A887" s="242">
        <v>881</v>
      </c>
      <c r="B887" s="1246"/>
      <c r="C887" s="1247"/>
      <c r="D887" s="1266" t="s">
        <v>762</v>
      </c>
      <c r="E887" s="1247"/>
      <c r="F887" s="1256">
        <f>SUM(F857:F871,F596:F854,F540:F593,F492,F489,F474:F482,F443,F345:F395,F291:F306,F276:F284,F261:F268,F229:F233,F157:F165,F116:F141,F115,F63:F91,F19:F35)</f>
        <v>1008771</v>
      </c>
      <c r="G887" s="1256">
        <f>SUM(G857:G871,G596:G854,G540:G593,G492,G489,G474:G482,G443,G345:G395,G291:G306,G276:G284,G261:G268,G229:G233,G157:G165,G116:G141,G115,G63:G91,G19:G35)</f>
        <v>1066815</v>
      </c>
      <c r="H887" s="1256">
        <f>SUM(H857:H871,H596:H854,H540:H593,H492,H489,H474:H482,H443,H345:H395,H291:H306,H276:H284,H261:H268,H229:H233,H157:H165,H116:H141,H115,H63:H91,H19:H35)</f>
        <v>1104166</v>
      </c>
      <c r="I887" s="1267"/>
      <c r="J887" s="1268"/>
      <c r="K887" s="1268"/>
      <c r="L887" s="1268"/>
      <c r="M887" s="1268"/>
      <c r="N887" s="1269"/>
    </row>
    <row r="888" spans="1:14" ht="16.5">
      <c r="A888" s="242">
        <v>882</v>
      </c>
      <c r="B888" s="1246"/>
      <c r="C888" s="1247"/>
      <c r="D888" s="1248" t="s">
        <v>580</v>
      </c>
      <c r="E888" s="1249"/>
      <c r="F888" s="1250"/>
      <c r="G888" s="1250"/>
      <c r="H888" s="1270"/>
      <c r="I888" s="1252">
        <f>SUM(J888:N888)</f>
        <v>1096078</v>
      </c>
      <c r="J888" s="1250">
        <f>SUM(J541+J483+J479+J475+J396+J389+J385+J378+J374+J370+J366+J362+J358+J354+J350+J346+J307+J303+J299+J295+J285+J281+J277+J269+J262+J166+J162+J158+J142+J127+J123+J116+J92+J88+J84+J76+J72+J68+J64+J36+J32+J28+J24+J20)+J557+J553+J549+J545+J234+J230+J138+J131+J80</f>
        <v>21549</v>
      </c>
      <c r="K888" s="1250">
        <f>SUM(K541+K483+K479+K475+K396+K389+K385+K378+K374+K370+K366+K362+K358+K354+K350+K346+K307+K303+K299+K295+K285+K281+K277+K269+K262+K166+K162+K158+K142+K127+K123+K116+K92+K88+K84+K76+K72+K68+K64+K36+K32+K28+K24+K20)+K557+K553+K549+K545+K234+K230+K138+K131+K80</f>
        <v>7182</v>
      </c>
      <c r="L888" s="1250">
        <f>SUM(L541+L483+L479+L475+L396+L389+L385+L378+L374+L370+L366+L362+L358+L354+L350+L346+L307+L303+L299+L295+L285+L281+L277+L269+L262+L166+L162+L158+L142+L127+L123+L116+L92+L88+L84+L76+L72+L68+L64+L36+L32+L28+L24+L20)+L557+L553+L549+L545+L234+L230+L138+L131+L80</f>
        <v>625520</v>
      </c>
      <c r="M888" s="1250">
        <f>SUM(M541+M483+M479+M475+M396+M389+M385+M378+M374+M370+M366+M362+M358+M354+M350+M346+M307+M303+M299+M295+M285+M281+M277+M269+M262+M166+M162+M158+M142+M127+M123+M116+M92+M88+M84+M76+M72+M68+M64+M36+M32+M28+M24+M20)+M557+M553+M549+M545+M234+M230+M138+M131+M80</f>
        <v>5500</v>
      </c>
      <c r="N888" s="1253">
        <f>SUM(N541+N483+N479+N475+N396+N389+N385+N378+N374+N370+N366+N362+N358+N354+N350+N346+N307+N303+N299+N295+N285+N281+N277+N269+N262+N166+N162+N158+N142+N127+N123+N116+N92+N88+N84+N76+N72+N68+N64+N36+N32+N28+N24+N20)+N557+N553+N549+N545+N234+N230+N138+N131+N80</f>
        <v>436327</v>
      </c>
    </row>
    <row r="889" spans="1:14" ht="16.5">
      <c r="A889" s="254">
        <v>883</v>
      </c>
      <c r="B889" s="1246"/>
      <c r="C889" s="1247"/>
      <c r="D889" s="1254" t="s">
        <v>581</v>
      </c>
      <c r="E889" s="1247"/>
      <c r="F889" s="1255"/>
      <c r="G889" s="1255"/>
      <c r="H889" s="1256"/>
      <c r="I889" s="1257">
        <f>SUM(J889:N889)</f>
        <v>1411115</v>
      </c>
      <c r="J889" s="1255">
        <f>SUM(J602+J597+J594+J591+J588+J585+J582+J567+J564+J561+J542+J484+J480+J476+J444+J397+J393+J390+J386+J382+J379+J375+J371+J367+J363+J359+J355+J351+J347+J308+J304+J300+J296+J286+J282+J278+J270+J266+J263+J167+J163+J159+J143+J128+J124+J117+J93+J89+J85+J77+J73+J69+J65+J37+J33+J29+J25+J21)+J608+J605+J570+J558+J554+J550+J546+J493+J490+J292+J235+J231+J139+J135+J132+J120+J81+J850+J847+J844+J841+J838+J835+J832+J829+J826+J823+J820+J817+J814+J811+J808+J805+J802+J799+J796+J793+J790+J787+J784+J781+J778+J775+J772+J769+J766+J763+J760+J757+J754+J751+J748+J745+J742+J739+J736+J733+J730+J727+J724+J721+J718+J715+J712+J709+J706+J703+J700+J697+J694+J690+J687+J684+J681+J678+J675+J672+J669+J666+J663+J660+J657+J654+J651+J648+J645+J642+J639+J636+J633+J630+J627+J624+J621+J618+J579+J576+J573+J538+J535+J532+J529+J526+J523+J520+J611+J614</f>
        <v>37812</v>
      </c>
      <c r="K889" s="1255">
        <f>SUM(K602+K597+K594+K591+K588+K585+K582+K567+K564+K561+K542+K484+K480+K476+K444+K397+K393+K390+K386+K382+K379+K375+K371+K367+K363+K359+K355+K351+K347+K308+K304+K300+K296+K286+K282+K278+K270+K266+K263+K167+K163+K159+K143+K128+K124+K117+K93+K89+K85+K77+K73+K69+K65+K37+K33+K29+K25+K21)+K608+K605+K570+K558+K554+K550+K546+K493+K490+K292+K235+K231+K139+K135+K132+K120+K81+K850+K847+K844+K841+K838+K835+K832+K829+K826+K823+K820+K817+K814+K811+K808+K805+K802+K799+K796+K793+K790+K787+K784+K781+K778+K775+K772+K769+K766+K763+K760+K757+K754+K751+K748+K745+K742+K739+K736+K733+K730+K727+K724+K721+K718+K715+K712+K709+K706+K703+K700+K697+K694+K690+K687+K684+K681+K678+K675+K672+K669+K666+K663+K660+K657+K654+K651+K648+K645+K642+K639+K636+K633+K630+K627+K624+K621+K618+K579+K576+K573+K538+K535+K532+K529+K526+K523+K520+K611+K614</f>
        <v>10513</v>
      </c>
      <c r="L889" s="1255">
        <f>SUM(L602+L597+L594+L591+L588+L585+L582+L567+L564+L561+L542+L484+L480+L476+L444+L397+L393+L390+L386+L382+L379+L375+L371+L367+L363+L359+L355+L351+L347+L308+L304+L300+L296+L286+L282+L278+L270+L266+L263+L167+L163+L159+L143+L128+L124+L117+L93+L89+L85+L77+L73+L69+L65+L37+L33+L29+L25+L21)+L608+L605+L570+L558+L554+L550+L546+L493+L490+L292+L235+L231+L139+L135+L132+L120+L81+L850+L847+L844+L841+L838+L835+L832+L829+L826+L823+L820+L817+L814+L811+L808+L805+L802+L799+L796+L793+L790+L787+L784+L781+L778+L775+L772+L769+L766+L763+L760+L757+L754+L751+L748+L745+L742+L739+L736+L733+L730+L727+L724+L721+L718+L715+L712+L709+L706+L703+L700+L697+L694+L690+L687+L684+L681+L678+L675+L672+L669+L666+L663+L660+L657+L654+L651+L648+L645+L642+L639+L636+L633+L630+L627+L624+L621+L618+L579+L576+L573+L538+L535+L532+L529+L526+L523+L520+L611+L614</f>
        <v>784066</v>
      </c>
      <c r="M889" s="1255">
        <f>SUM(M602+M597+M594+M591+M588+M585+M582+M567+M564+M561+M542+M484+M480+M476+M444+M397+M393+M390+M386+M382+M379+M375+M371+M367+M363+M359+M355+M351+M347+M308+M304+M300+M296+M286+M282+M278+M270+M266+M263+M167+M163+M159+M143+M128+M124+M117+M93+M89+M85+M77+M73+M69+M65+M37+M33+M29+M25+M21)+M608+M605+M570+M558+M554+M550+M546+M493+M490+M292+M235+M231+M139+M135+M132+M120+M81+M850+M847+M844+M841+M838+M835+M832+M829+M826+M823+M820+M817+M814+M811+M808+M805+M802+M799+M796+M793+M790+M787+M784+M781+M778+M775+M772+M769+M766+M763+M760+M757+M754+M751+M748+M745+M742+M739+M736+M733+M730+M727+M724+M721+M718+M715+M712+M709+M706+M703+M700+M697+M694+M690+M687+M684+M681+M678+M675+M672+M669+M666+M663+M660+M657+M654+M651+M648+M645+M642+M639+M636+M633+M630+M627+M624+M621+M618+M579+M576+M573+M538+M535+M532+M529+M526+M523+M520+M611+M614</f>
        <v>3800</v>
      </c>
      <c r="N889" s="1258">
        <f>SUM(N602+N597+N594+N591+N588+N585+N582+N567+N564+N561+N542+N484+N480+N476+N444+N397+N393+N390+N386+N382+N379+N375+N371+N367+N363+N359+N355+N351+N347+N308+N304+N300+N296+N286+N282+N278+N270+N266+N263+N167+N163+N159+N143+N128+N124+N117+N93+N89+N85+N77+N73+N69+N65+N37+N33+N29+N25+N21)+N608+N605+N570+N558+N554+N550+N546+N493+N490+N292+N235+N231+N139+N135+N132+N120+N81+N850+N847+N844+N841+N838+N835+N832+N829+N826+N823+N820+N817+N814+N811+N808+N805+N802+N799+N796+N793+N790+N787+N784+N781+N778+N775+N772+N769+N766+N763+N760+N757+N754+N751+N748+N745+N742+N739+N736+N733+N730+N727+N724+N721+N718+N715+N712+N709+N706+N703+N700+N697+N694+N690+N687+N684+N681+N678+N675+N672+N669+N666+N663+N660+N657+N654+N651+N648+N645+N642+N639+N636+N633+N630+N627+N624+N621+N618+N579+N576+N573+N538+N535+N532+N529+N526+N523+N520+N611+N614</f>
        <v>574924</v>
      </c>
    </row>
    <row r="890" spans="1:14" ht="16.5">
      <c r="A890" s="242">
        <v>884</v>
      </c>
      <c r="B890" s="1259"/>
      <c r="C890" s="1260"/>
      <c r="D890" s="1261" t="s">
        <v>579</v>
      </c>
      <c r="E890" s="1260"/>
      <c r="F890" s="1262"/>
      <c r="G890" s="1262"/>
      <c r="H890" s="1263"/>
      <c r="I890" s="1264">
        <f>SUM(J890:N890)</f>
        <v>1230482</v>
      </c>
      <c r="J890" s="1262">
        <f>SUM(J609+J606+J603+J598+J592+J589+J586+J583+J568+J565+J562+J543+J485+J481+J477+J445+J398+J394+J391+J387+J383+J380+J376+J372+J368+J364+J360+J356+J352+J348+J309+J305+J301+J297+J287+J283+J279+J271+J267+J264+J168+J164+J160+J144+J129+J125+J118+J94+J90+J86+J78+J74+J70+J66+J38+J34+J30+J26+J22)+J595+J571+J559+J555+J551+J547+J494+J491+J293+J236+J232+J140+J136+J133+J121+J82+J851+J848+J845+J842+J839+J836+J833+J830+J827+J824+J821+J818+J815+J812+J809+J806+J803+J800+J797+J794+J791+J788+J785+J782+J779+J776+J773+J770+J767+J764+J761+J758+J755+J752+J749+J746+J743+J740+J737+J734+J731+J728+J725+J722+J719+J716+J713+J710+J707+J704+J701+J698+J695+J691+J688+J685+J682+J679+J676+J673+J670+J667+J664+J661+J658+J655+J652+J649+J646+J643+J640+J637+J634+J631+J628+J625+J622+J619+J615+J612+J580+J577+J574+J539+J536+J533+J530+J527+J524+J521+J600</f>
        <v>25590</v>
      </c>
      <c r="K890" s="1262">
        <f>SUM(K609+K606+K603+K598+K592+K589+K586+K583+K568+K565+K562+K543+K485+K481+K477+K445+K398+K394+K391+K387+K383+K380+K376+K372+K368+K364+K360+K356+K352+K348+K309+K305+K301+K297+K287+K283+K279+K271+K267+K264+K168+K164+K160+K144+K129+K125+K118+K94+K90+K86+K78+K74+K70+K66+K38+K34+K30+K26+K22)+K595+K571+K559+K555+K551+K547+K494+K491+K293+K236+K232+K140+K136+K133+K121+K82+K851+K848+K845+K842+K839+K836+K833+K830+K827+K824+K821+K818+K815+K812+K809+K806+K803+K800+K797+K794+K791+K788+K785+K782+K779+K776+K773+K770+K767+K764+K761+K758+K755+K752+K749+K746+K743+K740+K737+K734+K731+K728+K725+K722+K719+K716+K713+K710+K707+K704+K701+K698+K695+K691+K688+K685+K682+K679+K676+K673+K670+K667+K664+K661+K658+K655+K652+K649+K646+K643+K640+K637+K634+K631+K628+K625+K622+K619+K615+K612+K580+K577+K574+K539+K536+K533+K530+K527+K524+K521+K600</f>
        <v>7043</v>
      </c>
      <c r="L890" s="1262">
        <f>SUM(L609+L606+L603+L598+L592+L589+L586+L583+L568+L565+L562+L543+L485+L481+L477+L445+L398+L394+L391+L387+L383+L380+L376+L372+L368+L364+L360+L356+L352+L348+L309+L305+L301+L297+L287+L283+L279+L271+L267+L264+L168+L164+L160+L144+L129+L125+L118+L94+L90+L86+L78+L74+L70+L66+L38+L34+L30+L26+L22)+L595+L571+L559+L555+L551+L547+L494+L491+L293+L236+L232+L140+L136+L133+L121+L82+L851+L848+L845+L842+L839+L836+L833+L830+L827+L824+L821+L818+L815+L812+L809+L806+L803+L800+L797+L794+L791+L788+L785+L782+L779+L776+L773+L770+L767+L764+L761+L758+L755+L752+L749+L746+L743+L740+L737+L734+L731+L728+L725+L722+L719+L716+L713+L710+L707+L704+L701+L698+L695+L691+L688+L685+L682+L679+L676+L673+L670+L667+L664+L661+L658+L655+L652+L649+L646+L643+L640+L637+L634+L631+L628+L625+L622+L619+L615+L612+L580+L577+L574+L539+L536+L533+L530+L527+L524+L521+L600</f>
        <v>698557</v>
      </c>
      <c r="M890" s="1262">
        <f>SUM(M609+M606+M603+M598+M592+M589+M586+M583+M568+M565+M562+M543+M485+M481+M477+M445+M398+M394+M391+M387+M383+M380+M376+M372+M368+M364+M360+M356+M352+M348+M309+M305+M301+M297+M287+M283+M279+M271+M267+M264+M168+M164+M160+M144+M129+M125+M118+M94+M90+M86+M78+M74+M70+M66+M38+M34+M30+M26+M22)+M595+M571+M559+M555+M551+M547+M494+M491+M293+M236+M232+M140+M136+M133+M121+M82+M851+M848+M845+M842+M839+M836+M833+M830+M827+M824+M821+M818+M815+M812+M809+M806+M803+M800+M797+M794+M791+M788+M785+M782+M779+M776+M773+M770+M767+M764+M761+M758+M755+M752+M749+M746+M743+M740+M737+M734+M731+M728+M725+M722+M719+M716+M713+M710+M707+M704+M701+M698+M695+M691+M688+M685+M682+M679+M676+M673+M670+M667+M664+M661+M658+M655+M652+M649+M646+M643+M640+M637+M634+M631+M628+M625+M622+M619+M615+M612+M580+M577+M574+M539+M536+M533+M530+M527+M524+M521+M600</f>
        <v>2489</v>
      </c>
      <c r="N890" s="1265">
        <f>SUM(N609+N606+N603+N598+N592+N589+N586+N583+N568+N565+N562+N543+N485+N481+N477+N445+N398+N394+N391+N387+N383+N380+N376+N372+N368+N364+N360+N356+N352+N348+N309+N305+N301+N297+N287+N283+N279+N271+N267+N264+N168+N164+N160+N144+N129+N125+N118+N94+N90+N86+N78+N74+N70+N66+N38+N34+N30+N26+N22)+N595+N571+N559+N555+N551+N547+N494+N491+N293+N236+N232+N140+N136+N133+N121+N82+N851+N848+N845+N842+N839+N836+N833+N830+N827+N824+N821+N818+N815+N812+N809+N806+N803+N800+N797+N794+N791+N788+N785+N782+N779+N776+N773+N770+N767+N764+N761+N758+N755+N752+N749+N746+N743+N740+N737+N734+N731+N728+N725+N722+N719+N716+N713+N710+N707+N704+N701+N698+N695+N691+N688+N685+N682+N679+N676+N673+N670+N667+N664+N661+N658+N655+N652+N649+N646+N643+N640+N637+N634+N631+N628+N625+N622+N619+N615+N612+N580+N577+N574+N539+N536+N533+N530+N527+N524+N521+N600</f>
        <v>496803</v>
      </c>
    </row>
    <row r="891" spans="1:14" ht="16.5">
      <c r="A891" s="321">
        <v>885</v>
      </c>
      <c r="B891" s="1246"/>
      <c r="C891" s="1247"/>
      <c r="D891" s="1537" t="s">
        <v>765</v>
      </c>
      <c r="E891" s="1538"/>
      <c r="F891" s="1256">
        <f>SUM(F189:F209,)+F872+F873+F874</f>
        <v>239504</v>
      </c>
      <c r="G891" s="1256">
        <f>SUM(G189:G209,)+G872+G873+G874</f>
        <v>243900</v>
      </c>
      <c r="H891" s="1256">
        <f>SUM(H189:H209,)+H872+H873+H874</f>
        <v>170127</v>
      </c>
      <c r="I891" s="1257"/>
      <c r="J891" s="1271"/>
      <c r="K891" s="1271"/>
      <c r="L891" s="1271"/>
      <c r="M891" s="1271"/>
      <c r="N891" s="1272"/>
    </row>
    <row r="892" spans="1:14" ht="16.5">
      <c r="A892" s="254">
        <v>886</v>
      </c>
      <c r="B892" s="1246"/>
      <c r="C892" s="1247"/>
      <c r="D892" s="1248" t="s">
        <v>580</v>
      </c>
      <c r="E892" s="1249"/>
      <c r="F892" s="1250"/>
      <c r="G892" s="1250"/>
      <c r="H892" s="1270"/>
      <c r="I892" s="1252">
        <f aca="true" t="shared" si="18" ref="I892:N893">SUM(I210+I206+I202+I198+I194+I190)</f>
        <v>79640</v>
      </c>
      <c r="J892" s="1250">
        <f t="shared" si="18"/>
        <v>0</v>
      </c>
      <c r="K892" s="1250">
        <f t="shared" si="18"/>
        <v>0</v>
      </c>
      <c r="L892" s="1250">
        <f t="shared" si="18"/>
        <v>0</v>
      </c>
      <c r="M892" s="1250">
        <f t="shared" si="18"/>
        <v>79640</v>
      </c>
      <c r="N892" s="1253">
        <f t="shared" si="18"/>
        <v>0</v>
      </c>
    </row>
    <row r="893" spans="1:14" ht="16.5">
      <c r="A893" s="242">
        <v>887</v>
      </c>
      <c r="B893" s="1246"/>
      <c r="C893" s="1247"/>
      <c r="D893" s="1254" t="s">
        <v>581</v>
      </c>
      <c r="E893" s="1247"/>
      <c r="F893" s="1255"/>
      <c r="G893" s="1255"/>
      <c r="H893" s="1256"/>
      <c r="I893" s="1257">
        <f t="shared" si="18"/>
        <v>60609</v>
      </c>
      <c r="J893" s="1255">
        <f t="shared" si="18"/>
        <v>0</v>
      </c>
      <c r="K893" s="1255">
        <f t="shared" si="18"/>
        <v>0</v>
      </c>
      <c r="L893" s="1255">
        <f t="shared" si="18"/>
        <v>0</v>
      </c>
      <c r="M893" s="1255">
        <f t="shared" si="18"/>
        <v>60609</v>
      </c>
      <c r="N893" s="1258">
        <f t="shared" si="18"/>
        <v>0</v>
      </c>
    </row>
    <row r="894" spans="1:14" ht="17.25" thickBot="1">
      <c r="A894" s="242">
        <v>888</v>
      </c>
      <c r="B894" s="1273"/>
      <c r="C894" s="1274"/>
      <c r="D894" s="1275" t="s">
        <v>579</v>
      </c>
      <c r="E894" s="1274"/>
      <c r="F894" s="1276"/>
      <c r="G894" s="1276"/>
      <c r="H894" s="1277"/>
      <c r="I894" s="1278">
        <f aca="true" t="shared" si="19" ref="I894:N894">SUM(I192+I196+I200+I204+I208+I212)</f>
        <v>54613</v>
      </c>
      <c r="J894" s="1276">
        <f t="shared" si="19"/>
        <v>0</v>
      </c>
      <c r="K894" s="1276">
        <f t="shared" si="19"/>
        <v>0</v>
      </c>
      <c r="L894" s="1276">
        <f t="shared" si="19"/>
        <v>0</v>
      </c>
      <c r="M894" s="1276">
        <f t="shared" si="19"/>
        <v>54613</v>
      </c>
      <c r="N894" s="1279">
        <f t="shared" si="19"/>
        <v>0</v>
      </c>
    </row>
    <row r="895" spans="1:14" s="1282" customFormat="1" ht="11.25">
      <c r="A895" s="1280"/>
      <c r="B895" s="1520" t="s">
        <v>783</v>
      </c>
      <c r="C895" s="1520"/>
      <c r="D895" s="1520"/>
      <c r="E895" s="1520"/>
      <c r="F895" s="1281"/>
      <c r="G895" s="1281"/>
      <c r="H895" s="1281"/>
      <c r="I895" s="1281"/>
      <c r="J895" s="1281"/>
      <c r="K895" s="1281"/>
      <c r="L895" s="1281"/>
      <c r="M895" s="1281"/>
      <c r="N895" s="1281"/>
    </row>
    <row r="896" spans="1:14" s="1282" customFormat="1" ht="11.25">
      <c r="A896" s="1280"/>
      <c r="B896" s="1520" t="s">
        <v>368</v>
      </c>
      <c r="C896" s="1520"/>
      <c r="D896" s="1520"/>
      <c r="E896" s="1520"/>
      <c r="F896" s="1520"/>
      <c r="G896" s="1281"/>
      <c r="H896" s="1281"/>
      <c r="I896" s="1281"/>
      <c r="J896" s="1281"/>
      <c r="K896" s="1281"/>
      <c r="L896" s="1281"/>
      <c r="M896" s="1281"/>
      <c r="N896" s="1281"/>
    </row>
    <row r="897" spans="1:14" s="1282" customFormat="1" ht="11.25">
      <c r="A897" s="1280"/>
      <c r="B897" s="1520" t="s">
        <v>369</v>
      </c>
      <c r="C897" s="1520"/>
      <c r="D897" s="1520"/>
      <c r="E897" s="1520"/>
      <c r="F897" s="1281"/>
      <c r="G897" s="1281"/>
      <c r="H897" s="1281"/>
      <c r="I897" s="1281"/>
      <c r="J897" s="1281"/>
      <c r="K897" s="1281"/>
      <c r="L897" s="1281"/>
      <c r="M897" s="1281"/>
      <c r="N897" s="1281"/>
    </row>
    <row r="898" spans="1:14" s="1282" customFormat="1" ht="11.25">
      <c r="A898" s="1280"/>
      <c r="B898" s="1520" t="s">
        <v>763</v>
      </c>
      <c r="C898" s="1520"/>
      <c r="D898" s="1520"/>
      <c r="E898" s="1520"/>
      <c r="F898" s="1281"/>
      <c r="G898" s="1281"/>
      <c r="H898" s="1281"/>
      <c r="I898" s="1281"/>
      <c r="J898" s="1281"/>
      <c r="K898" s="1281"/>
      <c r="L898" s="1281"/>
      <c r="M898" s="1281"/>
      <c r="N898" s="1281"/>
    </row>
    <row r="899" spans="9:14" ht="17.25">
      <c r="I899" s="305">
        <f aca="true" t="shared" si="20" ref="I899:N899">SUM(I880-I884-I888-I892)</f>
        <v>0</v>
      </c>
      <c r="J899" s="305">
        <f t="shared" si="20"/>
        <v>0</v>
      </c>
      <c r="K899" s="305">
        <f t="shared" si="20"/>
        <v>0</v>
      </c>
      <c r="L899" s="305">
        <f t="shared" si="20"/>
        <v>0</v>
      </c>
      <c r="M899" s="305">
        <f t="shared" si="20"/>
        <v>0</v>
      </c>
      <c r="N899" s="305">
        <f t="shared" si="20"/>
        <v>0</v>
      </c>
    </row>
    <row r="900" spans="6:14" ht="17.25">
      <c r="F900" s="247">
        <f>SUM(F879-F883-F887-F891)</f>
        <v>0</v>
      </c>
      <c r="G900" s="247">
        <f>SUM(G879-G883-G887-G891)</f>
        <v>0</v>
      </c>
      <c r="H900" s="247">
        <f>SUM(H879-H883-H887-H891)</f>
        <v>0</v>
      </c>
      <c r="I900" s="612">
        <f aca="true" t="shared" si="21" ref="I900:N900">SUM(I881-I889-I885-I893)</f>
        <v>0</v>
      </c>
      <c r="J900" s="612">
        <f t="shared" si="21"/>
        <v>0</v>
      </c>
      <c r="K900" s="612">
        <f t="shared" si="21"/>
        <v>0</v>
      </c>
      <c r="L900" s="612">
        <f t="shared" si="21"/>
        <v>0</v>
      </c>
      <c r="M900" s="612">
        <f t="shared" si="21"/>
        <v>0</v>
      </c>
      <c r="N900" s="612">
        <f t="shared" si="21"/>
        <v>0</v>
      </c>
    </row>
    <row r="901" spans="9:14" ht="17.25">
      <c r="I901" s="350">
        <f aca="true" t="shared" si="22" ref="I901:N901">SUM(I894,I890,I886-I882)</f>
        <v>0</v>
      </c>
      <c r="J901" s="350">
        <f t="shared" si="22"/>
        <v>0</v>
      </c>
      <c r="K901" s="350">
        <f t="shared" si="22"/>
        <v>0</v>
      </c>
      <c r="L901" s="350">
        <f t="shared" si="22"/>
        <v>0</v>
      </c>
      <c r="M901" s="350">
        <f t="shared" si="22"/>
        <v>0</v>
      </c>
      <c r="N901" s="350">
        <f t="shared" si="22"/>
        <v>0</v>
      </c>
    </row>
  </sheetData>
  <sheetProtection/>
  <mergeCells count="18">
    <mergeCell ref="B898:E898"/>
    <mergeCell ref="B896:F896"/>
    <mergeCell ref="H5:H6"/>
    <mergeCell ref="I5:I6"/>
    <mergeCell ref="E5:E6"/>
    <mergeCell ref="F5:F6"/>
    <mergeCell ref="G5:G6"/>
    <mergeCell ref="D891:E891"/>
    <mergeCell ref="J5:N5"/>
    <mergeCell ref="B895:E895"/>
    <mergeCell ref="B897:E897"/>
    <mergeCell ref="B1:D1"/>
    <mergeCell ref="H1:I1"/>
    <mergeCell ref="B2:N2"/>
    <mergeCell ref="M3:N3"/>
    <mergeCell ref="B5:B6"/>
    <mergeCell ref="C5:C6"/>
    <mergeCell ref="D5:D6"/>
  </mergeCells>
  <printOptions horizontalCentered="1"/>
  <pageMargins left="0.1968503937007874" right="0.1968503937007874" top="0.1968503937007874" bottom="0.1968503937007874" header="0.5118110236220472" footer="0.5118110236220472"/>
  <pageSetup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E383"/>
  <sheetViews>
    <sheetView view="pageBreakPreview" zoomScaleSheetLayoutView="100" zoomScalePageLayoutView="0" workbookViewId="0" topLeftCell="A1">
      <selection activeCell="B1" sqref="B1"/>
    </sheetView>
  </sheetViews>
  <sheetFormatPr defaultColWidth="12.75390625" defaultRowHeight="12.75"/>
  <cols>
    <col min="1" max="1" width="4.00390625" style="1439" bestFit="1" customWidth="1"/>
    <col min="2" max="2" width="89.375" style="1457" bestFit="1" customWidth="1"/>
    <col min="3" max="3" width="12.75390625" style="1455" customWidth="1"/>
    <col min="4" max="244" width="9.125" style="247" customWidth="1"/>
    <col min="245" max="247" width="4.75390625" style="247" customWidth="1"/>
    <col min="248" max="248" width="85.75390625" style="247" customWidth="1"/>
    <col min="249" max="249" width="5.75390625" style="247" customWidth="1"/>
    <col min="250" max="252" width="11.75390625" style="247" customWidth="1"/>
    <col min="253" max="16384" width="12.75390625" style="247" customWidth="1"/>
  </cols>
  <sheetData>
    <row r="1" spans="1:3" s="1452" customFormat="1" ht="13.5">
      <c r="A1" s="1439"/>
      <c r="B1" s="1440" t="s">
        <v>1638</v>
      </c>
      <c r="C1" s="1441"/>
    </row>
    <row r="2" spans="1:3" s="248" customFormat="1" ht="21.75" customHeight="1">
      <c r="A2" s="1439"/>
      <c r="B2" s="1539" t="s">
        <v>431</v>
      </c>
      <c r="C2" s="1539"/>
    </row>
    <row r="3" spans="1:3" s="248" customFormat="1" ht="21.75" customHeight="1">
      <c r="A3" s="1439"/>
      <c r="B3" s="1539" t="s">
        <v>1431</v>
      </c>
      <c r="C3" s="1539"/>
    </row>
    <row r="4" spans="1:3" s="248" customFormat="1" ht="21.75" customHeight="1">
      <c r="A4" s="1439"/>
      <c r="B4" s="1539" t="s">
        <v>1432</v>
      </c>
      <c r="C4" s="1539"/>
    </row>
    <row r="5" spans="2:3" ht="16.5">
      <c r="B5" s="1540" t="s">
        <v>496</v>
      </c>
      <c r="C5" s="1540"/>
    </row>
    <row r="6" spans="1:3" s="1453" customFormat="1" ht="15.75" thickBot="1">
      <c r="A6" s="1439"/>
      <c r="B6" s="1442" t="s">
        <v>504</v>
      </c>
      <c r="C6" s="1443" t="s">
        <v>505</v>
      </c>
    </row>
    <row r="7" spans="1:3" s="1438" customFormat="1" ht="17.25">
      <c r="A7" s="1444"/>
      <c r="B7" s="1541" t="s">
        <v>1433</v>
      </c>
      <c r="C7" s="1543" t="s">
        <v>1434</v>
      </c>
    </row>
    <row r="8" spans="1:3" s="1438" customFormat="1" ht="18" thickBot="1">
      <c r="A8" s="1444"/>
      <c r="B8" s="1542"/>
      <c r="C8" s="1544"/>
    </row>
    <row r="9" spans="1:3" s="243" customFormat="1" ht="17.25" thickTop="1">
      <c r="A9" s="1439">
        <v>1</v>
      </c>
      <c r="B9" s="1445" t="s">
        <v>1573</v>
      </c>
      <c r="C9" s="1446">
        <v>2000</v>
      </c>
    </row>
    <row r="10" spans="1:3" s="243" customFormat="1" ht="16.5">
      <c r="A10" s="1439">
        <v>2</v>
      </c>
      <c r="B10" s="1445" t="s">
        <v>1435</v>
      </c>
      <c r="C10" s="1446">
        <v>4500</v>
      </c>
    </row>
    <row r="11" spans="1:3" s="243" customFormat="1" ht="16.5">
      <c r="A11" s="1439">
        <v>3</v>
      </c>
      <c r="B11" s="1445" t="s">
        <v>1436</v>
      </c>
      <c r="C11" s="1446">
        <v>1000</v>
      </c>
    </row>
    <row r="12" spans="1:3" s="243" customFormat="1" ht="16.5">
      <c r="A12" s="1439">
        <v>4</v>
      </c>
      <c r="B12" s="1445" t="s">
        <v>1574</v>
      </c>
      <c r="C12" s="1446">
        <v>2000</v>
      </c>
    </row>
    <row r="13" spans="1:3" s="243" customFormat="1" ht="16.5">
      <c r="A13" s="1439">
        <v>5</v>
      </c>
      <c r="B13" s="1445" t="s">
        <v>1239</v>
      </c>
      <c r="C13" s="1446">
        <v>50</v>
      </c>
    </row>
    <row r="14" spans="1:3" s="243" customFormat="1" ht="30" customHeight="1">
      <c r="A14" s="1439">
        <v>6</v>
      </c>
      <c r="B14" s="1445" t="s">
        <v>1437</v>
      </c>
      <c r="C14" s="1446">
        <v>4000</v>
      </c>
    </row>
    <row r="15" spans="1:3" s="243" customFormat="1" ht="16.5">
      <c r="A15" s="1439">
        <v>7</v>
      </c>
      <c r="B15" s="1445" t="s">
        <v>1438</v>
      </c>
      <c r="C15" s="1446">
        <v>380</v>
      </c>
    </row>
    <row r="16" spans="1:3" s="243" customFormat="1" ht="16.5">
      <c r="A16" s="1439">
        <v>8</v>
      </c>
      <c r="B16" s="1445" t="s">
        <v>1439</v>
      </c>
      <c r="C16" s="1446">
        <v>280</v>
      </c>
    </row>
    <row r="17" spans="1:3" s="243" customFormat="1" ht="16.5">
      <c r="A17" s="1439">
        <v>9</v>
      </c>
      <c r="B17" s="1445" t="s">
        <v>1440</v>
      </c>
      <c r="C17" s="1446">
        <v>280</v>
      </c>
    </row>
    <row r="18" spans="1:3" s="243" customFormat="1" ht="16.5">
      <c r="A18" s="1439">
        <v>10</v>
      </c>
      <c r="B18" s="1445" t="s">
        <v>1441</v>
      </c>
      <c r="C18" s="1446">
        <v>3000</v>
      </c>
    </row>
    <row r="19" spans="1:3" s="243" customFormat="1" ht="16.5">
      <c r="A19" s="1439">
        <v>11</v>
      </c>
      <c r="B19" s="1445" t="s">
        <v>1442</v>
      </c>
      <c r="C19" s="1446">
        <f>28200+5000</f>
        <v>33200</v>
      </c>
    </row>
    <row r="20" spans="1:3" s="243" customFormat="1" ht="16.5">
      <c r="A20" s="1439">
        <v>12</v>
      </c>
      <c r="B20" s="1445" t="s">
        <v>1443</v>
      </c>
      <c r="C20" s="1446">
        <v>5600</v>
      </c>
    </row>
    <row r="21" spans="1:3" s="243" customFormat="1" ht="16.5">
      <c r="A21" s="1439">
        <v>13</v>
      </c>
      <c r="B21" s="1445" t="s">
        <v>1444</v>
      </c>
      <c r="C21" s="1446">
        <v>200</v>
      </c>
    </row>
    <row r="22" spans="1:3" s="243" customFormat="1" ht="16.5">
      <c r="A22" s="1439">
        <v>14</v>
      </c>
      <c r="B22" s="1445" t="s">
        <v>1629</v>
      </c>
      <c r="C22" s="1446">
        <v>500</v>
      </c>
    </row>
    <row r="23" spans="1:3" s="243" customFormat="1" ht="16.5">
      <c r="A23" s="1439">
        <v>15</v>
      </c>
      <c r="B23" s="1445" t="s">
        <v>1630</v>
      </c>
      <c r="C23" s="1446">
        <v>50</v>
      </c>
    </row>
    <row r="24" spans="1:3" s="243" customFormat="1" ht="16.5">
      <c r="A24" s="1439">
        <v>16</v>
      </c>
      <c r="B24" s="1445" t="s">
        <v>1445</v>
      </c>
      <c r="C24" s="1446">
        <v>70</v>
      </c>
    </row>
    <row r="25" spans="1:3" s="243" customFormat="1" ht="16.5">
      <c r="A25" s="1439">
        <v>17</v>
      </c>
      <c r="B25" s="1445" t="s">
        <v>1446</v>
      </c>
      <c r="C25" s="1446">
        <v>20</v>
      </c>
    </row>
    <row r="26" spans="1:3" s="243" customFormat="1" ht="16.5">
      <c r="A26" s="1439">
        <v>18</v>
      </c>
      <c r="B26" s="1445" t="s">
        <v>1447</v>
      </c>
      <c r="C26" s="1446">
        <v>140</v>
      </c>
    </row>
    <row r="27" spans="1:3" s="243" customFormat="1" ht="16.5">
      <c r="A27" s="1439">
        <v>19</v>
      </c>
      <c r="B27" s="1445" t="s">
        <v>1448</v>
      </c>
      <c r="C27" s="1446">
        <v>20</v>
      </c>
    </row>
    <row r="28" spans="1:3" s="243" customFormat="1" ht="16.5">
      <c r="A28" s="1439">
        <v>20</v>
      </c>
      <c r="B28" s="1445" t="s">
        <v>1449</v>
      </c>
      <c r="C28" s="1446">
        <v>70</v>
      </c>
    </row>
    <row r="29" spans="1:3" s="243" customFormat="1" ht="16.5">
      <c r="A29" s="1439">
        <v>21</v>
      </c>
      <c r="B29" s="1445" t="s">
        <v>1450</v>
      </c>
      <c r="C29" s="1446">
        <v>40</v>
      </c>
    </row>
    <row r="30" spans="1:3" s="243" customFormat="1" ht="16.5">
      <c r="A30" s="1439">
        <v>22</v>
      </c>
      <c r="B30" s="1445" t="s">
        <v>1451</v>
      </c>
      <c r="C30" s="1446">
        <v>120</v>
      </c>
    </row>
    <row r="31" spans="1:3" s="243" customFormat="1" ht="16.5">
      <c r="A31" s="1439">
        <v>23</v>
      </c>
      <c r="B31" s="1445" t="s">
        <v>1452</v>
      </c>
      <c r="C31" s="1446">
        <v>100</v>
      </c>
    </row>
    <row r="32" spans="1:3" s="243" customFormat="1" ht="16.5">
      <c r="A32" s="1439">
        <v>24</v>
      </c>
      <c r="B32" s="1445" t="s">
        <v>1453</v>
      </c>
      <c r="C32" s="1446">
        <v>70</v>
      </c>
    </row>
    <row r="33" spans="1:3" s="243" customFormat="1" ht="16.5">
      <c r="A33" s="1439">
        <v>25</v>
      </c>
      <c r="B33" s="1445" t="s">
        <v>1454</v>
      </c>
      <c r="C33" s="1446">
        <v>100</v>
      </c>
    </row>
    <row r="34" spans="1:3" s="243" customFormat="1" ht="16.5">
      <c r="A34" s="1439">
        <v>26</v>
      </c>
      <c r="B34" s="1445" t="s">
        <v>1455</v>
      </c>
      <c r="C34" s="1446">
        <v>20</v>
      </c>
    </row>
    <row r="35" spans="1:3" s="243" customFormat="1" ht="16.5">
      <c r="A35" s="1439">
        <v>27</v>
      </c>
      <c r="B35" s="1445" t="s">
        <v>1456</v>
      </c>
      <c r="C35" s="1446">
        <v>20</v>
      </c>
    </row>
    <row r="36" spans="1:3" s="243" customFormat="1" ht="16.5">
      <c r="A36" s="1439">
        <v>28</v>
      </c>
      <c r="B36" s="1445" t="s">
        <v>1457</v>
      </c>
      <c r="C36" s="1446">
        <v>70</v>
      </c>
    </row>
    <row r="37" spans="1:3" s="243" customFormat="1" ht="16.5">
      <c r="A37" s="1439">
        <v>29</v>
      </c>
      <c r="B37" s="1445" t="s">
        <v>1458</v>
      </c>
      <c r="C37" s="1446">
        <v>140</v>
      </c>
    </row>
    <row r="38" spans="1:3" s="243" customFormat="1" ht="16.5">
      <c r="A38" s="1439">
        <v>30</v>
      </c>
      <c r="B38" s="1445" t="s">
        <v>1459</v>
      </c>
      <c r="C38" s="1446">
        <v>90</v>
      </c>
    </row>
    <row r="39" spans="1:3" s="243" customFormat="1" ht="16.5">
      <c r="A39" s="1439">
        <v>31</v>
      </c>
      <c r="B39" s="1445" t="s">
        <v>1460</v>
      </c>
      <c r="C39" s="1446">
        <v>70</v>
      </c>
    </row>
    <row r="40" spans="1:3" s="243" customFormat="1" ht="16.5">
      <c r="A40" s="1439">
        <v>32</v>
      </c>
      <c r="B40" s="1445" t="s">
        <v>1461</v>
      </c>
      <c r="C40" s="1446">
        <v>100</v>
      </c>
    </row>
    <row r="41" spans="1:3" s="243" customFormat="1" ht="16.5">
      <c r="A41" s="1439">
        <v>33</v>
      </c>
      <c r="B41" s="1445" t="s">
        <v>1462</v>
      </c>
      <c r="C41" s="1446">
        <v>60</v>
      </c>
    </row>
    <row r="42" spans="1:3" s="243" customFormat="1" ht="16.5">
      <c r="A42" s="1439">
        <v>34</v>
      </c>
      <c r="B42" s="1445" t="s">
        <v>1463</v>
      </c>
      <c r="C42" s="1446">
        <v>100</v>
      </c>
    </row>
    <row r="43" spans="1:3" s="243" customFormat="1" ht="16.5">
      <c r="A43" s="1439">
        <v>35</v>
      </c>
      <c r="B43" s="1445" t="s">
        <v>1464</v>
      </c>
      <c r="C43" s="1446">
        <v>90</v>
      </c>
    </row>
    <row r="44" spans="1:3" s="243" customFormat="1" ht="16.5">
      <c r="A44" s="1439">
        <v>36</v>
      </c>
      <c r="B44" s="1445" t="s">
        <v>1465</v>
      </c>
      <c r="C44" s="1446">
        <v>60</v>
      </c>
    </row>
    <row r="45" spans="1:3" s="243" customFormat="1" ht="16.5">
      <c r="A45" s="1439">
        <v>37</v>
      </c>
      <c r="B45" s="1445" t="s">
        <v>1466</v>
      </c>
      <c r="C45" s="1446">
        <v>150</v>
      </c>
    </row>
    <row r="46" spans="1:3" s="243" customFormat="1" ht="16.5">
      <c r="A46" s="1439">
        <v>38</v>
      </c>
      <c r="B46" s="1445" t="s">
        <v>1467</v>
      </c>
      <c r="C46" s="1446">
        <v>20</v>
      </c>
    </row>
    <row r="47" spans="1:3" s="243" customFormat="1" ht="16.5">
      <c r="A47" s="1439">
        <v>39</v>
      </c>
      <c r="B47" s="1445" t="s">
        <v>1468</v>
      </c>
      <c r="C47" s="1446">
        <v>20</v>
      </c>
    </row>
    <row r="48" spans="1:3" s="243" customFormat="1" ht="16.5">
      <c r="A48" s="1439">
        <v>40</v>
      </c>
      <c r="B48" s="1445" t="s">
        <v>1469</v>
      </c>
      <c r="C48" s="1446">
        <v>100</v>
      </c>
    </row>
    <row r="49" spans="1:3" s="243" customFormat="1" ht="16.5">
      <c r="A49" s="1439">
        <v>41</v>
      </c>
      <c r="B49" s="1445" t="s">
        <v>1470</v>
      </c>
      <c r="C49" s="1446">
        <v>20</v>
      </c>
    </row>
    <row r="50" spans="1:3" s="243" customFormat="1" ht="16.5">
      <c r="A50" s="1439">
        <v>42</v>
      </c>
      <c r="B50" s="1445" t="s">
        <v>1471</v>
      </c>
      <c r="C50" s="1446">
        <v>50</v>
      </c>
    </row>
    <row r="51" spans="1:3" s="243" customFormat="1" ht="16.5">
      <c r="A51" s="1439">
        <v>43</v>
      </c>
      <c r="B51" s="1445" t="s">
        <v>1472</v>
      </c>
      <c r="C51" s="1446">
        <v>150</v>
      </c>
    </row>
    <row r="52" spans="1:3" s="243" customFormat="1" ht="16.5">
      <c r="A52" s="1439">
        <v>44</v>
      </c>
      <c r="B52" s="1445" t="s">
        <v>1473</v>
      </c>
      <c r="C52" s="1446">
        <v>70</v>
      </c>
    </row>
    <row r="53" spans="1:3" s="243" customFormat="1" ht="16.5">
      <c r="A53" s="1439">
        <v>45</v>
      </c>
      <c r="B53" s="1445" t="s">
        <v>1474</v>
      </c>
      <c r="C53" s="1446">
        <v>20</v>
      </c>
    </row>
    <row r="54" spans="1:3" s="243" customFormat="1" ht="16.5">
      <c r="A54" s="1439">
        <v>46</v>
      </c>
      <c r="B54" s="1445" t="s">
        <v>1475</v>
      </c>
      <c r="C54" s="1446">
        <v>120</v>
      </c>
    </row>
    <row r="55" spans="1:3" s="243" customFormat="1" ht="16.5">
      <c r="A55" s="1439">
        <v>47</v>
      </c>
      <c r="B55" s="1445" t="s">
        <v>1476</v>
      </c>
      <c r="C55" s="1446">
        <v>50</v>
      </c>
    </row>
    <row r="56" spans="1:3" s="243" customFormat="1" ht="16.5">
      <c r="A56" s="1439">
        <v>48</v>
      </c>
      <c r="B56" s="1445" t="s">
        <v>1477</v>
      </c>
      <c r="C56" s="1446">
        <f>100+60</f>
        <v>160</v>
      </c>
    </row>
    <row r="57" spans="1:3" s="243" customFormat="1" ht="16.5">
      <c r="A57" s="1439">
        <v>49</v>
      </c>
      <c r="B57" s="1445" t="s">
        <v>1625</v>
      </c>
      <c r="C57" s="1446">
        <v>150</v>
      </c>
    </row>
    <row r="58" spans="1:3" s="243" customFormat="1" ht="16.5">
      <c r="A58" s="1439">
        <v>50</v>
      </c>
      <c r="B58" s="1445" t="s">
        <v>1626</v>
      </c>
      <c r="C58" s="1446">
        <v>410</v>
      </c>
    </row>
    <row r="59" spans="1:3" s="243" customFormat="1" ht="16.5">
      <c r="A59" s="1439">
        <v>51</v>
      </c>
      <c r="B59" s="1445" t="s">
        <v>1627</v>
      </c>
      <c r="C59" s="1446">
        <v>100</v>
      </c>
    </row>
    <row r="60" spans="1:3" s="243" customFormat="1" ht="16.5">
      <c r="A60" s="1439">
        <v>52</v>
      </c>
      <c r="B60" s="1445" t="s">
        <v>1478</v>
      </c>
      <c r="C60" s="1446">
        <v>140</v>
      </c>
    </row>
    <row r="61" spans="1:3" s="243" customFormat="1" ht="16.5">
      <c r="A61" s="1439">
        <v>53</v>
      </c>
      <c r="B61" s="1445" t="s">
        <v>1479</v>
      </c>
      <c r="C61" s="1446">
        <v>20</v>
      </c>
    </row>
    <row r="62" spans="1:3" s="243" customFormat="1" ht="16.5">
      <c r="A62" s="1439">
        <v>54</v>
      </c>
      <c r="B62" s="1445" t="s">
        <v>1480</v>
      </c>
      <c r="C62" s="1446">
        <v>20</v>
      </c>
    </row>
    <row r="63" spans="1:3" s="243" customFormat="1" ht="16.5">
      <c r="A63" s="1439">
        <v>55</v>
      </c>
      <c r="B63" s="1445" t="s">
        <v>1481</v>
      </c>
      <c r="C63" s="1446">
        <v>60</v>
      </c>
    </row>
    <row r="64" spans="1:3" s="243" customFormat="1" ht="16.5">
      <c r="A64" s="1439">
        <v>56</v>
      </c>
      <c r="B64" s="1445" t="s">
        <v>1482</v>
      </c>
      <c r="C64" s="1446">
        <v>180</v>
      </c>
    </row>
    <row r="65" spans="1:3" s="243" customFormat="1" ht="16.5">
      <c r="A65" s="1439">
        <v>57</v>
      </c>
      <c r="B65" s="1445" t="s">
        <v>1483</v>
      </c>
      <c r="C65" s="1446">
        <v>80</v>
      </c>
    </row>
    <row r="66" spans="1:3" s="243" customFormat="1" ht="16.5">
      <c r="A66" s="1439">
        <v>58</v>
      </c>
      <c r="B66" s="1445" t="s">
        <v>1484</v>
      </c>
      <c r="C66" s="1446">
        <v>70</v>
      </c>
    </row>
    <row r="67" spans="1:3" s="243" customFormat="1" ht="16.5">
      <c r="A67" s="1439">
        <v>59</v>
      </c>
      <c r="B67" s="1445" t="s">
        <v>1485</v>
      </c>
      <c r="C67" s="1446">
        <v>50</v>
      </c>
    </row>
    <row r="68" spans="1:3" s="243" customFormat="1" ht="16.5">
      <c r="A68" s="1439">
        <v>60</v>
      </c>
      <c r="B68" s="1445" t="s">
        <v>1486</v>
      </c>
      <c r="C68" s="1446">
        <v>20</v>
      </c>
    </row>
    <row r="69" spans="1:3" s="243" customFormat="1" ht="16.5">
      <c r="A69" s="1439">
        <v>61</v>
      </c>
      <c r="B69" s="1445" t="s">
        <v>1487</v>
      </c>
      <c r="C69" s="1446">
        <v>40</v>
      </c>
    </row>
    <row r="70" spans="1:3" s="243" customFormat="1" ht="16.5">
      <c r="A70" s="1439">
        <v>62</v>
      </c>
      <c r="B70" s="1445" t="s">
        <v>1488</v>
      </c>
      <c r="C70" s="1446">
        <v>120</v>
      </c>
    </row>
    <row r="71" spans="1:3" s="243" customFormat="1" ht="16.5">
      <c r="A71" s="1439">
        <v>63</v>
      </c>
      <c r="B71" s="1445" t="s">
        <v>1489</v>
      </c>
      <c r="C71" s="1446">
        <v>90</v>
      </c>
    </row>
    <row r="72" spans="1:3" s="243" customFormat="1" ht="16.5">
      <c r="A72" s="1439">
        <v>64</v>
      </c>
      <c r="B72" s="1445" t="s">
        <v>1490</v>
      </c>
      <c r="C72" s="1446">
        <v>40</v>
      </c>
    </row>
    <row r="73" spans="1:3" s="243" customFormat="1" ht="16.5">
      <c r="A73" s="1439">
        <v>65</v>
      </c>
      <c r="B73" s="1445" t="s">
        <v>1491</v>
      </c>
      <c r="C73" s="1446">
        <v>20</v>
      </c>
    </row>
    <row r="74" spans="1:3" s="243" customFormat="1" ht="16.5">
      <c r="A74" s="1439">
        <v>66</v>
      </c>
      <c r="B74" s="1445" t="s">
        <v>1492</v>
      </c>
      <c r="C74" s="1446">
        <v>20</v>
      </c>
    </row>
    <row r="75" spans="1:3" s="243" customFormat="1" ht="16.5">
      <c r="A75" s="1439">
        <v>67</v>
      </c>
      <c r="B75" s="1445" t="s">
        <v>1493</v>
      </c>
      <c r="C75" s="1446">
        <v>70</v>
      </c>
    </row>
    <row r="76" spans="1:3" s="243" customFormat="1" ht="16.5">
      <c r="A76" s="1439">
        <v>68</v>
      </c>
      <c r="B76" s="1445" t="s">
        <v>1494</v>
      </c>
      <c r="C76" s="1446">
        <f>160+100</f>
        <v>260</v>
      </c>
    </row>
    <row r="77" spans="1:3" s="243" customFormat="1" ht="16.5">
      <c r="A77" s="1439">
        <v>69</v>
      </c>
      <c r="B77" s="1445" t="s">
        <v>1495</v>
      </c>
      <c r="C77" s="1446">
        <v>50</v>
      </c>
    </row>
    <row r="78" spans="1:3" s="243" customFormat="1" ht="16.5">
      <c r="A78" s="1439">
        <v>70</v>
      </c>
      <c r="B78" s="1445" t="s">
        <v>1496</v>
      </c>
      <c r="C78" s="1446">
        <v>70</v>
      </c>
    </row>
    <row r="79" spans="1:3" s="243" customFormat="1" ht="16.5">
      <c r="A79" s="1439">
        <v>71</v>
      </c>
      <c r="B79" s="1445" t="s">
        <v>1497</v>
      </c>
      <c r="C79" s="1446">
        <v>20</v>
      </c>
    </row>
    <row r="80" spans="1:3" s="243" customFormat="1" ht="16.5">
      <c r="A80" s="1439">
        <v>72</v>
      </c>
      <c r="B80" s="1445" t="s">
        <v>1498</v>
      </c>
      <c r="C80" s="1446">
        <v>20</v>
      </c>
    </row>
    <row r="81" spans="1:3" s="243" customFormat="1" ht="16.5">
      <c r="A81" s="1439">
        <v>73</v>
      </c>
      <c r="B81" s="1445" t="s">
        <v>1499</v>
      </c>
      <c r="C81" s="1446">
        <v>140</v>
      </c>
    </row>
    <row r="82" spans="1:3" s="243" customFormat="1" ht="16.5">
      <c r="A82" s="1439">
        <v>74</v>
      </c>
      <c r="B82" s="1445" t="s">
        <v>1500</v>
      </c>
      <c r="C82" s="1446">
        <v>60</v>
      </c>
    </row>
    <row r="83" spans="1:3" s="243" customFormat="1" ht="16.5">
      <c r="A83" s="1439">
        <v>75</v>
      </c>
      <c r="B83" s="1445" t="s">
        <v>1501</v>
      </c>
      <c r="C83" s="1446">
        <v>60</v>
      </c>
    </row>
    <row r="84" spans="1:3" s="243" customFormat="1" ht="16.5">
      <c r="A84" s="1439">
        <v>76</v>
      </c>
      <c r="B84" s="1445" t="s">
        <v>1502</v>
      </c>
      <c r="C84" s="1446">
        <v>40</v>
      </c>
    </row>
    <row r="85" spans="1:3" s="243" customFormat="1" ht="16.5">
      <c r="A85" s="1439">
        <v>77</v>
      </c>
      <c r="B85" s="1445" t="s">
        <v>1503</v>
      </c>
      <c r="C85" s="1446">
        <v>20</v>
      </c>
    </row>
    <row r="86" spans="1:3" s="243" customFormat="1" ht="16.5">
      <c r="A86" s="1439">
        <v>78</v>
      </c>
      <c r="B86" s="1445" t="s">
        <v>1504</v>
      </c>
      <c r="C86" s="1446">
        <v>20</v>
      </c>
    </row>
    <row r="87" spans="1:3" s="243" customFormat="1" ht="16.5">
      <c r="A87" s="1439">
        <v>79</v>
      </c>
      <c r="B87" s="1445" t="s">
        <v>1505</v>
      </c>
      <c r="C87" s="1446">
        <v>100</v>
      </c>
    </row>
    <row r="88" spans="1:3" s="243" customFormat="1" ht="16.5">
      <c r="A88" s="1439">
        <v>80</v>
      </c>
      <c r="B88" s="1445" t="s">
        <v>1506</v>
      </c>
      <c r="C88" s="1446">
        <v>50</v>
      </c>
    </row>
    <row r="89" spans="1:3" s="243" customFormat="1" ht="16.5">
      <c r="A89" s="1439">
        <v>81</v>
      </c>
      <c r="B89" s="1445" t="s">
        <v>1507</v>
      </c>
      <c r="C89" s="1446">
        <v>110</v>
      </c>
    </row>
    <row r="90" spans="1:3" s="243" customFormat="1" ht="16.5">
      <c r="A90" s="1439">
        <v>82</v>
      </c>
      <c r="B90" s="1445" t="s">
        <v>1508</v>
      </c>
      <c r="C90" s="1446">
        <v>120</v>
      </c>
    </row>
    <row r="91" spans="1:3" s="243" customFormat="1" ht="16.5">
      <c r="A91" s="1439">
        <v>83</v>
      </c>
      <c r="B91" s="1445" t="s">
        <v>1509</v>
      </c>
      <c r="C91" s="1446">
        <v>80</v>
      </c>
    </row>
    <row r="92" spans="1:3" s="243" customFormat="1" ht="16.5">
      <c r="A92" s="1439">
        <v>84</v>
      </c>
      <c r="B92" s="1445" t="s">
        <v>1510</v>
      </c>
      <c r="C92" s="1446">
        <v>70</v>
      </c>
    </row>
    <row r="93" spans="1:3" s="243" customFormat="1" ht="16.5">
      <c r="A93" s="1439">
        <v>85</v>
      </c>
      <c r="B93" s="1445" t="s">
        <v>1511</v>
      </c>
      <c r="C93" s="1446">
        <v>60</v>
      </c>
    </row>
    <row r="94" spans="1:3" s="243" customFormat="1" ht="16.5">
      <c r="A94" s="1439">
        <v>86</v>
      </c>
      <c r="B94" s="1445" t="s">
        <v>1512</v>
      </c>
      <c r="C94" s="1446">
        <v>90</v>
      </c>
    </row>
    <row r="95" spans="1:3" s="243" customFormat="1" ht="16.5">
      <c r="A95" s="1439">
        <v>87</v>
      </c>
      <c r="B95" s="1445" t="s">
        <v>1513</v>
      </c>
      <c r="C95" s="1446">
        <v>170</v>
      </c>
    </row>
    <row r="96" spans="1:3" s="243" customFormat="1" ht="16.5">
      <c r="A96" s="1439">
        <v>88</v>
      </c>
      <c r="B96" s="1445" t="s">
        <v>1514</v>
      </c>
      <c r="C96" s="1446">
        <v>40</v>
      </c>
    </row>
    <row r="97" spans="1:3" s="243" customFormat="1" ht="16.5">
      <c r="A97" s="1439">
        <v>89</v>
      </c>
      <c r="B97" s="1445" t="s">
        <v>1493</v>
      </c>
      <c r="C97" s="1446">
        <v>500</v>
      </c>
    </row>
    <row r="98" spans="1:3" s="243" customFormat="1" ht="16.5">
      <c r="A98" s="1439">
        <v>90</v>
      </c>
      <c r="B98" s="1445" t="s">
        <v>1443</v>
      </c>
      <c r="C98" s="1446">
        <v>1000</v>
      </c>
    </row>
    <row r="99" spans="1:3" s="243" customFormat="1" ht="16.5">
      <c r="A99" s="1439">
        <v>91</v>
      </c>
      <c r="B99" s="1445" t="s">
        <v>1619</v>
      </c>
      <c r="C99" s="1446">
        <v>3800</v>
      </c>
    </row>
    <row r="100" spans="1:3" s="243" customFormat="1" ht="16.5">
      <c r="A100" s="1439">
        <v>92</v>
      </c>
      <c r="B100" s="1445" t="s">
        <v>1620</v>
      </c>
      <c r="C100" s="1446">
        <v>11500</v>
      </c>
    </row>
    <row r="101" spans="1:3" s="243" customFormat="1" ht="16.5">
      <c r="A101" s="1439">
        <v>93</v>
      </c>
      <c r="B101" s="1445" t="s">
        <v>1628</v>
      </c>
      <c r="C101" s="1446">
        <v>60000</v>
      </c>
    </row>
    <row r="102" spans="1:3" s="243" customFormat="1" ht="30" customHeight="1">
      <c r="A102" s="1448">
        <v>94</v>
      </c>
      <c r="B102" s="1447" t="s">
        <v>1515</v>
      </c>
      <c r="C102" s="1446"/>
    </row>
    <row r="103" spans="1:3" s="243" customFormat="1" ht="16.5">
      <c r="A103" s="1439">
        <v>95</v>
      </c>
      <c r="B103" s="1445" t="s">
        <v>1516</v>
      </c>
      <c r="C103" s="1446">
        <v>430</v>
      </c>
    </row>
    <row r="104" spans="1:3" s="243" customFormat="1" ht="16.5">
      <c r="A104" s="1439">
        <v>96</v>
      </c>
      <c r="B104" s="1445" t="s">
        <v>1517</v>
      </c>
      <c r="C104" s="1446">
        <v>100</v>
      </c>
    </row>
    <row r="105" spans="1:3" s="243" customFormat="1" ht="16.5">
      <c r="A105" s="1439">
        <v>97</v>
      </c>
      <c r="B105" s="1445" t="s">
        <v>1518</v>
      </c>
      <c r="C105" s="1446">
        <v>100</v>
      </c>
    </row>
    <row r="106" spans="1:3" s="243" customFormat="1" ht="16.5">
      <c r="A106" s="1439">
        <v>98</v>
      </c>
      <c r="B106" s="1445" t="s">
        <v>1519</v>
      </c>
      <c r="C106" s="1446">
        <v>280</v>
      </c>
    </row>
    <row r="107" spans="1:3" s="243" customFormat="1" ht="16.5">
      <c r="A107" s="1439">
        <v>99</v>
      </c>
      <c r="B107" s="1445" t="s">
        <v>1520</v>
      </c>
      <c r="C107" s="1446">
        <v>15000</v>
      </c>
    </row>
    <row r="108" spans="1:3" s="243" customFormat="1" ht="16.5">
      <c r="A108" s="1439">
        <v>100</v>
      </c>
      <c r="B108" s="1445" t="s">
        <v>1521</v>
      </c>
      <c r="C108" s="1446">
        <v>100</v>
      </c>
    </row>
    <row r="109" spans="1:3" s="243" customFormat="1" ht="16.5">
      <c r="A109" s="1439">
        <v>101</v>
      </c>
      <c r="B109" s="1445" t="s">
        <v>1449</v>
      </c>
      <c r="C109" s="1446">
        <v>850</v>
      </c>
    </row>
    <row r="110" spans="1:3" s="243" customFormat="1" ht="16.5">
      <c r="A110" s="1439">
        <v>102</v>
      </c>
      <c r="B110" s="1445" t="s">
        <v>1522</v>
      </c>
      <c r="C110" s="1446">
        <v>100</v>
      </c>
    </row>
    <row r="111" spans="1:3" s="243" customFormat="1" ht="16.5">
      <c r="A111" s="1439">
        <v>103</v>
      </c>
      <c r="B111" s="1445" t="s">
        <v>1523</v>
      </c>
      <c r="C111" s="1446">
        <v>100</v>
      </c>
    </row>
    <row r="112" spans="1:3" s="243" customFormat="1" ht="16.5">
      <c r="A112" s="1439">
        <v>104</v>
      </c>
      <c r="B112" s="1445" t="s">
        <v>1524</v>
      </c>
      <c r="C112" s="1446">
        <v>100</v>
      </c>
    </row>
    <row r="113" spans="1:3" s="243" customFormat="1" ht="16.5">
      <c r="A113" s="1439">
        <v>105</v>
      </c>
      <c r="B113" s="1445" t="s">
        <v>1525</v>
      </c>
      <c r="C113" s="1446">
        <v>100</v>
      </c>
    </row>
    <row r="114" spans="1:3" s="243" customFormat="1" ht="16.5">
      <c r="A114" s="1439">
        <v>106</v>
      </c>
      <c r="B114" s="1445" t="s">
        <v>1526</v>
      </c>
      <c r="C114" s="1446">
        <v>300</v>
      </c>
    </row>
    <row r="115" spans="1:3" s="243" customFormat="1" ht="16.5">
      <c r="A115" s="1439">
        <v>107</v>
      </c>
      <c r="B115" s="1445" t="s">
        <v>1527</v>
      </c>
      <c r="C115" s="1446">
        <v>450</v>
      </c>
    </row>
    <row r="116" spans="1:3" s="243" customFormat="1" ht="16.5">
      <c r="A116" s="1439">
        <v>108</v>
      </c>
      <c r="B116" s="1445" t="s">
        <v>1528</v>
      </c>
      <c r="C116" s="1446">
        <v>100</v>
      </c>
    </row>
    <row r="117" spans="1:3" s="243" customFormat="1" ht="16.5">
      <c r="A117" s="1439">
        <v>109</v>
      </c>
      <c r="B117" s="1445" t="s">
        <v>1529</v>
      </c>
      <c r="C117" s="1446">
        <v>250</v>
      </c>
    </row>
    <row r="118" spans="1:3" s="243" customFormat="1" ht="16.5">
      <c r="A118" s="1439">
        <v>110</v>
      </c>
      <c r="B118" s="1445" t="s">
        <v>1530</v>
      </c>
      <c r="C118" s="1446">
        <v>38000</v>
      </c>
    </row>
    <row r="119" spans="1:3" s="243" customFormat="1" ht="16.5">
      <c r="A119" s="1439">
        <v>111</v>
      </c>
      <c r="B119" s="1445" t="s">
        <v>1531</v>
      </c>
      <c r="C119" s="1446">
        <v>100</v>
      </c>
    </row>
    <row r="120" spans="1:3" s="243" customFormat="1" ht="16.5">
      <c r="A120" s="1439">
        <v>112</v>
      </c>
      <c r="B120" s="1445" t="s">
        <v>1532</v>
      </c>
      <c r="C120" s="1446">
        <v>500</v>
      </c>
    </row>
    <row r="121" spans="1:3" s="243" customFormat="1" ht="16.5">
      <c r="A121" s="1439">
        <v>113</v>
      </c>
      <c r="B121" s="1445" t="s">
        <v>1533</v>
      </c>
      <c r="C121" s="1446">
        <v>2000</v>
      </c>
    </row>
    <row r="122" spans="1:3" s="243" customFormat="1" ht="16.5">
      <c r="A122" s="1439">
        <v>114</v>
      </c>
      <c r="B122" s="1445" t="s">
        <v>1534</v>
      </c>
      <c r="C122" s="1446">
        <v>300</v>
      </c>
    </row>
    <row r="123" spans="1:3" s="243" customFormat="1" ht="16.5">
      <c r="A123" s="1439">
        <v>115</v>
      </c>
      <c r="B123" s="1445" t="s">
        <v>1535</v>
      </c>
      <c r="C123" s="1446">
        <v>200</v>
      </c>
    </row>
    <row r="124" spans="1:3" s="243" customFormat="1" ht="16.5">
      <c r="A124" s="1439">
        <v>116</v>
      </c>
      <c r="B124" s="1445" t="s">
        <v>1536</v>
      </c>
      <c r="C124" s="1446">
        <v>2000</v>
      </c>
    </row>
    <row r="125" spans="1:3" s="243" customFormat="1" ht="16.5">
      <c r="A125" s="1439">
        <v>117</v>
      </c>
      <c r="B125" s="1445" t="s">
        <v>1537</v>
      </c>
      <c r="C125" s="1446">
        <v>20000</v>
      </c>
    </row>
    <row r="126" spans="1:3" s="243" customFormat="1" ht="16.5">
      <c r="A126" s="1439">
        <v>118</v>
      </c>
      <c r="B126" s="1445" t="s">
        <v>1538</v>
      </c>
      <c r="C126" s="1446">
        <v>200</v>
      </c>
    </row>
    <row r="127" spans="1:3" s="243" customFormat="1" ht="16.5">
      <c r="A127" s="1439">
        <v>119</v>
      </c>
      <c r="B127" s="1445" t="s">
        <v>1539</v>
      </c>
      <c r="C127" s="1446">
        <v>100</v>
      </c>
    </row>
    <row r="128" spans="1:3" s="243" customFormat="1" ht="16.5">
      <c r="A128" s="1439">
        <v>120</v>
      </c>
      <c r="B128" s="1445" t="s">
        <v>1540</v>
      </c>
      <c r="C128" s="1446">
        <v>550</v>
      </c>
    </row>
    <row r="129" spans="1:3" s="243" customFormat="1" ht="16.5">
      <c r="A129" s="1439">
        <v>121</v>
      </c>
      <c r="B129" s="1445" t="s">
        <v>1487</v>
      </c>
      <c r="C129" s="1446">
        <v>100</v>
      </c>
    </row>
    <row r="130" spans="1:3" s="243" customFormat="1" ht="16.5">
      <c r="A130" s="1439">
        <v>122</v>
      </c>
      <c r="B130" s="1445" t="s">
        <v>1541</v>
      </c>
      <c r="C130" s="1446">
        <v>500</v>
      </c>
    </row>
    <row r="131" spans="1:3" s="243" customFormat="1" ht="16.5">
      <c r="A131" s="1439">
        <v>123</v>
      </c>
      <c r="B131" s="1445" t="s">
        <v>1542</v>
      </c>
      <c r="C131" s="1446">
        <v>1000</v>
      </c>
    </row>
    <row r="132" spans="1:3" s="243" customFormat="1" ht="16.5">
      <c r="A132" s="1439">
        <v>124</v>
      </c>
      <c r="B132" s="1445" t="s">
        <v>1543</v>
      </c>
      <c r="C132" s="1446">
        <v>9200</v>
      </c>
    </row>
    <row r="133" spans="1:3" s="243" customFormat="1" ht="16.5">
      <c r="A133" s="1439">
        <v>125</v>
      </c>
      <c r="B133" s="1445" t="s">
        <v>1544</v>
      </c>
      <c r="C133" s="1446">
        <v>20500</v>
      </c>
    </row>
    <row r="134" spans="1:3" s="243" customFormat="1" ht="16.5">
      <c r="A134" s="1439">
        <v>126</v>
      </c>
      <c r="B134" s="1445" t="s">
        <v>1545</v>
      </c>
      <c r="C134" s="1446">
        <v>100</v>
      </c>
    </row>
    <row r="135" spans="1:3" s="243" customFormat="1" ht="16.5">
      <c r="A135" s="1439">
        <v>127</v>
      </c>
      <c r="B135" s="1445" t="s">
        <v>1546</v>
      </c>
      <c r="C135" s="1446">
        <v>2900</v>
      </c>
    </row>
    <row r="136" spans="1:3" s="243" customFormat="1" ht="16.5">
      <c r="A136" s="1439">
        <v>128</v>
      </c>
      <c r="B136" s="1445" t="s">
        <v>1622</v>
      </c>
      <c r="C136" s="1446">
        <v>200</v>
      </c>
    </row>
    <row r="137" spans="1:3" s="243" customFormat="1" ht="16.5">
      <c r="A137" s="1439">
        <v>129</v>
      </c>
      <c r="B137" s="1445" t="s">
        <v>1547</v>
      </c>
      <c r="C137" s="1446">
        <v>950</v>
      </c>
    </row>
    <row r="138" spans="1:3" s="243" customFormat="1" ht="16.5">
      <c r="A138" s="1439">
        <v>130</v>
      </c>
      <c r="B138" s="1445" t="s">
        <v>1548</v>
      </c>
      <c r="C138" s="1446">
        <v>4000</v>
      </c>
    </row>
    <row r="139" spans="1:3" s="243" customFormat="1" ht="16.5">
      <c r="A139" s="1439">
        <v>131</v>
      </c>
      <c r="B139" s="1445" t="s">
        <v>1549</v>
      </c>
      <c r="C139" s="1446">
        <v>350</v>
      </c>
    </row>
    <row r="140" spans="1:3" s="243" customFormat="1" ht="16.5">
      <c r="A140" s="1439">
        <v>132</v>
      </c>
      <c r="B140" s="1445" t="s">
        <v>1550</v>
      </c>
      <c r="C140" s="1446">
        <v>400</v>
      </c>
    </row>
    <row r="141" spans="1:3" s="243" customFormat="1" ht="16.5">
      <c r="A141" s="1439">
        <v>133</v>
      </c>
      <c r="B141" s="1445" t="s">
        <v>1551</v>
      </c>
      <c r="C141" s="1446">
        <v>550</v>
      </c>
    </row>
    <row r="142" spans="1:3" s="243" customFormat="1" ht="16.5">
      <c r="A142" s="1439">
        <v>134</v>
      </c>
      <c r="B142" s="1445" t="s">
        <v>1552</v>
      </c>
      <c r="C142" s="1446">
        <v>350</v>
      </c>
    </row>
    <row r="143" spans="1:3" s="243" customFormat="1" ht="16.5">
      <c r="A143" s="1439">
        <v>135</v>
      </c>
      <c r="B143" s="1445" t="s">
        <v>1553</v>
      </c>
      <c r="C143" s="1446">
        <v>540</v>
      </c>
    </row>
    <row r="144" spans="1:3" s="243" customFormat="1" ht="16.5">
      <c r="A144" s="1439">
        <v>136</v>
      </c>
      <c r="B144" s="1445" t="s">
        <v>1505</v>
      </c>
      <c r="C144" s="1446">
        <v>900</v>
      </c>
    </row>
    <row r="145" spans="1:3" s="243" customFormat="1" ht="16.5">
      <c r="A145" s="1439">
        <v>137</v>
      </c>
      <c r="B145" s="1445" t="s">
        <v>1554</v>
      </c>
      <c r="C145" s="1446">
        <v>100</v>
      </c>
    </row>
    <row r="146" spans="1:3" s="243" customFormat="1" ht="16.5">
      <c r="A146" s="1439">
        <v>138</v>
      </c>
      <c r="B146" s="1445" t="s">
        <v>1555</v>
      </c>
      <c r="C146" s="1446">
        <v>350</v>
      </c>
    </row>
    <row r="147" spans="1:3" s="243" customFormat="1" ht="16.5">
      <c r="A147" s="1439">
        <v>139</v>
      </c>
      <c r="B147" s="1445" t="s">
        <v>1556</v>
      </c>
      <c r="C147" s="1446">
        <v>500</v>
      </c>
    </row>
    <row r="148" spans="1:3" s="243" customFormat="1" ht="16.5">
      <c r="A148" s="1439">
        <v>140</v>
      </c>
      <c r="B148" s="1445" t="s">
        <v>1557</v>
      </c>
      <c r="C148" s="1446">
        <v>500</v>
      </c>
    </row>
    <row r="149" spans="1:3" s="243" customFormat="1" ht="16.5">
      <c r="A149" s="1439">
        <v>141</v>
      </c>
      <c r="B149" s="1445" t="s">
        <v>1558</v>
      </c>
      <c r="C149" s="1446">
        <v>300</v>
      </c>
    </row>
    <row r="150" spans="1:3" s="243" customFormat="1" ht="16.5">
      <c r="A150" s="1439">
        <v>142</v>
      </c>
      <c r="B150" s="1445" t="s">
        <v>1559</v>
      </c>
      <c r="C150" s="1446">
        <v>3100</v>
      </c>
    </row>
    <row r="151" spans="1:3" s="243" customFormat="1" ht="16.5">
      <c r="A151" s="1439">
        <v>143</v>
      </c>
      <c r="B151" s="1445" t="s">
        <v>1621</v>
      </c>
      <c r="C151" s="1446">
        <v>15000</v>
      </c>
    </row>
    <row r="152" spans="1:3" s="243" customFormat="1" ht="16.5">
      <c r="A152" s="1439">
        <v>144</v>
      </c>
      <c r="B152" s="1445" t="s">
        <v>1623</v>
      </c>
      <c r="C152" s="1446">
        <v>1811</v>
      </c>
    </row>
    <row r="153" spans="1:3" s="243" customFormat="1" ht="16.5">
      <c r="A153" s="1439">
        <v>145</v>
      </c>
      <c r="B153" s="1445" t="s">
        <v>1624</v>
      </c>
      <c r="C153" s="1446">
        <v>6000</v>
      </c>
    </row>
    <row r="154" spans="1:3" s="243" customFormat="1" ht="30" customHeight="1">
      <c r="A154" s="1448">
        <v>146</v>
      </c>
      <c r="B154" s="1447" t="s">
        <v>1560</v>
      </c>
      <c r="C154" s="1446"/>
    </row>
    <row r="155" spans="1:3" s="243" customFormat="1" ht="16.5">
      <c r="A155" s="1439">
        <v>147</v>
      </c>
      <c r="B155" s="1447" t="s">
        <v>1561</v>
      </c>
      <c r="C155" s="1446"/>
    </row>
    <row r="156" spans="1:3" s="243" customFormat="1" ht="16.5">
      <c r="A156" s="1439">
        <v>148</v>
      </c>
      <c r="B156" s="1449" t="s">
        <v>1511</v>
      </c>
      <c r="C156" s="1446">
        <v>470</v>
      </c>
    </row>
    <row r="157" spans="1:3" s="243" customFormat="1" ht="16.5">
      <c r="A157" s="1439">
        <v>149</v>
      </c>
      <c r="B157" s="1449" t="s">
        <v>1575</v>
      </c>
      <c r="C157" s="1446">
        <v>300</v>
      </c>
    </row>
    <row r="158" spans="1:3" s="243" customFormat="1" ht="17.25" customHeight="1">
      <c r="A158" s="1439">
        <v>150</v>
      </c>
      <c r="B158" s="1449" t="s">
        <v>1499</v>
      </c>
      <c r="C158" s="1446">
        <v>20</v>
      </c>
    </row>
    <row r="159" spans="1:3" s="243" customFormat="1" ht="16.5">
      <c r="A159" s="1439">
        <v>151</v>
      </c>
      <c r="B159" s="1449" t="s">
        <v>1576</v>
      </c>
      <c r="C159" s="1446">
        <v>10</v>
      </c>
    </row>
    <row r="160" spans="1:3" s="243" customFormat="1" ht="16.5">
      <c r="A160" s="1439">
        <v>152</v>
      </c>
      <c r="B160" s="1447" t="s">
        <v>1562</v>
      </c>
      <c r="C160" s="1446"/>
    </row>
    <row r="161" spans="1:3" s="243" customFormat="1" ht="16.5">
      <c r="A161" s="1439">
        <v>153</v>
      </c>
      <c r="B161" s="1449" t="s">
        <v>1577</v>
      </c>
      <c r="C161" s="1446">
        <v>25</v>
      </c>
    </row>
    <row r="162" spans="1:3" s="243" customFormat="1" ht="16.5">
      <c r="A162" s="1439">
        <v>154</v>
      </c>
      <c r="B162" s="1449" t="s">
        <v>1576</v>
      </c>
      <c r="C162" s="1446">
        <v>30</v>
      </c>
    </row>
    <row r="163" spans="1:3" s="243" customFormat="1" ht="16.5">
      <c r="A163" s="1439">
        <v>155</v>
      </c>
      <c r="B163" s="1449" t="s">
        <v>1454</v>
      </c>
      <c r="C163" s="1446">
        <v>100</v>
      </c>
    </row>
    <row r="164" spans="1:3" s="243" customFormat="1" ht="16.5">
      <c r="A164" s="1439">
        <v>156</v>
      </c>
      <c r="B164" s="1449" t="s">
        <v>1578</v>
      </c>
      <c r="C164" s="1446">
        <v>90</v>
      </c>
    </row>
    <row r="165" spans="1:3" s="243" customFormat="1" ht="16.5">
      <c r="A165" s="1439">
        <v>157</v>
      </c>
      <c r="B165" s="1449" t="s">
        <v>1579</v>
      </c>
      <c r="C165" s="1446">
        <v>50</v>
      </c>
    </row>
    <row r="166" spans="1:3" s="243" customFormat="1" ht="16.5">
      <c r="A166" s="1439">
        <v>158</v>
      </c>
      <c r="B166" s="1449" t="s">
        <v>1580</v>
      </c>
      <c r="C166" s="1446">
        <v>500</v>
      </c>
    </row>
    <row r="167" spans="1:3" s="243" customFormat="1" ht="16.5">
      <c r="A167" s="1439">
        <v>159</v>
      </c>
      <c r="B167" s="1447" t="s">
        <v>1563</v>
      </c>
      <c r="C167" s="1446"/>
    </row>
    <row r="168" spans="1:3" s="243" customFormat="1" ht="16.5">
      <c r="A168" s="1439">
        <v>160</v>
      </c>
      <c r="B168" s="1449" t="s">
        <v>1577</v>
      </c>
      <c r="C168" s="1446">
        <v>25</v>
      </c>
    </row>
    <row r="169" spans="1:3" s="243" customFormat="1" ht="16.5">
      <c r="A169" s="1439">
        <v>161</v>
      </c>
      <c r="B169" s="1449" t="s">
        <v>1576</v>
      </c>
      <c r="C169" s="1446">
        <v>30</v>
      </c>
    </row>
    <row r="170" spans="1:3" s="243" customFormat="1" ht="16.5">
      <c r="A170" s="1439">
        <v>162</v>
      </c>
      <c r="B170" s="1449" t="s">
        <v>1582</v>
      </c>
      <c r="C170" s="1446">
        <v>445</v>
      </c>
    </row>
    <row r="171" spans="1:3" s="243" customFormat="1" ht="16.5">
      <c r="A171" s="1439">
        <v>163</v>
      </c>
      <c r="B171" s="1449" t="s">
        <v>1579</v>
      </c>
      <c r="C171" s="1446">
        <v>50</v>
      </c>
    </row>
    <row r="172" spans="1:3" s="243" customFormat="1" ht="16.5">
      <c r="A172" s="1439">
        <v>164</v>
      </c>
      <c r="B172" s="1449" t="s">
        <v>1578</v>
      </c>
      <c r="C172" s="1446">
        <v>50</v>
      </c>
    </row>
    <row r="173" spans="1:3" s="243" customFormat="1" ht="16.5">
      <c r="A173" s="1439">
        <v>165</v>
      </c>
      <c r="B173" s="1449" t="s">
        <v>1583</v>
      </c>
      <c r="C173" s="1446">
        <v>20</v>
      </c>
    </row>
    <row r="174" spans="1:3" s="243" customFormat="1" ht="16.5">
      <c r="A174" s="1439">
        <v>166</v>
      </c>
      <c r="B174" s="1449" t="s">
        <v>1584</v>
      </c>
      <c r="C174" s="1446">
        <v>50</v>
      </c>
    </row>
    <row r="175" spans="1:3" s="243" customFormat="1" ht="16.5">
      <c r="A175" s="1439">
        <v>167</v>
      </c>
      <c r="B175" s="1449" t="s">
        <v>1498</v>
      </c>
      <c r="C175" s="1446">
        <v>50</v>
      </c>
    </row>
    <row r="176" spans="1:3" s="243" customFormat="1" ht="16.5">
      <c r="A176" s="1439">
        <v>168</v>
      </c>
      <c r="B176" s="1449" t="s">
        <v>1580</v>
      </c>
      <c r="C176" s="1446">
        <v>80</v>
      </c>
    </row>
    <row r="177" spans="1:3" s="243" customFormat="1" ht="16.5">
      <c r="A177" s="1439">
        <v>169</v>
      </c>
      <c r="B177" s="1447" t="s">
        <v>1564</v>
      </c>
      <c r="C177" s="1446"/>
    </row>
    <row r="178" spans="1:3" s="243" customFormat="1" ht="15.75" customHeight="1">
      <c r="A178" s="1439">
        <v>170</v>
      </c>
      <c r="B178" s="1449" t="s">
        <v>1585</v>
      </c>
      <c r="C178" s="1446">
        <v>80</v>
      </c>
    </row>
    <row r="179" spans="1:3" s="243" customFormat="1" ht="16.5">
      <c r="A179" s="1439">
        <v>171</v>
      </c>
      <c r="B179" s="1449" t="s">
        <v>1586</v>
      </c>
      <c r="C179" s="1446">
        <v>100</v>
      </c>
    </row>
    <row r="180" spans="1:3" s="243" customFormat="1" ht="16.5">
      <c r="A180" s="1439">
        <v>172</v>
      </c>
      <c r="B180" s="1449" t="s">
        <v>1580</v>
      </c>
      <c r="C180" s="1446">
        <v>100</v>
      </c>
    </row>
    <row r="181" spans="1:3" s="243" customFormat="1" ht="16.5">
      <c r="A181" s="1439">
        <v>173</v>
      </c>
      <c r="B181" s="1449" t="s">
        <v>1452</v>
      </c>
      <c r="C181" s="1446">
        <v>25</v>
      </c>
    </row>
    <row r="182" spans="1:3" s="243" customFormat="1" ht="16.5">
      <c r="A182" s="1439">
        <v>174</v>
      </c>
      <c r="B182" s="1449" t="s">
        <v>1576</v>
      </c>
      <c r="C182" s="1446">
        <v>50</v>
      </c>
    </row>
    <row r="183" spans="1:3" s="243" customFormat="1" ht="16.5">
      <c r="A183" s="1439">
        <v>175</v>
      </c>
      <c r="B183" s="1449" t="s">
        <v>1580</v>
      </c>
      <c r="C183" s="1446">
        <v>50</v>
      </c>
    </row>
    <row r="184" spans="1:3" s="243" customFormat="1" ht="16.5">
      <c r="A184" s="1439">
        <v>176</v>
      </c>
      <c r="B184" s="1449" t="s">
        <v>1587</v>
      </c>
      <c r="C184" s="1446">
        <v>180</v>
      </c>
    </row>
    <row r="185" spans="1:3" s="243" customFormat="1" ht="16.5">
      <c r="A185" s="1439">
        <v>177</v>
      </c>
      <c r="B185" s="1447" t="s">
        <v>1565</v>
      </c>
      <c r="C185" s="1446"/>
    </row>
    <row r="186" spans="1:3" s="243" customFormat="1" ht="16.5">
      <c r="A186" s="1439">
        <v>178</v>
      </c>
      <c r="B186" s="1449" t="s">
        <v>1585</v>
      </c>
      <c r="C186" s="1446">
        <v>100</v>
      </c>
    </row>
    <row r="187" spans="1:3" s="243" customFormat="1" ht="16.5">
      <c r="A187" s="1439">
        <v>179</v>
      </c>
      <c r="B187" s="1449" t="s">
        <v>1452</v>
      </c>
      <c r="C187" s="1446">
        <v>25</v>
      </c>
    </row>
    <row r="188" spans="1:3" s="243" customFormat="1" ht="16.5">
      <c r="A188" s="1439">
        <v>180</v>
      </c>
      <c r="B188" s="1449" t="s">
        <v>1576</v>
      </c>
      <c r="C188" s="1446">
        <v>30</v>
      </c>
    </row>
    <row r="189" spans="1:3" s="243" customFormat="1" ht="16.5">
      <c r="A189" s="1439">
        <v>181</v>
      </c>
      <c r="B189" s="1449" t="s">
        <v>1588</v>
      </c>
      <c r="C189" s="1446">
        <v>200</v>
      </c>
    </row>
    <row r="190" spans="1:3" s="243" customFormat="1" ht="16.5">
      <c r="A190" s="1439">
        <v>182</v>
      </c>
      <c r="B190" s="1449" t="s">
        <v>1589</v>
      </c>
      <c r="C190" s="1446">
        <v>100</v>
      </c>
    </row>
    <row r="191" spans="1:3" s="243" customFormat="1" ht="16.5">
      <c r="A191" s="1439">
        <v>183</v>
      </c>
      <c r="B191" s="1447" t="s">
        <v>1566</v>
      </c>
      <c r="C191" s="1446"/>
    </row>
    <row r="192" spans="1:3" s="243" customFormat="1" ht="16.5">
      <c r="A192" s="1439">
        <v>184</v>
      </c>
      <c r="B192" s="1449" t="s">
        <v>1590</v>
      </c>
      <c r="C192" s="1446">
        <v>100</v>
      </c>
    </row>
    <row r="193" spans="1:3" s="243" customFormat="1" ht="16.5">
      <c r="A193" s="1439">
        <v>185</v>
      </c>
      <c r="B193" s="1449" t="s">
        <v>1591</v>
      </c>
      <c r="C193" s="1446">
        <v>100</v>
      </c>
    </row>
    <row r="194" spans="1:3" s="243" customFormat="1" ht="15.75" customHeight="1">
      <c r="A194" s="1439">
        <v>186</v>
      </c>
      <c r="B194" s="1449" t="s">
        <v>1592</v>
      </c>
      <c r="C194" s="1446">
        <v>100</v>
      </c>
    </row>
    <row r="195" spans="1:3" s="243" customFormat="1" ht="16.5">
      <c r="A195" s="1439">
        <v>187</v>
      </c>
      <c r="B195" s="1449" t="s">
        <v>1576</v>
      </c>
      <c r="C195" s="1446">
        <v>30</v>
      </c>
    </row>
    <row r="196" spans="1:3" s="243" customFormat="1" ht="16.5">
      <c r="A196" s="1439">
        <v>188</v>
      </c>
      <c r="B196" s="1449" t="s">
        <v>1593</v>
      </c>
      <c r="C196" s="1446">
        <v>15</v>
      </c>
    </row>
    <row r="197" spans="1:3" s="243" customFormat="1" ht="16.5">
      <c r="A197" s="1439">
        <v>189</v>
      </c>
      <c r="B197" s="1449" t="s">
        <v>1594</v>
      </c>
      <c r="C197" s="1446">
        <v>400</v>
      </c>
    </row>
    <row r="198" spans="1:3" s="243" customFormat="1" ht="16.5">
      <c r="A198" s="1439">
        <v>190</v>
      </c>
      <c r="B198" s="1447" t="s">
        <v>1567</v>
      </c>
      <c r="C198" s="1446"/>
    </row>
    <row r="199" spans="1:3" s="243" customFormat="1" ht="16.5">
      <c r="A199" s="1439">
        <v>191</v>
      </c>
      <c r="B199" s="1449" t="s">
        <v>1595</v>
      </c>
      <c r="C199" s="1446">
        <v>130</v>
      </c>
    </row>
    <row r="200" spans="1:3" s="243" customFormat="1" ht="16.5">
      <c r="A200" s="1439">
        <v>192</v>
      </c>
      <c r="B200" s="1449" t="s">
        <v>1596</v>
      </c>
      <c r="C200" s="1446">
        <v>100</v>
      </c>
    </row>
    <row r="201" spans="1:3" s="243" customFormat="1" ht="16.5">
      <c r="A201" s="1439">
        <v>193</v>
      </c>
      <c r="B201" s="1449" t="s">
        <v>1597</v>
      </c>
      <c r="C201" s="1446">
        <v>25</v>
      </c>
    </row>
    <row r="202" spans="1:3" s="243" customFormat="1" ht="16.5">
      <c r="A202" s="1439">
        <v>194</v>
      </c>
      <c r="B202" s="1449" t="s">
        <v>1598</v>
      </c>
      <c r="C202" s="1446">
        <v>80</v>
      </c>
    </row>
    <row r="203" spans="1:3" s="243" customFormat="1" ht="16.5">
      <c r="A203" s="1439">
        <v>195</v>
      </c>
      <c r="B203" s="1449" t="s">
        <v>1576</v>
      </c>
      <c r="C203" s="1446">
        <v>30</v>
      </c>
    </row>
    <row r="204" spans="1:3" s="243" customFormat="1" ht="16.5">
      <c r="A204" s="1439">
        <v>196</v>
      </c>
      <c r="B204" s="1449" t="s">
        <v>1578</v>
      </c>
      <c r="C204" s="1446">
        <v>85</v>
      </c>
    </row>
    <row r="205" spans="1:3" s="243" customFormat="1" ht="16.5">
      <c r="A205" s="1439">
        <v>197</v>
      </c>
      <c r="B205" s="1449" t="s">
        <v>1586</v>
      </c>
      <c r="C205" s="1446">
        <v>100</v>
      </c>
    </row>
    <row r="206" spans="1:3" s="243" customFormat="1" ht="16.5">
      <c r="A206" s="1439">
        <v>198</v>
      </c>
      <c r="B206" s="1449" t="s">
        <v>1599</v>
      </c>
      <c r="C206" s="1446">
        <v>200</v>
      </c>
    </row>
    <row r="207" spans="1:3" s="243" customFormat="1" ht="15.75" customHeight="1">
      <c r="A207" s="1439">
        <v>199</v>
      </c>
      <c r="B207" s="1449" t="s">
        <v>1592</v>
      </c>
      <c r="C207" s="1446">
        <v>150</v>
      </c>
    </row>
    <row r="208" spans="1:3" s="243" customFormat="1" ht="16.5">
      <c r="A208" s="1439">
        <v>200</v>
      </c>
      <c r="B208" s="1449" t="s">
        <v>43</v>
      </c>
      <c r="C208" s="1446">
        <v>135</v>
      </c>
    </row>
    <row r="209" spans="1:3" s="243" customFormat="1" ht="16.5">
      <c r="A209" s="1439">
        <v>201</v>
      </c>
      <c r="B209" s="1449" t="s">
        <v>1587</v>
      </c>
      <c r="C209" s="1446">
        <v>60</v>
      </c>
    </row>
    <row r="210" spans="1:3" s="243" customFormat="1" ht="16.5">
      <c r="A210" s="1439">
        <v>202</v>
      </c>
      <c r="B210" s="1447" t="s">
        <v>1568</v>
      </c>
      <c r="C210" s="1446"/>
    </row>
    <row r="211" spans="1:3" s="243" customFormat="1" ht="16.5">
      <c r="A211" s="1439">
        <v>203</v>
      </c>
      <c r="B211" s="1449" t="s">
        <v>1475</v>
      </c>
      <c r="C211" s="1446">
        <v>100</v>
      </c>
    </row>
    <row r="212" spans="1:3" s="243" customFormat="1" ht="16.5">
      <c r="A212" s="1439">
        <v>204</v>
      </c>
      <c r="B212" s="1449" t="s">
        <v>1600</v>
      </c>
      <c r="C212" s="1446">
        <v>100</v>
      </c>
    </row>
    <row r="213" spans="1:3" s="243" customFormat="1" ht="16.5">
      <c r="A213" s="1439">
        <v>205</v>
      </c>
      <c r="B213" s="1449" t="s">
        <v>1599</v>
      </c>
      <c r="C213" s="1446">
        <v>100</v>
      </c>
    </row>
    <row r="214" spans="1:3" s="243" customFormat="1" ht="16.5">
      <c r="A214" s="1439">
        <v>206</v>
      </c>
      <c r="B214" s="1449" t="s">
        <v>1601</v>
      </c>
      <c r="C214" s="1446">
        <v>25</v>
      </c>
    </row>
    <row r="215" spans="1:3" s="243" customFormat="1" ht="16.5">
      <c r="A215" s="1439">
        <v>207</v>
      </c>
      <c r="B215" s="1449" t="s">
        <v>1576</v>
      </c>
      <c r="C215" s="1446">
        <v>30</v>
      </c>
    </row>
    <row r="216" spans="1:3" s="243" customFormat="1" ht="16.5">
      <c r="A216" s="1439">
        <v>208</v>
      </c>
      <c r="B216" s="1449" t="s">
        <v>1464</v>
      </c>
      <c r="C216" s="1446">
        <v>50</v>
      </c>
    </row>
    <row r="217" spans="1:3" s="243" customFormat="1" ht="16.5">
      <c r="A217" s="1439">
        <v>209</v>
      </c>
      <c r="B217" s="1449" t="s">
        <v>1578</v>
      </c>
      <c r="C217" s="1446">
        <v>30</v>
      </c>
    </row>
    <row r="218" spans="1:3" s="243" customFormat="1" ht="16.5">
      <c r="A218" s="1439">
        <v>210</v>
      </c>
      <c r="B218" s="1449" t="s">
        <v>1554</v>
      </c>
      <c r="C218" s="1446">
        <v>40</v>
      </c>
    </row>
    <row r="219" spans="1:3" s="243" customFormat="1" ht="16.5">
      <c r="A219" s="1439">
        <v>211</v>
      </c>
      <c r="B219" s="1449" t="s">
        <v>1600</v>
      </c>
      <c r="C219" s="1446">
        <v>84</v>
      </c>
    </row>
    <row r="220" spans="1:3" s="243" customFormat="1" ht="16.5">
      <c r="A220" s="1439">
        <v>212</v>
      </c>
      <c r="B220" s="1449" t="s">
        <v>1602</v>
      </c>
      <c r="C220" s="1446">
        <v>48</v>
      </c>
    </row>
    <row r="221" spans="1:3" s="243" customFormat="1" ht="16.5">
      <c r="A221" s="1439">
        <v>213</v>
      </c>
      <c r="B221" s="1449" t="s">
        <v>1460</v>
      </c>
      <c r="C221" s="1446">
        <v>20</v>
      </c>
    </row>
    <row r="222" spans="1:3" s="243" customFormat="1" ht="16.5">
      <c r="A222" s="1439">
        <v>214</v>
      </c>
      <c r="B222" s="1447" t="s">
        <v>1569</v>
      </c>
      <c r="C222" s="1446"/>
    </row>
    <row r="223" spans="1:3" s="243" customFormat="1" ht="16.5">
      <c r="A223" s="1439">
        <v>215</v>
      </c>
      <c r="B223" s="1449" t="s">
        <v>1452</v>
      </c>
      <c r="C223" s="1446">
        <v>25</v>
      </c>
    </row>
    <row r="224" spans="1:3" s="243" customFormat="1" ht="16.5">
      <c r="A224" s="1439">
        <v>216</v>
      </c>
      <c r="B224" s="1449" t="s">
        <v>1576</v>
      </c>
      <c r="C224" s="1446">
        <v>30</v>
      </c>
    </row>
    <row r="225" spans="1:3" s="243" customFormat="1" ht="16.5">
      <c r="A225" s="1439">
        <v>217</v>
      </c>
      <c r="B225" s="1449" t="s">
        <v>1603</v>
      </c>
      <c r="C225" s="1446">
        <v>50</v>
      </c>
    </row>
    <row r="226" spans="1:3" s="243" customFormat="1" ht="16.5">
      <c r="A226" s="1439">
        <v>218</v>
      </c>
      <c r="B226" s="1449" t="s">
        <v>1599</v>
      </c>
      <c r="C226" s="1446">
        <v>50</v>
      </c>
    </row>
    <row r="227" spans="1:3" s="243" customFormat="1" ht="16.5">
      <c r="A227" s="1439">
        <v>219</v>
      </c>
      <c r="B227" s="1449" t="s">
        <v>1464</v>
      </c>
      <c r="C227" s="1446">
        <v>100</v>
      </c>
    </row>
    <row r="228" spans="1:3" s="243" customFormat="1" ht="16.5">
      <c r="A228" s="1439">
        <v>220</v>
      </c>
      <c r="B228" s="1447" t="s">
        <v>1570</v>
      </c>
      <c r="C228" s="1446"/>
    </row>
    <row r="229" spans="1:3" s="243" customFormat="1" ht="16.5">
      <c r="A229" s="1439">
        <v>221</v>
      </c>
      <c r="B229" s="1449" t="s">
        <v>1452</v>
      </c>
      <c r="C229" s="1446">
        <v>25</v>
      </c>
    </row>
    <row r="230" spans="1:3" s="243" customFormat="1" ht="16.5">
      <c r="A230" s="1439">
        <v>222</v>
      </c>
      <c r="B230" s="1449" t="s">
        <v>1578</v>
      </c>
      <c r="C230" s="1446">
        <v>30</v>
      </c>
    </row>
    <row r="231" spans="1:3" s="243" customFormat="1" ht="16.5">
      <c r="A231" s="1439">
        <v>223</v>
      </c>
      <c r="B231" s="1449" t="s">
        <v>1603</v>
      </c>
      <c r="C231" s="1446">
        <v>50</v>
      </c>
    </row>
    <row r="232" spans="1:3" s="243" customFormat="1" ht="16.5">
      <c r="A232" s="1439">
        <v>224</v>
      </c>
      <c r="B232" s="1449" t="s">
        <v>1604</v>
      </c>
      <c r="C232" s="1446">
        <v>100</v>
      </c>
    </row>
    <row r="233" spans="1:3" s="243" customFormat="1" ht="16.5">
      <c r="A233" s="1439">
        <v>225</v>
      </c>
      <c r="B233" s="1449" t="s">
        <v>1605</v>
      </c>
      <c r="C233" s="1446">
        <v>71</v>
      </c>
    </row>
    <row r="234" spans="1:3" s="243" customFormat="1" ht="16.5">
      <c r="A234" s="1439">
        <v>226</v>
      </c>
      <c r="B234" s="1449" t="s">
        <v>1606</v>
      </c>
      <c r="C234" s="1446">
        <v>30</v>
      </c>
    </row>
    <row r="235" spans="1:3" s="243" customFormat="1" ht="16.5">
      <c r="A235" s="1439">
        <v>227</v>
      </c>
      <c r="B235" s="1449" t="s">
        <v>1599</v>
      </c>
      <c r="C235" s="1446">
        <v>20</v>
      </c>
    </row>
    <row r="236" spans="1:3" s="243" customFormat="1" ht="16.5">
      <c r="A236" s="1439">
        <v>228</v>
      </c>
      <c r="B236" s="1447" t="s">
        <v>1571</v>
      </c>
      <c r="C236" s="1446"/>
    </row>
    <row r="237" spans="1:3" s="243" customFormat="1" ht="16.5">
      <c r="A237" s="1439">
        <v>229</v>
      </c>
      <c r="B237" s="1449" t="s">
        <v>1607</v>
      </c>
      <c r="C237" s="1446">
        <v>30</v>
      </c>
    </row>
    <row r="238" spans="1:3" s="243" customFormat="1" ht="16.5">
      <c r="A238" s="1439">
        <v>230</v>
      </c>
      <c r="B238" s="1449" t="s">
        <v>1608</v>
      </c>
      <c r="C238" s="1446">
        <v>250</v>
      </c>
    </row>
    <row r="239" spans="1:3" s="243" customFormat="1" ht="16.5">
      <c r="A239" s="1439">
        <v>231</v>
      </c>
      <c r="B239" s="1449" t="s">
        <v>1452</v>
      </c>
      <c r="C239" s="1446">
        <v>25</v>
      </c>
    </row>
    <row r="240" spans="1:3" s="243" customFormat="1" ht="16.5">
      <c r="A240" s="1439">
        <v>232</v>
      </c>
      <c r="B240" s="1449" t="s">
        <v>1609</v>
      </c>
      <c r="C240" s="1446">
        <v>100</v>
      </c>
    </row>
    <row r="241" spans="1:3" s="243" customFormat="1" ht="16.5">
      <c r="A241" s="1439">
        <v>233</v>
      </c>
      <c r="B241" s="1449" t="s">
        <v>1610</v>
      </c>
      <c r="C241" s="1446">
        <v>30</v>
      </c>
    </row>
    <row r="242" spans="1:3" s="243" customFormat="1" ht="16.5">
      <c r="A242" s="1439">
        <v>234</v>
      </c>
      <c r="B242" s="1449" t="s">
        <v>1611</v>
      </c>
      <c r="C242" s="1446">
        <v>100</v>
      </c>
    </row>
    <row r="243" spans="1:3" s="243" customFormat="1" ht="16.5">
      <c r="A243" s="1439">
        <v>235</v>
      </c>
      <c r="B243" s="1449" t="s">
        <v>1612</v>
      </c>
      <c r="C243" s="1446">
        <v>110</v>
      </c>
    </row>
    <row r="244" spans="1:3" s="243" customFormat="1" ht="16.5">
      <c r="A244" s="1439">
        <v>236</v>
      </c>
      <c r="B244" s="1449" t="s">
        <v>1613</v>
      </c>
      <c r="C244" s="1446">
        <v>50</v>
      </c>
    </row>
    <row r="245" spans="1:3" s="243" customFormat="1" ht="16.5">
      <c r="A245" s="1439">
        <v>237</v>
      </c>
      <c r="B245" s="1449" t="s">
        <v>1493</v>
      </c>
      <c r="C245" s="1446">
        <v>30</v>
      </c>
    </row>
    <row r="246" spans="1:3" s="243" customFormat="1" ht="16.5">
      <c r="A246" s="1439">
        <v>238</v>
      </c>
      <c r="B246" s="1449" t="s">
        <v>1599</v>
      </c>
      <c r="C246" s="1446">
        <v>30</v>
      </c>
    </row>
    <row r="247" spans="1:3" s="243" customFormat="1" ht="16.5">
      <c r="A247" s="1439">
        <v>239</v>
      </c>
      <c r="B247" s="1449" t="s">
        <v>1614</v>
      </c>
      <c r="C247" s="1446">
        <v>50</v>
      </c>
    </row>
    <row r="248" spans="1:3" s="243" customFormat="1" ht="16.5">
      <c r="A248" s="1439">
        <v>240</v>
      </c>
      <c r="B248" s="1447" t="s">
        <v>1572</v>
      </c>
      <c r="C248" s="1446"/>
    </row>
    <row r="249" spans="1:3" s="243" customFormat="1" ht="18" customHeight="1">
      <c r="A249" s="1439">
        <v>241</v>
      </c>
      <c r="B249" s="1449" t="s">
        <v>1615</v>
      </c>
      <c r="C249" s="1446">
        <v>50</v>
      </c>
    </row>
    <row r="250" spans="1:3" s="243" customFormat="1" ht="18" customHeight="1">
      <c r="A250" s="1439">
        <v>242</v>
      </c>
      <c r="B250" s="1449" t="s">
        <v>1608</v>
      </c>
      <c r="C250" s="1446">
        <v>100</v>
      </c>
    </row>
    <row r="251" spans="1:3" s="243" customFormat="1" ht="16.5">
      <c r="A251" s="1439">
        <v>243</v>
      </c>
      <c r="B251" s="1449" t="s">
        <v>1616</v>
      </c>
      <c r="C251" s="1446">
        <v>50</v>
      </c>
    </row>
    <row r="252" spans="1:3" s="243" customFormat="1" ht="16.5">
      <c r="A252" s="1439">
        <v>244</v>
      </c>
      <c r="B252" s="1449" t="s">
        <v>1512</v>
      </c>
      <c r="C252" s="1446">
        <v>100</v>
      </c>
    </row>
    <row r="253" spans="1:3" s="243" customFormat="1" ht="16.5">
      <c r="A253" s="1439">
        <v>245</v>
      </c>
      <c r="B253" s="1449" t="s">
        <v>1617</v>
      </c>
      <c r="C253" s="1446">
        <v>100</v>
      </c>
    </row>
    <row r="254" spans="1:3" s="243" customFormat="1" ht="16.5">
      <c r="A254" s="1439">
        <v>246</v>
      </c>
      <c r="B254" s="1449" t="s">
        <v>1452</v>
      </c>
      <c r="C254" s="1446">
        <v>25</v>
      </c>
    </row>
    <row r="255" spans="1:3" s="243" customFormat="1" ht="16.5">
      <c r="A255" s="1439">
        <v>247</v>
      </c>
      <c r="B255" s="1449" t="s">
        <v>1618</v>
      </c>
      <c r="C255" s="1446">
        <v>80</v>
      </c>
    </row>
    <row r="256" spans="1:3" s="243" customFormat="1" ht="16.5">
      <c r="A256" s="1439">
        <v>248</v>
      </c>
      <c r="B256" s="1449" t="s">
        <v>1464</v>
      </c>
      <c r="C256" s="1446">
        <v>100</v>
      </c>
    </row>
    <row r="257" spans="1:3" s="243" customFormat="1" ht="17.25" thickBot="1">
      <c r="A257" s="1439">
        <v>249</v>
      </c>
      <c r="B257" s="1449" t="s">
        <v>1460</v>
      </c>
      <c r="C257" s="1446">
        <v>20</v>
      </c>
    </row>
    <row r="258" spans="1:3" s="304" customFormat="1" ht="30" customHeight="1" thickBot="1">
      <c r="A258" s="1439">
        <v>250</v>
      </c>
      <c r="B258" s="1450" t="s">
        <v>661</v>
      </c>
      <c r="C258" s="1451">
        <f>SUM(C9:C257)</f>
        <v>300114</v>
      </c>
    </row>
    <row r="259" ht="16.5">
      <c r="B259" s="1454"/>
    </row>
    <row r="260" ht="16.5">
      <c r="B260" s="1456"/>
    </row>
    <row r="261" ht="16.5">
      <c r="B261" s="1456"/>
    </row>
    <row r="262" ht="16.5">
      <c r="B262" s="1454"/>
    </row>
    <row r="263" ht="16.5">
      <c r="B263" s="1454"/>
    </row>
    <row r="264" spans="1:5" s="305" customFormat="1" ht="16.5">
      <c r="A264" s="1439"/>
      <c r="B264" s="1454"/>
      <c r="C264" s="1455"/>
      <c r="D264" s="247"/>
      <c r="E264" s="247"/>
    </row>
    <row r="265" spans="1:5" s="305" customFormat="1" ht="16.5">
      <c r="A265" s="1439"/>
      <c r="B265" s="1454"/>
      <c r="C265" s="1455"/>
      <c r="D265" s="247"/>
      <c r="E265" s="247"/>
    </row>
    <row r="266" spans="1:5" s="305" customFormat="1" ht="16.5">
      <c r="A266" s="1439"/>
      <c r="B266" s="1454"/>
      <c r="C266" s="1455"/>
      <c r="D266" s="247"/>
      <c r="E266" s="247"/>
    </row>
    <row r="267" spans="1:5" s="305" customFormat="1" ht="16.5">
      <c r="A267" s="1439"/>
      <c r="B267" s="1454"/>
      <c r="C267" s="1455"/>
      <c r="D267" s="247"/>
      <c r="E267" s="247"/>
    </row>
    <row r="268" spans="1:5" s="305" customFormat="1" ht="16.5">
      <c r="A268" s="1439"/>
      <c r="B268" s="1454"/>
      <c r="C268" s="1455"/>
      <c r="D268" s="247"/>
      <c r="E268" s="247"/>
    </row>
    <row r="269" spans="1:5" s="305" customFormat="1" ht="16.5">
      <c r="A269" s="1439"/>
      <c r="B269" s="1454"/>
      <c r="C269" s="1455"/>
      <c r="D269" s="247"/>
      <c r="E269" s="247"/>
    </row>
    <row r="270" spans="1:5" s="305" customFormat="1" ht="16.5">
      <c r="A270" s="1439"/>
      <c r="B270" s="1454"/>
      <c r="C270" s="1455"/>
      <c r="D270" s="247"/>
      <c r="E270" s="247"/>
    </row>
    <row r="271" spans="1:5" s="305" customFormat="1" ht="16.5">
      <c r="A271" s="1439"/>
      <c r="B271" s="1454"/>
      <c r="C271" s="1455"/>
      <c r="D271" s="247"/>
      <c r="E271" s="247"/>
    </row>
    <row r="272" spans="1:5" s="305" customFormat="1" ht="16.5">
      <c r="A272" s="1439"/>
      <c r="B272" s="1456"/>
      <c r="C272" s="1455"/>
      <c r="D272" s="247"/>
      <c r="E272" s="247"/>
    </row>
    <row r="273" spans="1:5" s="305" customFormat="1" ht="16.5">
      <c r="A273" s="1439"/>
      <c r="B273" s="1456"/>
      <c r="C273" s="1455"/>
      <c r="D273" s="247"/>
      <c r="E273" s="247"/>
    </row>
    <row r="274" spans="1:5" s="305" customFormat="1" ht="16.5">
      <c r="A274" s="1439"/>
      <c r="B274" s="1454"/>
      <c r="C274" s="1455"/>
      <c r="D274" s="247"/>
      <c r="E274" s="247"/>
    </row>
    <row r="275" spans="1:5" s="305" customFormat="1" ht="16.5">
      <c r="A275" s="1439"/>
      <c r="B275" s="1454"/>
      <c r="C275" s="1455"/>
      <c r="D275" s="247"/>
      <c r="E275" s="247"/>
    </row>
    <row r="276" spans="1:5" s="305" customFormat="1" ht="16.5">
      <c r="A276" s="1439"/>
      <c r="B276" s="1457"/>
      <c r="C276" s="1455"/>
      <c r="D276" s="247"/>
      <c r="E276" s="247"/>
    </row>
    <row r="277" spans="1:5" s="305" customFormat="1" ht="16.5">
      <c r="A277" s="1439"/>
      <c r="B277" s="1457"/>
      <c r="C277" s="1455"/>
      <c r="D277" s="247"/>
      <c r="E277" s="247"/>
    </row>
    <row r="278" spans="1:5" s="305" customFormat="1" ht="16.5">
      <c r="A278" s="1439"/>
      <c r="B278" s="1457"/>
      <c r="C278" s="1455"/>
      <c r="D278" s="247"/>
      <c r="E278" s="247"/>
    </row>
    <row r="279" spans="1:5" s="305" customFormat="1" ht="16.5">
      <c r="A279" s="1439"/>
      <c r="B279" s="1457"/>
      <c r="C279" s="1455"/>
      <c r="D279" s="247"/>
      <c r="E279" s="247"/>
    </row>
    <row r="280" spans="1:5" s="305" customFormat="1" ht="16.5">
      <c r="A280" s="1439"/>
      <c r="B280" s="1457"/>
      <c r="C280" s="1455"/>
      <c r="D280" s="247"/>
      <c r="E280" s="247"/>
    </row>
    <row r="281" spans="1:5" s="305" customFormat="1" ht="16.5">
      <c r="A281" s="1439"/>
      <c r="B281" s="1457"/>
      <c r="C281" s="1455"/>
      <c r="D281" s="247"/>
      <c r="E281" s="247"/>
    </row>
    <row r="282" spans="1:5" s="305" customFormat="1" ht="16.5">
      <c r="A282" s="1439"/>
      <c r="B282" s="1457"/>
      <c r="C282" s="1455"/>
      <c r="D282" s="247"/>
      <c r="E282" s="247"/>
    </row>
    <row r="283" spans="1:5" s="305" customFormat="1" ht="16.5">
      <c r="A283" s="1439"/>
      <c r="B283" s="1457"/>
      <c r="C283" s="1455"/>
      <c r="D283" s="247"/>
      <c r="E283" s="247"/>
    </row>
    <row r="284" spans="1:5" s="305" customFormat="1" ht="16.5">
      <c r="A284" s="1439"/>
      <c r="B284" s="1457"/>
      <c r="C284" s="1455"/>
      <c r="D284" s="247"/>
      <c r="E284" s="247"/>
    </row>
    <row r="285" spans="1:5" s="305" customFormat="1" ht="16.5">
      <c r="A285" s="1439"/>
      <c r="B285" s="1457"/>
      <c r="C285" s="1455"/>
      <c r="D285" s="247"/>
      <c r="E285" s="247"/>
    </row>
    <row r="286" spans="1:5" s="305" customFormat="1" ht="16.5">
      <c r="A286" s="1439"/>
      <c r="B286" s="1457"/>
      <c r="C286" s="1455"/>
      <c r="D286" s="247"/>
      <c r="E286" s="247"/>
    </row>
    <row r="287" spans="1:5" s="305" customFormat="1" ht="16.5">
      <c r="A287" s="1439"/>
      <c r="B287" s="1457"/>
      <c r="C287" s="1455"/>
      <c r="D287" s="247"/>
      <c r="E287" s="247"/>
    </row>
    <row r="288" spans="1:5" s="305" customFormat="1" ht="16.5">
      <c r="A288" s="1439"/>
      <c r="B288" s="1457"/>
      <c r="C288" s="1455"/>
      <c r="D288" s="247"/>
      <c r="E288" s="247"/>
    </row>
    <row r="289" spans="1:5" s="305" customFormat="1" ht="16.5">
      <c r="A289" s="1439"/>
      <c r="B289" s="1457"/>
      <c r="C289" s="1455"/>
      <c r="D289" s="247"/>
      <c r="E289" s="247"/>
    </row>
    <row r="290" spans="1:5" s="305" customFormat="1" ht="16.5">
      <c r="A290" s="1439"/>
      <c r="B290" s="1457"/>
      <c r="C290" s="1455"/>
      <c r="D290" s="247"/>
      <c r="E290" s="247"/>
    </row>
    <row r="291" spans="1:5" s="305" customFormat="1" ht="16.5">
      <c r="A291" s="1439"/>
      <c r="B291" s="1457"/>
      <c r="C291" s="1455"/>
      <c r="D291" s="247"/>
      <c r="E291" s="247"/>
    </row>
    <row r="292" spans="1:5" s="305" customFormat="1" ht="16.5">
      <c r="A292" s="1439"/>
      <c r="B292" s="1457"/>
      <c r="C292" s="1455"/>
      <c r="D292" s="247"/>
      <c r="E292" s="247"/>
    </row>
    <row r="293" spans="1:5" s="305" customFormat="1" ht="16.5">
      <c r="A293" s="1439"/>
      <c r="B293" s="1457"/>
      <c r="C293" s="1455"/>
      <c r="D293" s="247"/>
      <c r="E293" s="247"/>
    </row>
    <row r="294" spans="1:5" s="305" customFormat="1" ht="16.5">
      <c r="A294" s="1439"/>
      <c r="B294" s="1457"/>
      <c r="C294" s="1455"/>
      <c r="D294" s="247"/>
      <c r="E294" s="247"/>
    </row>
    <row r="295" spans="1:5" s="305" customFormat="1" ht="16.5">
      <c r="A295" s="1439"/>
      <c r="B295" s="1454"/>
      <c r="C295" s="1455"/>
      <c r="D295" s="247"/>
      <c r="E295" s="247"/>
    </row>
    <row r="296" ht="16.5">
      <c r="B296" s="1454"/>
    </row>
    <row r="297" ht="16.5">
      <c r="B297" s="1454"/>
    </row>
    <row r="298" spans="2:3" ht="16.5">
      <c r="B298" s="1458"/>
      <c r="C298" s="1459"/>
    </row>
    <row r="299" spans="2:3" ht="16.5">
      <c r="B299" s="1458"/>
      <c r="C299" s="1459"/>
    </row>
    <row r="300" spans="2:3" ht="16.5">
      <c r="B300" s="1458"/>
      <c r="C300" s="1459"/>
    </row>
    <row r="301" spans="2:3" ht="16.5">
      <c r="B301" s="1458"/>
      <c r="C301" s="1459"/>
    </row>
    <row r="302" ht="16.5">
      <c r="B302" s="1454"/>
    </row>
    <row r="303" ht="16.5">
      <c r="B303" s="1454"/>
    </row>
    <row r="304" ht="16.5">
      <c r="B304" s="1454"/>
    </row>
    <row r="305" ht="16.5">
      <c r="B305" s="1454"/>
    </row>
    <row r="306" ht="16.5">
      <c r="B306" s="1454"/>
    </row>
    <row r="307" ht="16.5">
      <c r="B307" s="1456"/>
    </row>
    <row r="308" ht="16.5">
      <c r="B308" s="1456"/>
    </row>
    <row r="309" spans="1:3" s="306" customFormat="1" ht="17.25">
      <c r="A309" s="1444"/>
      <c r="B309" s="1460"/>
      <c r="C309" s="1455"/>
    </row>
    <row r="310" spans="1:3" s="306" customFormat="1" ht="17.25">
      <c r="A310" s="1444"/>
      <c r="B310" s="1460"/>
      <c r="C310" s="1455"/>
    </row>
    <row r="311" spans="1:3" s="306" customFormat="1" ht="17.25">
      <c r="A311" s="1444"/>
      <c r="B311" s="1456"/>
      <c r="C311" s="1455"/>
    </row>
    <row r="312" spans="1:3" s="306" customFormat="1" ht="17.25">
      <c r="A312" s="1444"/>
      <c r="B312" s="1456"/>
      <c r="C312" s="1455"/>
    </row>
    <row r="313" spans="1:3" s="306" customFormat="1" ht="17.25">
      <c r="A313" s="1444"/>
      <c r="B313" s="1456"/>
      <c r="C313" s="1455"/>
    </row>
    <row r="314" spans="1:3" s="306" customFormat="1" ht="17.25">
      <c r="A314" s="1444"/>
      <c r="B314" s="1456"/>
      <c r="C314" s="1455"/>
    </row>
    <row r="315" spans="1:3" s="306" customFormat="1" ht="17.25">
      <c r="A315" s="1444"/>
      <c r="B315" s="1456"/>
      <c r="C315" s="1455"/>
    </row>
    <row r="316" ht="16.5">
      <c r="B316" s="1454"/>
    </row>
    <row r="317" ht="16.5">
      <c r="B317" s="1454"/>
    </row>
    <row r="318" ht="16.5">
      <c r="B318" s="1454"/>
    </row>
    <row r="319" ht="16.5">
      <c r="B319" s="1454"/>
    </row>
    <row r="320" ht="16.5">
      <c r="B320" s="1454"/>
    </row>
    <row r="321" ht="16.5">
      <c r="B321" s="1454"/>
    </row>
    <row r="322" ht="16.5">
      <c r="B322" s="1454"/>
    </row>
    <row r="323" ht="16.5">
      <c r="B323" s="1454"/>
    </row>
    <row r="324" ht="16.5">
      <c r="B324" s="1454"/>
    </row>
    <row r="325" ht="16.5">
      <c r="B325" s="1454"/>
    </row>
    <row r="326" ht="16.5">
      <c r="B326" s="1454"/>
    </row>
    <row r="327" ht="16.5">
      <c r="B327" s="1454"/>
    </row>
    <row r="328" ht="16.5">
      <c r="B328" s="1454"/>
    </row>
    <row r="329" spans="1:3" s="306" customFormat="1" ht="17.25">
      <c r="A329" s="1444"/>
      <c r="B329" s="1456"/>
      <c r="C329" s="1455"/>
    </row>
    <row r="330" ht="16.5">
      <c r="B330" s="1454"/>
    </row>
    <row r="331" ht="16.5">
      <c r="B331" s="1454"/>
    </row>
    <row r="332" ht="16.5">
      <c r="B332" s="1454"/>
    </row>
    <row r="333" ht="16.5">
      <c r="B333" s="1454"/>
    </row>
    <row r="334" ht="16.5">
      <c r="B334" s="1454"/>
    </row>
    <row r="335" ht="16.5">
      <c r="B335" s="1454"/>
    </row>
    <row r="336" ht="16.5">
      <c r="B336" s="1454"/>
    </row>
    <row r="337" ht="16.5">
      <c r="B337" s="1454"/>
    </row>
    <row r="338" ht="16.5">
      <c r="B338" s="1454"/>
    </row>
    <row r="339" ht="16.5">
      <c r="B339" s="1454"/>
    </row>
    <row r="340" ht="16.5">
      <c r="B340" s="1454"/>
    </row>
    <row r="341" ht="16.5">
      <c r="B341" s="1454"/>
    </row>
    <row r="342" ht="16.5">
      <c r="B342" s="1454"/>
    </row>
    <row r="343" ht="16.5">
      <c r="B343" s="1454"/>
    </row>
    <row r="344" spans="1:5" s="305" customFormat="1" ht="16.5">
      <c r="A344" s="1439"/>
      <c r="B344" s="1454"/>
      <c r="C344" s="1455"/>
      <c r="D344" s="247"/>
      <c r="E344" s="247"/>
    </row>
    <row r="345" spans="1:5" s="305" customFormat="1" ht="16.5">
      <c r="A345" s="1439"/>
      <c r="B345" s="1454"/>
      <c r="C345" s="1455"/>
      <c r="D345" s="247"/>
      <c r="E345" s="247"/>
    </row>
    <row r="346" spans="1:5" s="305" customFormat="1" ht="16.5">
      <c r="A346" s="1439"/>
      <c r="B346" s="1454"/>
      <c r="C346" s="1455"/>
      <c r="D346" s="247"/>
      <c r="E346" s="247"/>
    </row>
    <row r="347" spans="1:5" s="305" customFormat="1" ht="16.5">
      <c r="A347" s="1439"/>
      <c r="B347" s="1454"/>
      <c r="C347" s="1455"/>
      <c r="D347" s="247"/>
      <c r="E347" s="247"/>
    </row>
    <row r="348" spans="1:5" s="305" customFormat="1" ht="16.5">
      <c r="A348" s="1439"/>
      <c r="B348" s="1454"/>
      <c r="C348" s="1455"/>
      <c r="D348" s="247"/>
      <c r="E348" s="247"/>
    </row>
    <row r="349" spans="1:5" s="305" customFormat="1" ht="16.5">
      <c r="A349" s="1439"/>
      <c r="B349" s="1454"/>
      <c r="C349" s="1455"/>
      <c r="D349" s="247"/>
      <c r="E349" s="247"/>
    </row>
    <row r="350" spans="1:5" s="305" customFormat="1" ht="16.5">
      <c r="A350" s="1439"/>
      <c r="B350" s="1454"/>
      <c r="C350" s="1455"/>
      <c r="D350" s="247"/>
      <c r="E350" s="247"/>
    </row>
    <row r="351" spans="1:5" s="305" customFormat="1" ht="16.5">
      <c r="A351" s="1439"/>
      <c r="B351" s="1454"/>
      <c r="C351" s="1455"/>
      <c r="D351" s="247"/>
      <c r="E351" s="247"/>
    </row>
    <row r="352" spans="1:5" s="305" customFormat="1" ht="16.5">
      <c r="A352" s="1439"/>
      <c r="B352" s="1454"/>
      <c r="C352" s="1455"/>
      <c r="D352" s="247"/>
      <c r="E352" s="247"/>
    </row>
    <row r="353" spans="1:5" s="305" customFormat="1" ht="16.5">
      <c r="A353" s="1439"/>
      <c r="B353" s="1454"/>
      <c r="C353" s="1455"/>
      <c r="D353" s="247"/>
      <c r="E353" s="247"/>
    </row>
    <row r="354" spans="1:5" s="305" customFormat="1" ht="16.5">
      <c r="A354" s="1439"/>
      <c r="B354" s="1454"/>
      <c r="C354" s="1455"/>
      <c r="D354" s="247"/>
      <c r="E354" s="247"/>
    </row>
    <row r="355" spans="1:5" s="305" customFormat="1" ht="16.5">
      <c r="A355" s="1439"/>
      <c r="B355" s="1454"/>
      <c r="C355" s="1455"/>
      <c r="D355" s="247"/>
      <c r="E355" s="247"/>
    </row>
    <row r="356" spans="1:5" s="305" customFormat="1" ht="16.5">
      <c r="A356" s="1439"/>
      <c r="B356" s="1454"/>
      <c r="C356" s="1455"/>
      <c r="D356" s="247"/>
      <c r="E356" s="247"/>
    </row>
    <row r="357" spans="1:5" s="305" customFormat="1" ht="16.5">
      <c r="A357" s="1439"/>
      <c r="B357" s="1454"/>
      <c r="C357" s="1455"/>
      <c r="D357" s="247"/>
      <c r="E357" s="247"/>
    </row>
    <row r="358" spans="1:5" s="305" customFormat="1" ht="16.5">
      <c r="A358" s="1439"/>
      <c r="B358" s="1454"/>
      <c r="C358" s="1455"/>
      <c r="D358" s="247"/>
      <c r="E358" s="247"/>
    </row>
    <row r="359" spans="1:5" s="305" customFormat="1" ht="16.5">
      <c r="A359" s="1439"/>
      <c r="B359" s="1454"/>
      <c r="C359" s="1455"/>
      <c r="D359" s="247"/>
      <c r="E359" s="247"/>
    </row>
    <row r="360" spans="1:5" s="305" customFormat="1" ht="16.5">
      <c r="A360" s="1439"/>
      <c r="B360" s="1454"/>
      <c r="C360" s="1455"/>
      <c r="D360" s="247"/>
      <c r="E360" s="247"/>
    </row>
    <row r="361" spans="1:5" s="305" customFormat="1" ht="16.5">
      <c r="A361" s="1439"/>
      <c r="B361" s="1454"/>
      <c r="C361" s="1455"/>
      <c r="D361" s="247"/>
      <c r="E361" s="247"/>
    </row>
    <row r="362" spans="1:5" s="305" customFormat="1" ht="16.5">
      <c r="A362" s="1439"/>
      <c r="B362" s="1454"/>
      <c r="C362" s="1455"/>
      <c r="D362" s="247"/>
      <c r="E362" s="247"/>
    </row>
    <row r="363" spans="1:5" s="305" customFormat="1" ht="16.5">
      <c r="A363" s="1439"/>
      <c r="B363" s="1454"/>
      <c r="C363" s="1455"/>
      <c r="D363" s="247"/>
      <c r="E363" s="247"/>
    </row>
    <row r="364" spans="1:5" s="305" customFormat="1" ht="16.5">
      <c r="A364" s="1439"/>
      <c r="B364" s="1454"/>
      <c r="C364" s="1455"/>
      <c r="D364" s="247"/>
      <c r="E364" s="247"/>
    </row>
    <row r="365" spans="1:5" s="305" customFormat="1" ht="16.5">
      <c r="A365" s="1439"/>
      <c r="B365" s="1454"/>
      <c r="C365" s="1455"/>
      <c r="D365" s="247"/>
      <c r="E365" s="247"/>
    </row>
    <row r="366" spans="1:5" s="305" customFormat="1" ht="16.5">
      <c r="A366" s="1439"/>
      <c r="B366" s="1454"/>
      <c r="C366" s="1455"/>
      <c r="D366" s="247"/>
      <c r="E366" s="247"/>
    </row>
    <row r="367" spans="1:5" s="305" customFormat="1" ht="16.5">
      <c r="A367" s="1439"/>
      <c r="B367" s="1454"/>
      <c r="C367" s="1455"/>
      <c r="D367" s="247"/>
      <c r="E367" s="247"/>
    </row>
    <row r="368" spans="1:5" s="305" customFormat="1" ht="16.5">
      <c r="A368" s="1439"/>
      <c r="B368" s="1454"/>
      <c r="C368" s="1455"/>
      <c r="D368" s="247"/>
      <c r="E368" s="247"/>
    </row>
    <row r="369" spans="1:5" s="305" customFormat="1" ht="16.5">
      <c r="A369" s="1439"/>
      <c r="B369" s="1454"/>
      <c r="C369" s="1455"/>
      <c r="D369" s="247"/>
      <c r="E369" s="247"/>
    </row>
    <row r="370" spans="1:5" s="305" customFormat="1" ht="16.5">
      <c r="A370" s="1439"/>
      <c r="B370" s="1454"/>
      <c r="C370" s="1455"/>
      <c r="D370" s="247"/>
      <c r="E370" s="247"/>
    </row>
    <row r="371" spans="1:5" s="305" customFormat="1" ht="16.5">
      <c r="A371" s="1439"/>
      <c r="B371" s="1454"/>
      <c r="C371" s="1455"/>
      <c r="D371" s="247"/>
      <c r="E371" s="247"/>
    </row>
    <row r="372" spans="1:5" s="305" customFormat="1" ht="16.5">
      <c r="A372" s="1439"/>
      <c r="B372" s="1454"/>
      <c r="C372" s="1455"/>
      <c r="D372" s="247"/>
      <c r="E372" s="247"/>
    </row>
    <row r="373" spans="1:5" s="305" customFormat="1" ht="16.5">
      <c r="A373" s="1439"/>
      <c r="B373" s="1454"/>
      <c r="C373" s="1455"/>
      <c r="D373" s="247"/>
      <c r="E373" s="247"/>
    </row>
    <row r="374" spans="1:5" s="305" customFormat="1" ht="16.5">
      <c r="A374" s="1439"/>
      <c r="B374" s="1457"/>
      <c r="C374" s="1455"/>
      <c r="D374" s="247"/>
      <c r="E374" s="247"/>
    </row>
    <row r="375" spans="1:5" s="305" customFormat="1" ht="16.5">
      <c r="A375" s="1439"/>
      <c r="B375" s="1457"/>
      <c r="C375" s="1455"/>
      <c r="D375" s="247"/>
      <c r="E375" s="247"/>
    </row>
    <row r="376" spans="1:5" s="305" customFormat="1" ht="16.5">
      <c r="A376" s="1439"/>
      <c r="B376" s="1457"/>
      <c r="C376" s="1455"/>
      <c r="D376" s="247"/>
      <c r="E376" s="247"/>
    </row>
    <row r="377" spans="1:5" s="305" customFormat="1" ht="16.5">
      <c r="A377" s="1439"/>
      <c r="B377" s="1457"/>
      <c r="C377" s="1455"/>
      <c r="D377" s="247"/>
      <c r="E377" s="247"/>
    </row>
    <row r="378" spans="1:5" s="305" customFormat="1" ht="16.5">
      <c r="A378" s="1439"/>
      <c r="B378" s="1457"/>
      <c r="C378" s="1455"/>
      <c r="D378" s="247"/>
      <c r="E378" s="247"/>
    </row>
    <row r="379" spans="1:5" s="305" customFormat="1" ht="16.5">
      <c r="A379" s="1439"/>
      <c r="B379" s="1457"/>
      <c r="C379" s="1455"/>
      <c r="D379" s="247"/>
      <c r="E379" s="247"/>
    </row>
    <row r="380" spans="1:5" s="305" customFormat="1" ht="16.5">
      <c r="A380" s="1439"/>
      <c r="B380" s="1457"/>
      <c r="C380" s="1455"/>
      <c r="D380" s="247"/>
      <c r="E380" s="247"/>
    </row>
    <row r="381" spans="1:5" s="305" customFormat="1" ht="16.5">
      <c r="A381" s="1439"/>
      <c r="B381" s="1457"/>
      <c r="C381" s="1455"/>
      <c r="D381" s="247"/>
      <c r="E381" s="247"/>
    </row>
    <row r="382" spans="1:5" s="305" customFormat="1" ht="16.5">
      <c r="A382" s="1439"/>
      <c r="B382" s="1457"/>
      <c r="C382" s="1455"/>
      <c r="D382" s="247"/>
      <c r="E382" s="247"/>
    </row>
    <row r="383" spans="1:5" s="305" customFormat="1" ht="16.5">
      <c r="A383" s="1439"/>
      <c r="B383" s="1457"/>
      <c r="C383" s="1455"/>
      <c r="D383" s="247"/>
      <c r="E383" s="247"/>
    </row>
  </sheetData>
  <sheetProtection/>
  <mergeCells count="6">
    <mergeCell ref="B2:C2"/>
    <mergeCell ref="B3:C3"/>
    <mergeCell ref="B4:C4"/>
    <mergeCell ref="B5:C5"/>
    <mergeCell ref="B7:B8"/>
    <mergeCell ref="C7:C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S308"/>
  <sheetViews>
    <sheetView view="pageBreakPreview" zoomScale="80" zoomScaleNormal="70" zoomScaleSheetLayoutView="80" zoomScalePageLayoutView="0" workbookViewId="0" topLeftCell="A1">
      <selection activeCell="B1" sqref="B1:D1"/>
    </sheetView>
  </sheetViews>
  <sheetFormatPr defaultColWidth="9.00390625" defaultRowHeight="12.75"/>
  <cols>
    <col min="1" max="1" width="3.375" style="605" bestFit="1" customWidth="1"/>
    <col min="2" max="2" width="4.75390625" style="919" customWidth="1"/>
    <col min="3" max="3" width="4.75390625" style="909" customWidth="1"/>
    <col min="4" max="4" width="65.75390625" style="409" customWidth="1"/>
    <col min="5" max="5" width="6.75390625" style="410" bestFit="1" customWidth="1"/>
    <col min="6" max="6" width="14.75390625" style="407" bestFit="1" customWidth="1"/>
    <col min="7" max="7" width="13.75390625" style="407" bestFit="1" customWidth="1"/>
    <col min="8" max="8" width="14.125" style="407" bestFit="1" customWidth="1"/>
    <col min="9" max="9" width="12.625" style="481" customWidth="1"/>
    <col min="10" max="10" width="11.25390625" style="407" customWidth="1"/>
    <col min="11" max="11" width="13.875" style="408" customWidth="1"/>
    <col min="12" max="13" width="14.00390625" style="474" customWidth="1"/>
    <col min="14" max="253" width="8.875" style="474" customWidth="1"/>
  </cols>
  <sheetData>
    <row r="1" spans="1:5" ht="17.25">
      <c r="A1" s="604"/>
      <c r="B1" s="1547" t="s">
        <v>1639</v>
      </c>
      <c r="C1" s="1547"/>
      <c r="D1" s="1547"/>
      <c r="E1" s="406"/>
    </row>
    <row r="2" spans="2:11" ht="17.25">
      <c r="B2" s="1548" t="s">
        <v>663</v>
      </c>
      <c r="C2" s="1548"/>
      <c r="D2" s="1548"/>
      <c r="E2" s="1548"/>
      <c r="F2" s="1548"/>
      <c r="G2" s="1548"/>
      <c r="H2" s="1548"/>
      <c r="I2" s="1548"/>
      <c r="J2" s="1548"/>
      <c r="K2" s="1548"/>
    </row>
    <row r="3" spans="2:13" ht="17.25">
      <c r="B3" s="1548" t="s">
        <v>1196</v>
      </c>
      <c r="C3" s="1548"/>
      <c r="D3" s="1548"/>
      <c r="E3" s="1548"/>
      <c r="F3" s="1548"/>
      <c r="G3" s="1548"/>
      <c r="H3" s="1548"/>
      <c r="I3" s="1548"/>
      <c r="J3" s="1548"/>
      <c r="K3" s="1548"/>
      <c r="L3" s="351"/>
      <c r="M3" s="351"/>
    </row>
    <row r="4" spans="4:11" ht="17.25">
      <c r="D4" s="1207"/>
      <c r="K4" s="1231" t="s">
        <v>496</v>
      </c>
    </row>
    <row r="5" spans="2:253" ht="15.75" thickBot="1">
      <c r="B5" s="920" t="s">
        <v>504</v>
      </c>
      <c r="C5" s="910" t="s">
        <v>505</v>
      </c>
      <c r="D5" s="411" t="s">
        <v>506</v>
      </c>
      <c r="E5" s="411" t="s">
        <v>507</v>
      </c>
      <c r="F5" s="411" t="s">
        <v>508</v>
      </c>
      <c r="G5" s="411" t="s">
        <v>509</v>
      </c>
      <c r="H5" s="411" t="s">
        <v>510</v>
      </c>
      <c r="I5" s="482" t="s">
        <v>394</v>
      </c>
      <c r="J5" s="411" t="s">
        <v>395</v>
      </c>
      <c r="K5" s="596" t="s">
        <v>814</v>
      </c>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475"/>
      <c r="BW5" s="475"/>
      <c r="BX5" s="475"/>
      <c r="BY5" s="475"/>
      <c r="BZ5" s="475"/>
      <c r="CA5" s="475"/>
      <c r="CB5" s="475"/>
      <c r="CC5" s="475"/>
      <c r="CD5" s="475"/>
      <c r="CE5" s="475"/>
      <c r="CF5" s="475"/>
      <c r="CG5" s="475"/>
      <c r="CH5" s="475"/>
      <c r="CI5" s="475"/>
      <c r="CJ5" s="475"/>
      <c r="CK5" s="475"/>
      <c r="CL5" s="475"/>
      <c r="CM5" s="475"/>
      <c r="CN5" s="475"/>
      <c r="CO5" s="475"/>
      <c r="CP5" s="475"/>
      <c r="CQ5" s="475"/>
      <c r="CR5" s="475"/>
      <c r="CS5" s="475"/>
      <c r="CT5" s="475"/>
      <c r="CU5" s="475"/>
      <c r="CV5" s="475"/>
      <c r="CW5" s="475"/>
      <c r="CX5" s="475"/>
      <c r="CY5" s="475"/>
      <c r="CZ5" s="475"/>
      <c r="DA5" s="475"/>
      <c r="DB5" s="475"/>
      <c r="DC5" s="475"/>
      <c r="DD5" s="475"/>
      <c r="DE5" s="475"/>
      <c r="DF5" s="475"/>
      <c r="DG5" s="475"/>
      <c r="DH5" s="475"/>
      <c r="DI5" s="475"/>
      <c r="DJ5" s="475"/>
      <c r="DK5" s="475"/>
      <c r="DL5" s="475"/>
      <c r="DM5" s="475"/>
      <c r="DN5" s="475"/>
      <c r="DO5" s="475"/>
      <c r="DP5" s="475"/>
      <c r="DQ5" s="475"/>
      <c r="DR5" s="475"/>
      <c r="DS5" s="475"/>
      <c r="DT5" s="475"/>
      <c r="DU5" s="475"/>
      <c r="DV5" s="475"/>
      <c r="DW5" s="475"/>
      <c r="DX5" s="475"/>
      <c r="DY5" s="475"/>
      <c r="DZ5" s="475"/>
      <c r="EA5" s="475"/>
      <c r="EB5" s="475"/>
      <c r="EC5" s="475"/>
      <c r="ED5" s="475"/>
      <c r="EE5" s="475"/>
      <c r="EF5" s="475"/>
      <c r="EG5" s="475"/>
      <c r="EH5" s="475"/>
      <c r="EI5" s="475"/>
      <c r="EJ5" s="475"/>
      <c r="EK5" s="475"/>
      <c r="EL5" s="475"/>
      <c r="EM5" s="475"/>
      <c r="EN5" s="475"/>
      <c r="EO5" s="475"/>
      <c r="EP5" s="475"/>
      <c r="EQ5" s="475"/>
      <c r="ER5" s="475"/>
      <c r="ES5" s="475"/>
      <c r="ET5" s="475"/>
      <c r="EU5" s="475"/>
      <c r="EV5" s="475"/>
      <c r="EW5" s="475"/>
      <c r="EX5" s="475"/>
      <c r="EY5" s="475"/>
      <c r="EZ5" s="475"/>
      <c r="FA5" s="475"/>
      <c r="FB5" s="475"/>
      <c r="FC5" s="475"/>
      <c r="FD5" s="475"/>
      <c r="FE5" s="475"/>
      <c r="FF5" s="475"/>
      <c r="FG5" s="475"/>
      <c r="FH5" s="475"/>
      <c r="FI5" s="475"/>
      <c r="FJ5" s="475"/>
      <c r="FK5" s="475"/>
      <c r="FL5" s="475"/>
      <c r="FM5" s="475"/>
      <c r="FN5" s="475"/>
      <c r="FO5" s="475"/>
      <c r="FP5" s="475"/>
      <c r="FQ5" s="475"/>
      <c r="FR5" s="475"/>
      <c r="FS5" s="475"/>
      <c r="FT5" s="475"/>
      <c r="FU5" s="475"/>
      <c r="FV5" s="475"/>
      <c r="FW5" s="475"/>
      <c r="FX5" s="475"/>
      <c r="FY5" s="475"/>
      <c r="FZ5" s="475"/>
      <c r="GA5" s="475"/>
      <c r="GB5" s="475"/>
      <c r="GC5" s="475"/>
      <c r="GD5" s="475"/>
      <c r="GE5" s="475"/>
      <c r="GF5" s="475"/>
      <c r="GG5" s="475"/>
      <c r="GH5" s="475"/>
      <c r="GI5" s="475"/>
      <c r="GJ5" s="475"/>
      <c r="GK5" s="475"/>
      <c r="GL5" s="475"/>
      <c r="GM5" s="475"/>
      <c r="GN5" s="475"/>
      <c r="GO5" s="475"/>
      <c r="GP5" s="475"/>
      <c r="GQ5" s="475"/>
      <c r="GR5" s="475"/>
      <c r="GS5" s="475"/>
      <c r="GT5" s="475"/>
      <c r="GU5" s="475"/>
      <c r="GV5" s="475"/>
      <c r="GW5" s="475"/>
      <c r="GX5" s="475"/>
      <c r="GY5" s="475"/>
      <c r="GZ5" s="475"/>
      <c r="HA5" s="475"/>
      <c r="HB5" s="475"/>
      <c r="HC5" s="475"/>
      <c r="HD5" s="475"/>
      <c r="HE5" s="475"/>
      <c r="HF5" s="475"/>
      <c r="HG5" s="475"/>
      <c r="HH5" s="475"/>
      <c r="HI5" s="475"/>
      <c r="HJ5" s="475"/>
      <c r="HK5" s="475"/>
      <c r="HL5" s="475"/>
      <c r="HM5" s="475"/>
      <c r="HN5" s="475"/>
      <c r="HO5" s="475"/>
      <c r="HP5" s="475"/>
      <c r="HQ5" s="475"/>
      <c r="HR5" s="475"/>
      <c r="HS5" s="475"/>
      <c r="HT5" s="475"/>
      <c r="HU5" s="475"/>
      <c r="HV5" s="475"/>
      <c r="HW5" s="475"/>
      <c r="HX5" s="475"/>
      <c r="HY5" s="475"/>
      <c r="HZ5" s="475"/>
      <c r="IA5" s="475"/>
      <c r="IB5" s="475"/>
      <c r="IC5" s="475"/>
      <c r="ID5" s="475"/>
      <c r="IE5" s="475"/>
      <c r="IF5" s="475"/>
      <c r="IG5" s="475"/>
      <c r="IH5" s="475"/>
      <c r="II5" s="475"/>
      <c r="IJ5" s="475"/>
      <c r="IK5" s="475"/>
      <c r="IL5" s="475"/>
      <c r="IM5" s="475"/>
      <c r="IN5" s="475"/>
      <c r="IO5" s="475"/>
      <c r="IP5" s="475"/>
      <c r="IQ5" s="475"/>
      <c r="IR5" s="475"/>
      <c r="IS5" s="475"/>
    </row>
    <row r="6" spans="2:253" ht="105.75" customHeight="1" thickBot="1">
      <c r="B6" s="921" t="s">
        <v>770</v>
      </c>
      <c r="C6" s="911" t="s">
        <v>638</v>
      </c>
      <c r="D6" s="412" t="s">
        <v>497</v>
      </c>
      <c r="E6" s="584" t="s">
        <v>782</v>
      </c>
      <c r="F6" s="603" t="s">
        <v>664</v>
      </c>
      <c r="G6" s="414" t="s">
        <v>582</v>
      </c>
      <c r="H6" s="414" t="s">
        <v>856</v>
      </c>
      <c r="I6" s="483" t="s">
        <v>45</v>
      </c>
      <c r="J6" s="1419" t="s">
        <v>154</v>
      </c>
      <c r="K6" s="1233" t="s">
        <v>1199</v>
      </c>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c r="HQ6" s="406"/>
      <c r="HR6" s="406"/>
      <c r="HS6" s="406"/>
      <c r="HT6" s="406"/>
      <c r="HU6" s="406"/>
      <c r="HV6" s="406"/>
      <c r="HW6" s="406"/>
      <c r="HX6" s="406"/>
      <c r="HY6" s="406"/>
      <c r="HZ6" s="406"/>
      <c r="IA6" s="406"/>
      <c r="IB6" s="406"/>
      <c r="IC6" s="406"/>
      <c r="ID6" s="406"/>
      <c r="IE6" s="406"/>
      <c r="IF6" s="406"/>
      <c r="IG6" s="406"/>
      <c r="IH6" s="406"/>
      <c r="II6" s="406"/>
      <c r="IJ6" s="406"/>
      <c r="IK6" s="406"/>
      <c r="IL6" s="406"/>
      <c r="IM6" s="406"/>
      <c r="IN6" s="406"/>
      <c r="IO6" s="406"/>
      <c r="IP6" s="406"/>
      <c r="IQ6" s="406"/>
      <c r="IR6" s="406"/>
      <c r="IS6" s="406"/>
    </row>
    <row r="7" spans="1:253" ht="17.25">
      <c r="A7" s="605">
        <v>1</v>
      </c>
      <c r="B7" s="922">
        <v>18</v>
      </c>
      <c r="C7" s="912"/>
      <c r="D7" s="415" t="s">
        <v>847</v>
      </c>
      <c r="E7" s="416"/>
      <c r="F7" s="417"/>
      <c r="G7" s="417"/>
      <c r="H7" s="418"/>
      <c r="I7" s="484"/>
      <c r="J7" s="1420"/>
      <c r="K7" s="1234"/>
      <c r="L7" s="477"/>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6"/>
      <c r="BA7" s="476"/>
      <c r="BB7" s="476"/>
      <c r="BC7" s="476"/>
      <c r="BD7" s="476"/>
      <c r="BE7" s="476"/>
      <c r="BF7" s="476"/>
      <c r="BG7" s="476"/>
      <c r="BH7" s="476"/>
      <c r="BI7" s="476"/>
      <c r="BJ7" s="476"/>
      <c r="BK7" s="476"/>
      <c r="BL7" s="476"/>
      <c r="BM7" s="476"/>
      <c r="BN7" s="476"/>
      <c r="BO7" s="476"/>
      <c r="BP7" s="476"/>
      <c r="BQ7" s="476"/>
      <c r="BR7" s="476"/>
      <c r="BS7" s="476"/>
      <c r="BT7" s="476"/>
      <c r="BU7" s="476"/>
      <c r="BV7" s="476"/>
      <c r="BW7" s="476"/>
      <c r="BX7" s="476"/>
      <c r="BY7" s="476"/>
      <c r="BZ7" s="476"/>
      <c r="CA7" s="476"/>
      <c r="CB7" s="476"/>
      <c r="CC7" s="476"/>
      <c r="CD7" s="476"/>
      <c r="CE7" s="476"/>
      <c r="CF7" s="476"/>
      <c r="CG7" s="476"/>
      <c r="CH7" s="476"/>
      <c r="CI7" s="476"/>
      <c r="CJ7" s="476"/>
      <c r="CK7" s="476"/>
      <c r="CL7" s="476"/>
      <c r="CM7" s="476"/>
      <c r="CN7" s="476"/>
      <c r="CO7" s="476"/>
      <c r="CP7" s="476"/>
      <c r="CQ7" s="476"/>
      <c r="CR7" s="476"/>
      <c r="CS7" s="476"/>
      <c r="CT7" s="476"/>
      <c r="CU7" s="476"/>
      <c r="CV7" s="476"/>
      <c r="CW7" s="476"/>
      <c r="CX7" s="476"/>
      <c r="CY7" s="476"/>
      <c r="CZ7" s="476"/>
      <c r="DA7" s="476"/>
      <c r="DB7" s="476"/>
      <c r="DC7" s="476"/>
      <c r="DD7" s="476"/>
      <c r="DE7" s="476"/>
      <c r="DF7" s="476"/>
      <c r="DG7" s="476"/>
      <c r="DH7" s="476"/>
      <c r="DI7" s="476"/>
      <c r="DJ7" s="476"/>
      <c r="DK7" s="476"/>
      <c r="DL7" s="476"/>
      <c r="DM7" s="476"/>
      <c r="DN7" s="476"/>
      <c r="DO7" s="476"/>
      <c r="DP7" s="476"/>
      <c r="DQ7" s="476"/>
      <c r="DR7" s="476"/>
      <c r="DS7" s="476"/>
      <c r="DT7" s="476"/>
      <c r="DU7" s="476"/>
      <c r="DV7" s="476"/>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6"/>
      <c r="GD7" s="476"/>
      <c r="GE7" s="476"/>
      <c r="GF7" s="476"/>
      <c r="GG7" s="476"/>
      <c r="GH7" s="476"/>
      <c r="GI7" s="476"/>
      <c r="GJ7" s="476"/>
      <c r="GK7" s="476"/>
      <c r="GL7" s="476"/>
      <c r="GM7" s="476"/>
      <c r="GN7" s="476"/>
      <c r="GO7" s="476"/>
      <c r="GP7" s="476"/>
      <c r="GQ7" s="476"/>
      <c r="GR7" s="476"/>
      <c r="GS7" s="476"/>
      <c r="GT7" s="476"/>
      <c r="GU7" s="476"/>
      <c r="GV7" s="476"/>
      <c r="GW7" s="476"/>
      <c r="GX7" s="476"/>
      <c r="GY7" s="476"/>
      <c r="GZ7" s="476"/>
      <c r="HA7" s="476"/>
      <c r="HB7" s="476"/>
      <c r="HC7" s="476"/>
      <c r="HD7" s="476"/>
      <c r="HE7" s="476"/>
      <c r="HF7" s="476"/>
      <c r="HG7" s="476"/>
      <c r="HH7" s="476"/>
      <c r="HI7" s="476"/>
      <c r="HJ7" s="476"/>
      <c r="HK7" s="476"/>
      <c r="HL7" s="476"/>
      <c r="HM7" s="476"/>
      <c r="HN7" s="476"/>
      <c r="HO7" s="476"/>
      <c r="HP7" s="476"/>
      <c r="HQ7" s="476"/>
      <c r="HR7" s="476"/>
      <c r="HS7" s="476"/>
      <c r="HT7" s="476"/>
      <c r="HU7" s="476"/>
      <c r="HV7" s="476"/>
      <c r="HW7" s="476"/>
      <c r="HX7" s="476"/>
      <c r="HY7" s="476"/>
      <c r="HZ7" s="476"/>
      <c r="IA7" s="476"/>
      <c r="IB7" s="476"/>
      <c r="IC7" s="476"/>
      <c r="ID7" s="476"/>
      <c r="IE7" s="476"/>
      <c r="IF7" s="476"/>
      <c r="IG7" s="476"/>
      <c r="IH7" s="476"/>
      <c r="II7" s="476"/>
      <c r="IJ7" s="476"/>
      <c r="IK7" s="476"/>
      <c r="IL7" s="476"/>
      <c r="IM7" s="476"/>
      <c r="IN7" s="476"/>
      <c r="IO7" s="476"/>
      <c r="IP7" s="476"/>
      <c r="IQ7" s="476"/>
      <c r="IR7" s="476"/>
      <c r="IS7" s="476"/>
    </row>
    <row r="8" spans="1:12" ht="33">
      <c r="A8" s="606">
        <v>2</v>
      </c>
      <c r="B8" s="923"/>
      <c r="C8" s="913">
        <v>1</v>
      </c>
      <c r="D8" s="419" t="s">
        <v>665</v>
      </c>
      <c r="E8" s="420" t="s">
        <v>781</v>
      </c>
      <c r="F8" s="421">
        <f>SUM(G8:H8,J8)</f>
        <v>487136</v>
      </c>
      <c r="G8" s="421">
        <v>0</v>
      </c>
      <c r="H8" s="422">
        <v>51349</v>
      </c>
      <c r="I8" s="485">
        <v>35174</v>
      </c>
      <c r="J8" s="1421">
        <v>435787</v>
      </c>
      <c r="K8" s="1235">
        <v>380463</v>
      </c>
      <c r="L8" s="407"/>
    </row>
    <row r="9" spans="1:12" ht="33">
      <c r="A9" s="606">
        <v>3</v>
      </c>
      <c r="B9" s="923"/>
      <c r="C9" s="913">
        <v>2</v>
      </c>
      <c r="D9" s="419" t="s">
        <v>668</v>
      </c>
      <c r="E9" s="420" t="s">
        <v>781</v>
      </c>
      <c r="F9" s="421">
        <f aca="true" t="shared" si="0" ref="F9:F72">SUM(G9:H9,J9)</f>
        <v>742441</v>
      </c>
      <c r="G9" s="421">
        <v>52196</v>
      </c>
      <c r="H9" s="422">
        <v>76996</v>
      </c>
      <c r="I9" s="485">
        <v>164426</v>
      </c>
      <c r="J9" s="1421">
        <v>613249</v>
      </c>
      <c r="K9" s="1235">
        <v>572410</v>
      </c>
      <c r="L9" s="407"/>
    </row>
    <row r="10" spans="1:12" ht="33">
      <c r="A10" s="606">
        <v>4</v>
      </c>
      <c r="B10" s="923"/>
      <c r="C10" s="913">
        <v>3</v>
      </c>
      <c r="D10" s="423" t="s">
        <v>669</v>
      </c>
      <c r="E10" s="420" t="s">
        <v>781</v>
      </c>
      <c r="F10" s="421">
        <f t="shared" si="0"/>
        <v>501164</v>
      </c>
      <c r="G10" s="421">
        <v>63976</v>
      </c>
      <c r="H10" s="422">
        <v>95864</v>
      </c>
      <c r="I10" s="485"/>
      <c r="J10" s="1421">
        <v>341324</v>
      </c>
      <c r="K10" s="1235">
        <v>310327</v>
      </c>
      <c r="L10" s="407"/>
    </row>
    <row r="11" spans="1:12" ht="33">
      <c r="A11" s="606">
        <v>5</v>
      </c>
      <c r="B11" s="923"/>
      <c r="C11" s="913">
        <v>4</v>
      </c>
      <c r="D11" s="419" t="s">
        <v>670</v>
      </c>
      <c r="E11" s="420" t="s">
        <v>781</v>
      </c>
      <c r="F11" s="421">
        <f t="shared" si="0"/>
        <v>971169</v>
      </c>
      <c r="G11" s="421">
        <v>77182</v>
      </c>
      <c r="H11" s="422">
        <v>154103</v>
      </c>
      <c r="I11" s="485">
        <v>232425</v>
      </c>
      <c r="J11" s="1421">
        <v>739884</v>
      </c>
      <c r="K11" s="1235">
        <v>736525</v>
      </c>
      <c r="L11" s="407"/>
    </row>
    <row r="12" spans="1:12" ht="33">
      <c r="A12" s="606">
        <v>6</v>
      </c>
      <c r="B12" s="923"/>
      <c r="C12" s="913">
        <v>5</v>
      </c>
      <c r="D12" s="423" t="s">
        <v>46</v>
      </c>
      <c r="E12" s="420" t="s">
        <v>781</v>
      </c>
      <c r="F12" s="421">
        <f t="shared" si="0"/>
        <v>507093</v>
      </c>
      <c r="G12" s="421">
        <v>20345</v>
      </c>
      <c r="H12" s="422">
        <v>2540</v>
      </c>
      <c r="I12" s="485"/>
      <c r="J12" s="1421">
        <v>484208</v>
      </c>
      <c r="K12" s="1235">
        <v>469519</v>
      </c>
      <c r="L12" s="407"/>
    </row>
    <row r="13" spans="1:12" ht="49.5">
      <c r="A13" s="606">
        <v>7</v>
      </c>
      <c r="B13" s="923"/>
      <c r="C13" s="913">
        <v>6</v>
      </c>
      <c r="D13" s="423" t="s">
        <v>671</v>
      </c>
      <c r="E13" s="420" t="s">
        <v>781</v>
      </c>
      <c r="F13" s="421">
        <f t="shared" si="0"/>
        <v>78461</v>
      </c>
      <c r="G13" s="421">
        <v>61153</v>
      </c>
      <c r="H13" s="422">
        <v>10492</v>
      </c>
      <c r="I13" s="485"/>
      <c r="J13" s="1421">
        <v>6816</v>
      </c>
      <c r="K13" s="1235"/>
      <c r="L13" s="407"/>
    </row>
    <row r="14" spans="1:12" ht="17.25">
      <c r="A14" s="606">
        <v>8</v>
      </c>
      <c r="B14" s="923"/>
      <c r="C14" s="913">
        <v>7</v>
      </c>
      <c r="D14" s="424" t="s">
        <v>672</v>
      </c>
      <c r="E14" s="420" t="s">
        <v>781</v>
      </c>
      <c r="F14" s="421">
        <f t="shared" si="0"/>
        <v>0</v>
      </c>
      <c r="G14" s="421"/>
      <c r="H14" s="422"/>
      <c r="I14" s="485"/>
      <c r="J14" s="1421">
        <v>0</v>
      </c>
      <c r="K14" s="1235"/>
      <c r="L14" s="407"/>
    </row>
    <row r="15" spans="1:12" ht="49.5">
      <c r="A15" s="606">
        <v>9</v>
      </c>
      <c r="B15" s="923"/>
      <c r="C15" s="913">
        <v>8</v>
      </c>
      <c r="D15" s="423" t="s">
        <v>47</v>
      </c>
      <c r="E15" s="420" t="s">
        <v>781</v>
      </c>
      <c r="F15" s="421">
        <f t="shared" si="0"/>
        <v>128010</v>
      </c>
      <c r="G15" s="421">
        <v>14481</v>
      </c>
      <c r="H15" s="422">
        <v>111510</v>
      </c>
      <c r="I15" s="485"/>
      <c r="J15" s="1421">
        <v>2019</v>
      </c>
      <c r="K15" s="1235">
        <v>2019</v>
      </c>
      <c r="L15" s="407"/>
    </row>
    <row r="16" spans="1:12" ht="49.5">
      <c r="A16" s="606">
        <v>10</v>
      </c>
      <c r="B16" s="923"/>
      <c r="C16" s="913">
        <v>9</v>
      </c>
      <c r="D16" s="423" t="s">
        <v>594</v>
      </c>
      <c r="E16" s="420" t="s">
        <v>781</v>
      </c>
      <c r="F16" s="421">
        <f t="shared" si="0"/>
        <v>1784783</v>
      </c>
      <c r="G16" s="421">
        <v>1538808</v>
      </c>
      <c r="H16" s="422">
        <v>15273</v>
      </c>
      <c r="I16" s="485"/>
      <c r="J16" s="1421">
        <v>230702</v>
      </c>
      <c r="K16" s="1235">
        <v>230702</v>
      </c>
      <c r="L16" s="407"/>
    </row>
    <row r="17" spans="1:12" ht="17.25">
      <c r="A17" s="606">
        <v>11</v>
      </c>
      <c r="B17" s="923"/>
      <c r="C17" s="913">
        <v>10</v>
      </c>
      <c r="D17" s="419" t="s">
        <v>48</v>
      </c>
      <c r="E17" s="420" t="s">
        <v>781</v>
      </c>
      <c r="F17" s="421">
        <f t="shared" si="0"/>
        <v>0</v>
      </c>
      <c r="G17" s="421"/>
      <c r="H17" s="422"/>
      <c r="I17" s="485">
        <v>37500</v>
      </c>
      <c r="J17" s="1421">
        <v>0</v>
      </c>
      <c r="K17" s="1235"/>
      <c r="L17" s="407"/>
    </row>
    <row r="18" spans="1:12" ht="17.25">
      <c r="A18" s="606">
        <v>12</v>
      </c>
      <c r="B18" s="923"/>
      <c r="C18" s="913">
        <v>11</v>
      </c>
      <c r="D18" s="419" t="s">
        <v>49</v>
      </c>
      <c r="E18" s="420" t="s">
        <v>781</v>
      </c>
      <c r="F18" s="421">
        <f t="shared" si="0"/>
        <v>47393</v>
      </c>
      <c r="G18" s="421">
        <v>0</v>
      </c>
      <c r="H18" s="422">
        <v>298</v>
      </c>
      <c r="I18" s="485">
        <v>48011</v>
      </c>
      <c r="J18" s="1421">
        <v>47095</v>
      </c>
      <c r="K18" s="1235">
        <v>46815</v>
      </c>
      <c r="L18" s="407"/>
    </row>
    <row r="19" spans="1:12" ht="49.5">
      <c r="A19" s="606">
        <v>13</v>
      </c>
      <c r="B19" s="923"/>
      <c r="C19" s="913">
        <v>12</v>
      </c>
      <c r="D19" s="419" t="s">
        <v>50</v>
      </c>
      <c r="E19" s="420" t="s">
        <v>781</v>
      </c>
      <c r="F19" s="421">
        <f t="shared" si="0"/>
        <v>4271</v>
      </c>
      <c r="G19" s="421">
        <v>0</v>
      </c>
      <c r="H19" s="422">
        <v>4271</v>
      </c>
      <c r="I19" s="485">
        <v>126829</v>
      </c>
      <c r="J19" s="1421">
        <v>0</v>
      </c>
      <c r="K19" s="1235"/>
      <c r="L19" s="407"/>
    </row>
    <row r="20" spans="1:12" ht="17.25">
      <c r="A20" s="606">
        <v>14</v>
      </c>
      <c r="B20" s="923"/>
      <c r="C20" s="913">
        <v>13</v>
      </c>
      <c r="D20" s="419" t="s">
        <v>51</v>
      </c>
      <c r="E20" s="420" t="s">
        <v>781</v>
      </c>
      <c r="F20" s="421">
        <f t="shared" si="0"/>
        <v>100000</v>
      </c>
      <c r="G20" s="421"/>
      <c r="H20" s="422"/>
      <c r="I20" s="485">
        <v>100000</v>
      </c>
      <c r="J20" s="1421">
        <v>100000</v>
      </c>
      <c r="K20" s="1235"/>
      <c r="L20" s="407"/>
    </row>
    <row r="21" spans="1:12" ht="33">
      <c r="A21" s="606">
        <v>15</v>
      </c>
      <c r="B21" s="923"/>
      <c r="C21" s="913">
        <v>14</v>
      </c>
      <c r="D21" s="419" t="s">
        <v>52</v>
      </c>
      <c r="E21" s="420" t="s">
        <v>781</v>
      </c>
      <c r="F21" s="421">
        <f t="shared" si="0"/>
        <v>1924</v>
      </c>
      <c r="G21" s="421"/>
      <c r="H21" s="422"/>
      <c r="I21" s="485">
        <v>5775</v>
      </c>
      <c r="J21" s="1421">
        <v>1924</v>
      </c>
      <c r="K21" s="1235">
        <v>1924</v>
      </c>
      <c r="L21" s="407"/>
    </row>
    <row r="22" spans="1:12" ht="17.25">
      <c r="A22" s="606">
        <v>16</v>
      </c>
      <c r="B22" s="923"/>
      <c r="C22" s="913">
        <v>15</v>
      </c>
      <c r="D22" s="419" t="s">
        <v>53</v>
      </c>
      <c r="E22" s="420" t="s">
        <v>781</v>
      </c>
      <c r="F22" s="421">
        <f t="shared" si="0"/>
        <v>148563</v>
      </c>
      <c r="G22" s="421"/>
      <c r="H22" s="422"/>
      <c r="I22" s="485">
        <v>179006</v>
      </c>
      <c r="J22" s="1421">
        <v>148563</v>
      </c>
      <c r="K22" s="1235">
        <v>146933</v>
      </c>
      <c r="L22" s="407"/>
    </row>
    <row r="23" spans="1:12" ht="17.25">
      <c r="A23" s="606">
        <v>17</v>
      </c>
      <c r="B23" s="923"/>
      <c r="C23" s="913">
        <v>16</v>
      </c>
      <c r="D23" s="419" t="s">
        <v>54</v>
      </c>
      <c r="E23" s="420" t="s">
        <v>781</v>
      </c>
      <c r="F23" s="421">
        <f t="shared" si="0"/>
        <v>40000</v>
      </c>
      <c r="G23" s="421"/>
      <c r="H23" s="422"/>
      <c r="I23" s="485">
        <v>40000</v>
      </c>
      <c r="J23" s="1421">
        <v>40000</v>
      </c>
      <c r="K23" s="1235"/>
      <c r="L23" s="407"/>
    </row>
    <row r="24" spans="1:12" ht="17.25">
      <c r="A24" s="606">
        <v>18</v>
      </c>
      <c r="B24" s="923"/>
      <c r="C24" s="913">
        <v>17</v>
      </c>
      <c r="D24" s="419" t="s">
        <v>595</v>
      </c>
      <c r="E24" s="420" t="s">
        <v>781</v>
      </c>
      <c r="F24" s="421">
        <f t="shared" si="0"/>
        <v>500</v>
      </c>
      <c r="G24" s="421">
        <v>147</v>
      </c>
      <c r="H24" s="422">
        <v>0</v>
      </c>
      <c r="I24" s="485">
        <v>600</v>
      </c>
      <c r="J24" s="1421">
        <v>353</v>
      </c>
      <c r="K24" s="1235"/>
      <c r="L24" s="407"/>
    </row>
    <row r="25" spans="1:12" ht="33">
      <c r="A25" s="606">
        <v>19</v>
      </c>
      <c r="B25" s="923"/>
      <c r="C25" s="913">
        <v>18</v>
      </c>
      <c r="D25" s="423" t="s">
        <v>55</v>
      </c>
      <c r="E25" s="420" t="s">
        <v>781</v>
      </c>
      <c r="F25" s="421">
        <f t="shared" si="0"/>
        <v>28000</v>
      </c>
      <c r="G25" s="421"/>
      <c r="H25" s="422">
        <v>24613</v>
      </c>
      <c r="I25" s="485"/>
      <c r="J25" s="1421">
        <v>3387</v>
      </c>
      <c r="K25" s="1235"/>
      <c r="L25" s="407"/>
    </row>
    <row r="26" spans="1:12" ht="49.5">
      <c r="A26" s="606">
        <v>20</v>
      </c>
      <c r="B26" s="923"/>
      <c r="C26" s="913">
        <v>19</v>
      </c>
      <c r="D26" s="423" t="s">
        <v>673</v>
      </c>
      <c r="E26" s="420" t="s">
        <v>781</v>
      </c>
      <c r="F26" s="421">
        <f t="shared" si="0"/>
        <v>8656</v>
      </c>
      <c r="G26" s="421">
        <v>2356</v>
      </c>
      <c r="H26" s="422"/>
      <c r="I26" s="485"/>
      <c r="J26" s="1421">
        <v>6300</v>
      </c>
      <c r="K26" s="1235"/>
      <c r="L26" s="407"/>
    </row>
    <row r="27" spans="1:12" ht="49.5">
      <c r="A27" s="606">
        <v>21</v>
      </c>
      <c r="B27" s="923"/>
      <c r="C27" s="913">
        <v>20</v>
      </c>
      <c r="D27" s="423" t="s">
        <v>713</v>
      </c>
      <c r="E27" s="420" t="s">
        <v>781</v>
      </c>
      <c r="F27" s="421">
        <f t="shared" si="0"/>
        <v>15290</v>
      </c>
      <c r="G27" s="421"/>
      <c r="H27" s="422"/>
      <c r="I27" s="485"/>
      <c r="J27" s="1421">
        <v>15290</v>
      </c>
      <c r="K27" s="1235"/>
      <c r="L27" s="407"/>
    </row>
    <row r="28" spans="1:12" ht="33">
      <c r="A28" s="606">
        <v>22</v>
      </c>
      <c r="B28" s="923"/>
      <c r="C28" s="913">
        <v>21</v>
      </c>
      <c r="D28" s="423" t="s">
        <v>1308</v>
      </c>
      <c r="E28" s="420" t="s">
        <v>781</v>
      </c>
      <c r="F28" s="421">
        <f t="shared" si="0"/>
        <v>1143</v>
      </c>
      <c r="G28" s="421"/>
      <c r="H28" s="422"/>
      <c r="I28" s="485"/>
      <c r="J28" s="1421">
        <v>1143</v>
      </c>
      <c r="K28" s="1235">
        <v>1016</v>
      </c>
      <c r="L28" s="407"/>
    </row>
    <row r="29" spans="1:12" ht="33">
      <c r="A29" s="606">
        <v>23</v>
      </c>
      <c r="B29" s="923"/>
      <c r="C29" s="913">
        <v>22</v>
      </c>
      <c r="D29" s="419" t="s">
        <v>674</v>
      </c>
      <c r="E29" s="420" t="s">
        <v>781</v>
      </c>
      <c r="F29" s="421">
        <f t="shared" si="0"/>
        <v>67322</v>
      </c>
      <c r="G29" s="421">
        <v>0</v>
      </c>
      <c r="H29" s="422">
        <v>0</v>
      </c>
      <c r="I29" s="485">
        <v>65000</v>
      </c>
      <c r="J29" s="1421">
        <v>67322</v>
      </c>
      <c r="K29" s="1235">
        <v>67322</v>
      </c>
      <c r="L29" s="407"/>
    </row>
    <row r="30" spans="1:12" ht="17.25">
      <c r="A30" s="606">
        <v>24</v>
      </c>
      <c r="B30" s="923"/>
      <c r="C30" s="913">
        <v>23</v>
      </c>
      <c r="D30" s="419" t="s">
        <v>675</v>
      </c>
      <c r="E30" s="420" t="s">
        <v>781</v>
      </c>
      <c r="F30" s="421">
        <f t="shared" si="0"/>
        <v>9282</v>
      </c>
      <c r="G30" s="421">
        <v>0</v>
      </c>
      <c r="H30" s="422">
        <v>0</v>
      </c>
      <c r="I30" s="485">
        <v>5000</v>
      </c>
      <c r="J30" s="1421">
        <v>9282</v>
      </c>
      <c r="K30" s="1235">
        <v>9224</v>
      </c>
      <c r="L30" s="407"/>
    </row>
    <row r="31" spans="1:12" ht="33">
      <c r="A31" s="606">
        <v>25</v>
      </c>
      <c r="B31" s="923"/>
      <c r="C31" s="913">
        <v>24</v>
      </c>
      <c r="D31" s="419" t="s">
        <v>56</v>
      </c>
      <c r="E31" s="420" t="s">
        <v>781</v>
      </c>
      <c r="F31" s="421">
        <f t="shared" si="0"/>
        <v>438381</v>
      </c>
      <c r="G31" s="421">
        <f>123732+109329</f>
        <v>233061</v>
      </c>
      <c r="H31" s="422">
        <v>87887</v>
      </c>
      <c r="I31" s="485">
        <v>117433</v>
      </c>
      <c r="J31" s="1421">
        <v>117433</v>
      </c>
      <c r="K31" s="1235">
        <v>109860</v>
      </c>
      <c r="L31" s="407"/>
    </row>
    <row r="32" spans="1:12" ht="17.25">
      <c r="A32" s="606">
        <v>26</v>
      </c>
      <c r="B32" s="923"/>
      <c r="C32" s="913">
        <v>25</v>
      </c>
      <c r="D32" s="419" t="s">
        <v>677</v>
      </c>
      <c r="E32" s="420" t="s">
        <v>781</v>
      </c>
      <c r="F32" s="421">
        <f t="shared" si="0"/>
        <v>200025</v>
      </c>
      <c r="G32" s="421">
        <v>72525</v>
      </c>
      <c r="H32" s="422">
        <v>70000</v>
      </c>
      <c r="I32" s="485">
        <v>57500</v>
      </c>
      <c r="J32" s="1421">
        <v>57500</v>
      </c>
      <c r="K32" s="1235">
        <v>57500</v>
      </c>
      <c r="L32" s="407"/>
    </row>
    <row r="33" spans="1:12" ht="17.25">
      <c r="A33" s="606">
        <v>27</v>
      </c>
      <c r="B33" s="923"/>
      <c r="C33" s="913">
        <v>26</v>
      </c>
      <c r="D33" s="419" t="s">
        <v>57</v>
      </c>
      <c r="E33" s="420" t="s">
        <v>781</v>
      </c>
      <c r="F33" s="421">
        <f t="shared" si="0"/>
        <v>12165</v>
      </c>
      <c r="G33" s="421">
        <v>0</v>
      </c>
      <c r="H33" s="422">
        <v>5765</v>
      </c>
      <c r="I33" s="485">
        <v>5200</v>
      </c>
      <c r="J33" s="1421">
        <v>6400</v>
      </c>
      <c r="K33" s="1235">
        <v>6400</v>
      </c>
      <c r="L33" s="407"/>
    </row>
    <row r="34" spans="1:12" ht="17.25">
      <c r="A34" s="606">
        <v>28</v>
      </c>
      <c r="B34" s="923"/>
      <c r="C34" s="913">
        <v>27</v>
      </c>
      <c r="D34" s="419" t="s">
        <v>715</v>
      </c>
      <c r="E34" s="420" t="s">
        <v>781</v>
      </c>
      <c r="F34" s="421">
        <f t="shared" si="0"/>
        <v>29895</v>
      </c>
      <c r="G34" s="421">
        <v>0</v>
      </c>
      <c r="H34" s="422">
        <v>19895</v>
      </c>
      <c r="I34" s="485">
        <v>10000</v>
      </c>
      <c r="J34" s="1421">
        <v>10000</v>
      </c>
      <c r="K34" s="1235">
        <v>951</v>
      </c>
      <c r="L34" s="407"/>
    </row>
    <row r="35" spans="1:12" ht="17.25">
      <c r="A35" s="606">
        <v>29</v>
      </c>
      <c r="B35" s="923"/>
      <c r="C35" s="913">
        <v>28</v>
      </c>
      <c r="D35" s="419" t="s">
        <v>716</v>
      </c>
      <c r="E35" s="420" t="s">
        <v>781</v>
      </c>
      <c r="F35" s="421">
        <f t="shared" si="0"/>
        <v>40000</v>
      </c>
      <c r="G35" s="421">
        <v>790</v>
      </c>
      <c r="H35" s="422">
        <v>0</v>
      </c>
      <c r="I35" s="485">
        <v>20000</v>
      </c>
      <c r="J35" s="1421">
        <v>39210</v>
      </c>
      <c r="K35" s="1235">
        <v>23082</v>
      </c>
      <c r="L35" s="407"/>
    </row>
    <row r="36" spans="1:12" ht="17.25">
      <c r="A36" s="606">
        <v>30</v>
      </c>
      <c r="B36" s="923"/>
      <c r="C36" s="913">
        <v>29</v>
      </c>
      <c r="D36" s="423" t="s">
        <v>717</v>
      </c>
      <c r="E36" s="420" t="s">
        <v>781</v>
      </c>
      <c r="F36" s="421">
        <f t="shared" si="0"/>
        <v>3000</v>
      </c>
      <c r="G36" s="421"/>
      <c r="H36" s="422"/>
      <c r="I36" s="485"/>
      <c r="J36" s="1421">
        <v>3000</v>
      </c>
      <c r="K36" s="1235">
        <v>2995</v>
      </c>
      <c r="L36" s="407"/>
    </row>
    <row r="37" spans="1:12" ht="17.25">
      <c r="A37" s="606">
        <v>31</v>
      </c>
      <c r="B37" s="923"/>
      <c r="C37" s="913">
        <v>30</v>
      </c>
      <c r="D37" s="419" t="s">
        <v>718</v>
      </c>
      <c r="E37" s="420" t="s">
        <v>781</v>
      </c>
      <c r="F37" s="421">
        <f t="shared" si="0"/>
        <v>3500</v>
      </c>
      <c r="G37" s="421">
        <v>0</v>
      </c>
      <c r="H37" s="422">
        <v>547</v>
      </c>
      <c r="I37" s="485">
        <v>2000</v>
      </c>
      <c r="J37" s="1421">
        <v>2953</v>
      </c>
      <c r="K37" s="1235">
        <v>920</v>
      </c>
      <c r="L37" s="407"/>
    </row>
    <row r="38" spans="1:12" ht="17.25">
      <c r="A38" s="606">
        <v>32</v>
      </c>
      <c r="B38" s="923"/>
      <c r="C38" s="913">
        <v>31</v>
      </c>
      <c r="D38" s="423" t="s">
        <v>720</v>
      </c>
      <c r="E38" s="420" t="s">
        <v>781</v>
      </c>
      <c r="F38" s="421">
        <f t="shared" si="0"/>
        <v>1000</v>
      </c>
      <c r="G38" s="421"/>
      <c r="H38" s="422"/>
      <c r="I38" s="485"/>
      <c r="J38" s="1421">
        <v>1000</v>
      </c>
      <c r="K38" s="1235"/>
      <c r="L38" s="407"/>
    </row>
    <row r="39" spans="1:12" ht="17.25">
      <c r="A39" s="606">
        <v>33</v>
      </c>
      <c r="B39" s="923"/>
      <c r="C39" s="913">
        <v>32</v>
      </c>
      <c r="D39" s="423" t="s">
        <v>721</v>
      </c>
      <c r="E39" s="420" t="s">
        <v>781</v>
      </c>
      <c r="F39" s="421">
        <f t="shared" si="0"/>
        <v>2912</v>
      </c>
      <c r="G39" s="421"/>
      <c r="H39" s="422"/>
      <c r="I39" s="485"/>
      <c r="J39" s="1421">
        <v>2912</v>
      </c>
      <c r="K39" s="1235">
        <v>2911</v>
      </c>
      <c r="L39" s="407"/>
    </row>
    <row r="40" spans="1:12" ht="17.25">
      <c r="A40" s="606">
        <v>34</v>
      </c>
      <c r="B40" s="923"/>
      <c r="C40" s="913">
        <v>33</v>
      </c>
      <c r="D40" s="423" t="s">
        <v>724</v>
      </c>
      <c r="E40" s="420" t="s">
        <v>781</v>
      </c>
      <c r="F40" s="421">
        <f t="shared" si="0"/>
        <v>10139</v>
      </c>
      <c r="G40" s="421">
        <v>642</v>
      </c>
      <c r="H40" s="422">
        <v>1028</v>
      </c>
      <c r="I40" s="485"/>
      <c r="J40" s="1421">
        <v>8469</v>
      </c>
      <c r="K40" s="1235">
        <v>279</v>
      </c>
      <c r="L40" s="407"/>
    </row>
    <row r="41" spans="1:12" ht="17.25">
      <c r="A41" s="606">
        <v>35</v>
      </c>
      <c r="B41" s="923"/>
      <c r="C41" s="913">
        <v>34</v>
      </c>
      <c r="D41" s="423" t="s">
        <v>723</v>
      </c>
      <c r="E41" s="420" t="s">
        <v>781</v>
      </c>
      <c r="F41" s="421">
        <f t="shared" si="0"/>
        <v>1951</v>
      </c>
      <c r="G41" s="421"/>
      <c r="H41" s="422"/>
      <c r="I41" s="485"/>
      <c r="J41" s="1421">
        <v>1951</v>
      </c>
      <c r="K41" s="1235">
        <v>1951</v>
      </c>
      <c r="L41" s="407"/>
    </row>
    <row r="42" spans="1:12" ht="17.25">
      <c r="A42" s="606">
        <v>36</v>
      </c>
      <c r="B42" s="923"/>
      <c r="C42" s="913">
        <v>35</v>
      </c>
      <c r="D42" s="423" t="s">
        <v>852</v>
      </c>
      <c r="E42" s="420" t="s">
        <v>781</v>
      </c>
      <c r="F42" s="421">
        <f t="shared" si="0"/>
        <v>3940</v>
      </c>
      <c r="G42" s="421"/>
      <c r="H42" s="422">
        <v>3396</v>
      </c>
      <c r="I42" s="485"/>
      <c r="J42" s="1421">
        <v>544</v>
      </c>
      <c r="K42" s="1235"/>
      <c r="L42" s="407"/>
    </row>
    <row r="43" spans="1:12" ht="17.25">
      <c r="A43" s="606">
        <v>37</v>
      </c>
      <c r="B43" s="923"/>
      <c r="C43" s="913">
        <v>36</v>
      </c>
      <c r="D43" s="423" t="s">
        <v>1120</v>
      </c>
      <c r="E43" s="420" t="s">
        <v>781</v>
      </c>
      <c r="F43" s="421">
        <f t="shared" si="0"/>
        <v>210</v>
      </c>
      <c r="G43" s="421"/>
      <c r="H43" s="422">
        <v>60</v>
      </c>
      <c r="I43" s="485"/>
      <c r="J43" s="1421">
        <v>150</v>
      </c>
      <c r="K43" s="1235">
        <v>149</v>
      </c>
      <c r="L43" s="407"/>
    </row>
    <row r="44" spans="1:12" ht="33">
      <c r="A44" s="606">
        <v>38</v>
      </c>
      <c r="B44" s="923"/>
      <c r="C44" s="913">
        <v>37</v>
      </c>
      <c r="D44" s="423" t="s">
        <v>58</v>
      </c>
      <c r="E44" s="420" t="s">
        <v>781</v>
      </c>
      <c r="F44" s="421">
        <f t="shared" si="0"/>
        <v>1300</v>
      </c>
      <c r="G44" s="421"/>
      <c r="H44" s="422">
        <v>953</v>
      </c>
      <c r="I44" s="485"/>
      <c r="J44" s="1421">
        <v>347</v>
      </c>
      <c r="K44" s="1235">
        <v>316</v>
      </c>
      <c r="L44" s="407"/>
    </row>
    <row r="45" spans="1:12" ht="17.25">
      <c r="A45" s="606">
        <v>39</v>
      </c>
      <c r="B45" s="923"/>
      <c r="C45" s="913">
        <v>38</v>
      </c>
      <c r="D45" s="423" t="s">
        <v>59</v>
      </c>
      <c r="E45" s="420" t="s">
        <v>781</v>
      </c>
      <c r="F45" s="421">
        <f t="shared" si="0"/>
        <v>800</v>
      </c>
      <c r="G45" s="421"/>
      <c r="H45" s="422"/>
      <c r="I45" s="485"/>
      <c r="J45" s="1421">
        <v>800</v>
      </c>
      <c r="K45" s="1235">
        <v>702</v>
      </c>
      <c r="L45" s="407"/>
    </row>
    <row r="46" spans="1:12" ht="17.25">
      <c r="A46" s="606">
        <v>40</v>
      </c>
      <c r="B46" s="923"/>
      <c r="C46" s="913">
        <v>39</v>
      </c>
      <c r="D46" s="423" t="s">
        <v>60</v>
      </c>
      <c r="E46" s="420" t="s">
        <v>781</v>
      </c>
      <c r="F46" s="421">
        <f t="shared" si="0"/>
        <v>10478</v>
      </c>
      <c r="G46" s="421"/>
      <c r="H46" s="422"/>
      <c r="I46" s="485"/>
      <c r="J46" s="1421">
        <v>10478</v>
      </c>
      <c r="K46" s="1235">
        <v>10478</v>
      </c>
      <c r="L46" s="407"/>
    </row>
    <row r="47" spans="1:12" ht="17.25">
      <c r="A47" s="606">
        <v>41</v>
      </c>
      <c r="B47" s="923"/>
      <c r="C47" s="913">
        <v>40</v>
      </c>
      <c r="D47" s="419" t="s">
        <v>61</v>
      </c>
      <c r="E47" s="420" t="s">
        <v>781</v>
      </c>
      <c r="F47" s="421">
        <f t="shared" si="0"/>
        <v>2000</v>
      </c>
      <c r="G47" s="421"/>
      <c r="H47" s="422"/>
      <c r="I47" s="485">
        <v>2000</v>
      </c>
      <c r="J47" s="1421">
        <v>2000</v>
      </c>
      <c r="K47" s="1235"/>
      <c r="L47" s="407"/>
    </row>
    <row r="48" spans="1:12" ht="17.25">
      <c r="A48" s="606">
        <v>42</v>
      </c>
      <c r="B48" s="923"/>
      <c r="C48" s="913">
        <v>41</v>
      </c>
      <c r="D48" s="419" t="s">
        <v>62</v>
      </c>
      <c r="E48" s="420" t="s">
        <v>781</v>
      </c>
      <c r="F48" s="421">
        <f t="shared" si="0"/>
        <v>3000</v>
      </c>
      <c r="G48" s="421"/>
      <c r="H48" s="422"/>
      <c r="I48" s="485">
        <v>3000</v>
      </c>
      <c r="J48" s="1421">
        <v>3000</v>
      </c>
      <c r="K48" s="1235"/>
      <c r="L48" s="407"/>
    </row>
    <row r="49" spans="1:12" ht="17.25">
      <c r="A49" s="606">
        <v>43</v>
      </c>
      <c r="B49" s="923"/>
      <c r="C49" s="913">
        <v>42</v>
      </c>
      <c r="D49" s="419" t="s">
        <v>63</v>
      </c>
      <c r="E49" s="420" t="s">
        <v>781</v>
      </c>
      <c r="F49" s="421">
        <f t="shared" si="0"/>
        <v>13000</v>
      </c>
      <c r="G49" s="421"/>
      <c r="H49" s="422"/>
      <c r="I49" s="485">
        <v>13000</v>
      </c>
      <c r="J49" s="1421">
        <v>13000</v>
      </c>
      <c r="K49" s="1235"/>
      <c r="L49" s="407"/>
    </row>
    <row r="50" spans="1:12" ht="17.25">
      <c r="A50" s="606">
        <v>44</v>
      </c>
      <c r="B50" s="923"/>
      <c r="C50" s="913">
        <v>43</v>
      </c>
      <c r="D50" s="419" t="s">
        <v>64</v>
      </c>
      <c r="E50" s="420" t="s">
        <v>781</v>
      </c>
      <c r="F50" s="421">
        <f t="shared" si="0"/>
        <v>23682</v>
      </c>
      <c r="G50" s="421"/>
      <c r="H50" s="422"/>
      <c r="I50" s="485">
        <v>24000</v>
      </c>
      <c r="J50" s="1421">
        <v>23682</v>
      </c>
      <c r="K50" s="1235">
        <v>23560</v>
      </c>
      <c r="L50" s="407"/>
    </row>
    <row r="51" spans="1:12" ht="17.25">
      <c r="A51" s="606">
        <v>45</v>
      </c>
      <c r="B51" s="923"/>
      <c r="C51" s="913">
        <v>44</v>
      </c>
      <c r="D51" s="419" t="s">
        <v>65</v>
      </c>
      <c r="E51" s="420" t="s">
        <v>781</v>
      </c>
      <c r="F51" s="421">
        <f t="shared" si="0"/>
        <v>22903</v>
      </c>
      <c r="G51" s="421"/>
      <c r="H51" s="422"/>
      <c r="I51" s="485">
        <v>30000</v>
      </c>
      <c r="J51" s="1421">
        <v>22903</v>
      </c>
      <c r="K51" s="1235"/>
      <c r="L51" s="407"/>
    </row>
    <row r="52" spans="1:12" ht="17.25">
      <c r="A52" s="606">
        <v>46</v>
      </c>
      <c r="B52" s="923"/>
      <c r="C52" s="913">
        <v>45</v>
      </c>
      <c r="D52" s="419" t="s">
        <v>1311</v>
      </c>
      <c r="E52" s="420" t="s">
        <v>781</v>
      </c>
      <c r="F52" s="421">
        <f t="shared" si="0"/>
        <v>4607</v>
      </c>
      <c r="G52" s="421"/>
      <c r="H52" s="422"/>
      <c r="I52" s="485"/>
      <c r="J52" s="1421">
        <v>4607</v>
      </c>
      <c r="K52" s="1235"/>
      <c r="L52" s="407"/>
    </row>
    <row r="53" spans="1:12" ht="17.25">
      <c r="A53" s="606">
        <v>47</v>
      </c>
      <c r="B53" s="923"/>
      <c r="C53" s="913">
        <v>46</v>
      </c>
      <c r="D53" s="419" t="s">
        <v>66</v>
      </c>
      <c r="E53" s="420" t="s">
        <v>781</v>
      </c>
      <c r="F53" s="421">
        <f t="shared" si="0"/>
        <v>12200</v>
      </c>
      <c r="G53" s="421">
        <v>0</v>
      </c>
      <c r="H53" s="422">
        <v>0</v>
      </c>
      <c r="I53" s="485">
        <v>12000</v>
      </c>
      <c r="J53" s="1421">
        <v>12200</v>
      </c>
      <c r="K53" s="1235"/>
      <c r="L53" s="407"/>
    </row>
    <row r="54" spans="1:12" ht="17.25">
      <c r="A54" s="606">
        <v>48</v>
      </c>
      <c r="B54" s="923"/>
      <c r="C54" s="913">
        <v>47</v>
      </c>
      <c r="D54" s="419" t="s">
        <v>67</v>
      </c>
      <c r="E54" s="420" t="s">
        <v>781</v>
      </c>
      <c r="F54" s="421">
        <f t="shared" si="0"/>
        <v>5500</v>
      </c>
      <c r="G54" s="421">
        <v>0</v>
      </c>
      <c r="H54" s="422"/>
      <c r="I54" s="485">
        <v>7000</v>
      </c>
      <c r="J54" s="1421">
        <v>5500</v>
      </c>
      <c r="K54" s="1235"/>
      <c r="L54" s="407"/>
    </row>
    <row r="55" spans="1:12" ht="17.25">
      <c r="A55" s="606">
        <v>49</v>
      </c>
      <c r="B55" s="923"/>
      <c r="C55" s="913">
        <v>48</v>
      </c>
      <c r="D55" s="419" t="s">
        <v>68</v>
      </c>
      <c r="E55" s="420" t="s">
        <v>781</v>
      </c>
      <c r="F55" s="421">
        <f t="shared" si="0"/>
        <v>9661</v>
      </c>
      <c r="G55" s="421">
        <v>80</v>
      </c>
      <c r="H55" s="422">
        <v>496</v>
      </c>
      <c r="I55" s="485">
        <v>9300</v>
      </c>
      <c r="J55" s="1421">
        <v>9085</v>
      </c>
      <c r="K55" s="1235">
        <v>9085</v>
      </c>
      <c r="L55" s="407"/>
    </row>
    <row r="56" spans="1:12" ht="33">
      <c r="A56" s="606">
        <v>50</v>
      </c>
      <c r="B56" s="923"/>
      <c r="C56" s="913">
        <v>49</v>
      </c>
      <c r="D56" s="419" t="s">
        <v>69</v>
      </c>
      <c r="E56" s="420" t="s">
        <v>781</v>
      </c>
      <c r="F56" s="421">
        <f t="shared" si="0"/>
        <v>16394</v>
      </c>
      <c r="G56" s="421">
        <v>0</v>
      </c>
      <c r="H56" s="422">
        <v>11694</v>
      </c>
      <c r="I56" s="485">
        <v>4700</v>
      </c>
      <c r="J56" s="1421">
        <v>4700</v>
      </c>
      <c r="K56" s="1235">
        <v>4587</v>
      </c>
      <c r="L56" s="407"/>
    </row>
    <row r="57" spans="1:12" ht="17.25">
      <c r="A57" s="606">
        <v>51</v>
      </c>
      <c r="B57" s="923"/>
      <c r="C57" s="913">
        <v>50</v>
      </c>
      <c r="D57" s="419" t="s">
        <v>596</v>
      </c>
      <c r="E57" s="420" t="s">
        <v>781</v>
      </c>
      <c r="F57" s="421">
        <f t="shared" si="0"/>
        <v>14916</v>
      </c>
      <c r="G57" s="421">
        <v>0</v>
      </c>
      <c r="H57" s="422">
        <v>466</v>
      </c>
      <c r="I57" s="485">
        <v>14700</v>
      </c>
      <c r="J57" s="1421">
        <v>14450</v>
      </c>
      <c r="K57" s="1235">
        <v>14429</v>
      </c>
      <c r="L57" s="407"/>
    </row>
    <row r="58" spans="1:12" ht="17.25">
      <c r="A58" s="606">
        <v>52</v>
      </c>
      <c r="B58" s="923"/>
      <c r="C58" s="913">
        <v>51</v>
      </c>
      <c r="D58" s="419" t="s">
        <v>70</v>
      </c>
      <c r="E58" s="420" t="s">
        <v>781</v>
      </c>
      <c r="F58" s="421">
        <f t="shared" si="0"/>
        <v>31922</v>
      </c>
      <c r="G58" s="421">
        <v>0</v>
      </c>
      <c r="H58" s="422">
        <v>6342</v>
      </c>
      <c r="I58" s="485">
        <v>15000</v>
      </c>
      <c r="J58" s="1421">
        <v>25580</v>
      </c>
      <c r="K58" s="1235">
        <v>25267</v>
      </c>
      <c r="L58" s="407"/>
    </row>
    <row r="59" spans="1:12" ht="17.25">
      <c r="A59" s="606">
        <v>53</v>
      </c>
      <c r="B59" s="923"/>
      <c r="C59" s="913">
        <v>52</v>
      </c>
      <c r="D59" s="419" t="s">
        <v>700</v>
      </c>
      <c r="E59" s="420" t="s">
        <v>781</v>
      </c>
      <c r="F59" s="421">
        <f t="shared" si="0"/>
        <v>5981</v>
      </c>
      <c r="G59" s="421">
        <v>0</v>
      </c>
      <c r="H59" s="422">
        <v>5981</v>
      </c>
      <c r="I59" s="485">
        <v>2300</v>
      </c>
      <c r="J59" s="1421">
        <v>0</v>
      </c>
      <c r="K59" s="1235"/>
      <c r="L59" s="407"/>
    </row>
    <row r="60" spans="1:12" ht="17.25">
      <c r="A60" s="606">
        <v>54</v>
      </c>
      <c r="B60" s="923"/>
      <c r="C60" s="913">
        <v>53</v>
      </c>
      <c r="D60" s="419" t="s">
        <v>1312</v>
      </c>
      <c r="E60" s="420" t="s">
        <v>781</v>
      </c>
      <c r="F60" s="421">
        <f t="shared" si="0"/>
        <v>14391</v>
      </c>
      <c r="G60" s="421"/>
      <c r="H60" s="422"/>
      <c r="I60" s="485"/>
      <c r="J60" s="1421">
        <v>14391</v>
      </c>
      <c r="K60" s="1235">
        <v>4300</v>
      </c>
      <c r="L60" s="407"/>
    </row>
    <row r="61" spans="1:12" ht="33">
      <c r="A61" s="606">
        <v>55</v>
      </c>
      <c r="B61" s="923"/>
      <c r="C61" s="913">
        <v>54</v>
      </c>
      <c r="D61" s="419" t="s">
        <v>1313</v>
      </c>
      <c r="E61" s="420" t="s">
        <v>781</v>
      </c>
      <c r="F61" s="421">
        <f t="shared" si="0"/>
        <v>1100</v>
      </c>
      <c r="G61" s="421"/>
      <c r="H61" s="422"/>
      <c r="I61" s="485"/>
      <c r="J61" s="1421">
        <v>1100</v>
      </c>
      <c r="K61" s="1235">
        <v>698</v>
      </c>
      <c r="L61" s="407"/>
    </row>
    <row r="62" spans="1:12" ht="17.25">
      <c r="A62" s="606">
        <v>56</v>
      </c>
      <c r="B62" s="923"/>
      <c r="C62" s="913">
        <v>55</v>
      </c>
      <c r="D62" s="419" t="s">
        <v>676</v>
      </c>
      <c r="E62" s="420" t="s">
        <v>781</v>
      </c>
      <c r="F62" s="421">
        <f t="shared" si="0"/>
        <v>53200</v>
      </c>
      <c r="G62" s="421"/>
      <c r="H62" s="422">
        <v>27729</v>
      </c>
      <c r="I62" s="485">
        <v>25000</v>
      </c>
      <c r="J62" s="1421">
        <v>25471</v>
      </c>
      <c r="K62" s="1235">
        <v>24109</v>
      </c>
      <c r="L62" s="407"/>
    </row>
    <row r="63" spans="1:12" ht="17.25">
      <c r="A63" s="606">
        <v>57</v>
      </c>
      <c r="B63" s="923"/>
      <c r="C63" s="913">
        <v>56</v>
      </c>
      <c r="D63" s="423" t="s">
        <v>714</v>
      </c>
      <c r="E63" s="420" t="s">
        <v>781</v>
      </c>
      <c r="F63" s="421">
        <f t="shared" si="0"/>
        <v>10000</v>
      </c>
      <c r="G63" s="421"/>
      <c r="H63" s="422"/>
      <c r="I63" s="485"/>
      <c r="J63" s="1421">
        <v>10000</v>
      </c>
      <c r="K63" s="1235">
        <v>10000</v>
      </c>
      <c r="L63" s="407"/>
    </row>
    <row r="64" spans="1:12" ht="17.25">
      <c r="A64" s="606">
        <v>58</v>
      </c>
      <c r="B64" s="923"/>
      <c r="C64" s="913">
        <v>57</v>
      </c>
      <c r="D64" s="419" t="s">
        <v>71</v>
      </c>
      <c r="E64" s="420" t="s">
        <v>781</v>
      </c>
      <c r="F64" s="421">
        <f t="shared" si="0"/>
        <v>26914</v>
      </c>
      <c r="G64" s="421">
        <f>2150+364</f>
        <v>2514</v>
      </c>
      <c r="H64" s="422">
        <v>4</v>
      </c>
      <c r="I64" s="485">
        <v>0</v>
      </c>
      <c r="J64" s="1421">
        <v>24396</v>
      </c>
      <c r="K64" s="1235">
        <v>24282</v>
      </c>
      <c r="L64" s="407"/>
    </row>
    <row r="65" spans="1:12" ht="17.25">
      <c r="A65" s="606">
        <v>59</v>
      </c>
      <c r="B65" s="923"/>
      <c r="C65" s="913">
        <v>58</v>
      </c>
      <c r="D65" s="419" t="s">
        <v>72</v>
      </c>
      <c r="E65" s="420" t="s">
        <v>781</v>
      </c>
      <c r="F65" s="421">
        <f t="shared" si="0"/>
        <v>33940</v>
      </c>
      <c r="G65" s="421"/>
      <c r="H65" s="422">
        <v>12375</v>
      </c>
      <c r="I65" s="485">
        <v>21000</v>
      </c>
      <c r="J65" s="1421">
        <v>21565</v>
      </c>
      <c r="K65" s="1235">
        <v>21558</v>
      </c>
      <c r="L65" s="407"/>
    </row>
    <row r="66" spans="1:12" ht="17.25">
      <c r="A66" s="606">
        <v>60</v>
      </c>
      <c r="B66" s="923"/>
      <c r="C66" s="913">
        <v>59</v>
      </c>
      <c r="D66" s="423" t="s">
        <v>719</v>
      </c>
      <c r="E66" s="420" t="s">
        <v>781</v>
      </c>
      <c r="F66" s="421">
        <f t="shared" si="0"/>
        <v>9140</v>
      </c>
      <c r="G66" s="421"/>
      <c r="H66" s="422"/>
      <c r="I66" s="485"/>
      <c r="J66" s="1421">
        <v>9140</v>
      </c>
      <c r="K66" s="1235">
        <v>6997</v>
      </c>
      <c r="L66" s="407"/>
    </row>
    <row r="67" spans="1:12" ht="33">
      <c r="A67" s="606">
        <v>61</v>
      </c>
      <c r="B67" s="923"/>
      <c r="C67" s="913">
        <v>60</v>
      </c>
      <c r="D67" s="419" t="s">
        <v>73</v>
      </c>
      <c r="E67" s="420" t="s">
        <v>781</v>
      </c>
      <c r="F67" s="421">
        <f t="shared" si="0"/>
        <v>0</v>
      </c>
      <c r="G67" s="421"/>
      <c r="H67" s="422"/>
      <c r="I67" s="485">
        <v>6200</v>
      </c>
      <c r="J67" s="1421">
        <v>0</v>
      </c>
      <c r="K67" s="1235"/>
      <c r="L67" s="407"/>
    </row>
    <row r="68" spans="1:12" ht="120" customHeight="1">
      <c r="A68" s="606">
        <v>62</v>
      </c>
      <c r="B68" s="923"/>
      <c r="C68" s="913">
        <v>61</v>
      </c>
      <c r="D68" s="933" t="s">
        <v>1323</v>
      </c>
      <c r="E68" s="420" t="s">
        <v>781</v>
      </c>
      <c r="F68" s="421">
        <f t="shared" si="0"/>
        <v>0</v>
      </c>
      <c r="G68" s="421"/>
      <c r="H68" s="422"/>
      <c r="I68" s="485">
        <v>40000</v>
      </c>
      <c r="J68" s="1421">
        <v>0</v>
      </c>
      <c r="K68" s="1235"/>
      <c r="L68" s="407"/>
    </row>
    <row r="69" spans="1:12" ht="105" customHeight="1">
      <c r="A69" s="606">
        <v>63</v>
      </c>
      <c r="B69" s="923"/>
      <c r="C69" s="913">
        <v>62</v>
      </c>
      <c r="D69" s="933" t="s">
        <v>1324</v>
      </c>
      <c r="E69" s="420" t="s">
        <v>781</v>
      </c>
      <c r="F69" s="421">
        <f t="shared" si="0"/>
        <v>19500</v>
      </c>
      <c r="G69" s="421"/>
      <c r="H69" s="422"/>
      <c r="I69" s="485"/>
      <c r="J69" s="1421">
        <v>19500</v>
      </c>
      <c r="K69" s="1235"/>
      <c r="L69" s="407"/>
    </row>
    <row r="70" spans="1:12" ht="17.25">
      <c r="A70" s="606">
        <v>64</v>
      </c>
      <c r="B70" s="923"/>
      <c r="C70" s="913">
        <v>63</v>
      </c>
      <c r="D70" s="425" t="s">
        <v>74</v>
      </c>
      <c r="E70" s="420" t="s">
        <v>781</v>
      </c>
      <c r="F70" s="421">
        <f t="shared" si="0"/>
        <v>1500</v>
      </c>
      <c r="G70" s="421"/>
      <c r="H70" s="422"/>
      <c r="I70" s="485">
        <v>1500</v>
      </c>
      <c r="J70" s="1421">
        <v>1500</v>
      </c>
      <c r="K70" s="1235"/>
      <c r="L70" s="407"/>
    </row>
    <row r="71" spans="1:12" ht="17.25">
      <c r="A71" s="606">
        <v>65</v>
      </c>
      <c r="B71" s="923"/>
      <c r="C71" s="913">
        <v>64</v>
      </c>
      <c r="D71" s="425" t="s">
        <v>1251</v>
      </c>
      <c r="E71" s="420" t="s">
        <v>781</v>
      </c>
      <c r="F71" s="421">
        <f t="shared" si="0"/>
        <v>550</v>
      </c>
      <c r="G71" s="421"/>
      <c r="H71" s="422"/>
      <c r="I71" s="485"/>
      <c r="J71" s="1421">
        <v>550</v>
      </c>
      <c r="K71" s="1235"/>
      <c r="L71" s="407"/>
    </row>
    <row r="72" spans="1:12" ht="17.25">
      <c r="A72" s="606">
        <v>66</v>
      </c>
      <c r="B72" s="923"/>
      <c r="C72" s="913">
        <v>65</v>
      </c>
      <c r="D72" s="419" t="s">
        <v>75</v>
      </c>
      <c r="E72" s="420" t="s">
        <v>781</v>
      </c>
      <c r="F72" s="421">
        <f t="shared" si="0"/>
        <v>9700</v>
      </c>
      <c r="G72" s="421"/>
      <c r="H72" s="422"/>
      <c r="I72" s="485">
        <v>195000</v>
      </c>
      <c r="J72" s="1421">
        <v>9700</v>
      </c>
      <c r="K72" s="1235">
        <v>2113</v>
      </c>
      <c r="L72" s="407"/>
    </row>
    <row r="73" spans="1:12" ht="17.25">
      <c r="A73" s="606">
        <v>67</v>
      </c>
      <c r="B73" s="923"/>
      <c r="C73" s="913">
        <v>66</v>
      </c>
      <c r="D73" s="419" t="s">
        <v>76</v>
      </c>
      <c r="E73" s="420" t="s">
        <v>781</v>
      </c>
      <c r="F73" s="421">
        <f aca="true" t="shared" si="1" ref="F73:F113">SUM(G73:H73,J73)</f>
        <v>1700</v>
      </c>
      <c r="G73" s="421"/>
      <c r="H73" s="422"/>
      <c r="I73" s="485"/>
      <c r="J73" s="1421">
        <v>1700</v>
      </c>
      <c r="K73" s="1235"/>
      <c r="L73" s="407"/>
    </row>
    <row r="74" spans="1:12" ht="17.25">
      <c r="A74" s="606">
        <v>68</v>
      </c>
      <c r="B74" s="923"/>
      <c r="C74" s="913">
        <v>67</v>
      </c>
      <c r="D74" s="423" t="s">
        <v>722</v>
      </c>
      <c r="E74" s="420" t="s">
        <v>781</v>
      </c>
      <c r="F74" s="421">
        <f t="shared" si="1"/>
        <v>13987</v>
      </c>
      <c r="G74" s="421"/>
      <c r="H74" s="422"/>
      <c r="I74" s="485"/>
      <c r="J74" s="1421">
        <v>13987</v>
      </c>
      <c r="K74" s="1235">
        <v>9454</v>
      </c>
      <c r="L74" s="407"/>
    </row>
    <row r="75" spans="1:12" ht="33">
      <c r="A75" s="606">
        <v>69</v>
      </c>
      <c r="B75" s="923"/>
      <c r="C75" s="913">
        <v>68</v>
      </c>
      <c r="D75" s="423" t="s">
        <v>77</v>
      </c>
      <c r="E75" s="420" t="s">
        <v>781</v>
      </c>
      <c r="F75" s="421">
        <f t="shared" si="1"/>
        <v>600</v>
      </c>
      <c r="G75" s="421"/>
      <c r="H75" s="422"/>
      <c r="I75" s="485"/>
      <c r="J75" s="1421">
        <v>600</v>
      </c>
      <c r="K75" s="1235"/>
      <c r="L75" s="407"/>
    </row>
    <row r="76" spans="1:12" ht="17.25">
      <c r="A76" s="606">
        <v>70</v>
      </c>
      <c r="B76" s="923"/>
      <c r="C76" s="913">
        <v>69</v>
      </c>
      <c r="D76" s="423" t="s">
        <v>78</v>
      </c>
      <c r="E76" s="420" t="s">
        <v>781</v>
      </c>
      <c r="F76" s="421">
        <f t="shared" si="1"/>
        <v>387</v>
      </c>
      <c r="G76" s="421"/>
      <c r="H76" s="422"/>
      <c r="I76" s="485"/>
      <c r="J76" s="1421">
        <v>387</v>
      </c>
      <c r="K76" s="1235"/>
      <c r="L76" s="407"/>
    </row>
    <row r="77" spans="1:12" ht="33">
      <c r="A77" s="606">
        <v>71</v>
      </c>
      <c r="B77" s="923"/>
      <c r="C77" s="913">
        <v>70</v>
      </c>
      <c r="D77" s="426" t="s">
        <v>851</v>
      </c>
      <c r="E77" s="420" t="s">
        <v>781</v>
      </c>
      <c r="F77" s="421">
        <f t="shared" si="1"/>
        <v>250</v>
      </c>
      <c r="G77" s="421"/>
      <c r="H77" s="422"/>
      <c r="I77" s="485"/>
      <c r="J77" s="1421">
        <v>250</v>
      </c>
      <c r="K77" s="1235"/>
      <c r="L77" s="407"/>
    </row>
    <row r="78" spans="1:12" ht="17.25">
      <c r="A78" s="606">
        <v>72</v>
      </c>
      <c r="B78" s="923"/>
      <c r="C78" s="913">
        <v>71</v>
      </c>
      <c r="D78" s="423" t="s">
        <v>79</v>
      </c>
      <c r="E78" s="420" t="s">
        <v>781</v>
      </c>
      <c r="F78" s="421">
        <f t="shared" si="1"/>
        <v>1000</v>
      </c>
      <c r="G78" s="421"/>
      <c r="H78" s="422"/>
      <c r="I78" s="485"/>
      <c r="J78" s="1421">
        <v>1000</v>
      </c>
      <c r="K78" s="1235">
        <v>1000</v>
      </c>
      <c r="L78" s="407"/>
    </row>
    <row r="79" spans="1:12" ht="33">
      <c r="A79" s="606">
        <v>73</v>
      </c>
      <c r="B79" s="923"/>
      <c r="C79" s="913">
        <v>72</v>
      </c>
      <c r="D79" s="423" t="s">
        <v>80</v>
      </c>
      <c r="E79" s="420" t="s">
        <v>781</v>
      </c>
      <c r="F79" s="421">
        <f t="shared" si="1"/>
        <v>150</v>
      </c>
      <c r="G79" s="421"/>
      <c r="H79" s="422"/>
      <c r="I79" s="485"/>
      <c r="J79" s="1421">
        <v>150</v>
      </c>
      <c r="K79" s="1235">
        <v>149</v>
      </c>
      <c r="L79" s="407"/>
    </row>
    <row r="80" spans="1:12" ht="33">
      <c r="A80" s="606">
        <v>74</v>
      </c>
      <c r="B80" s="923"/>
      <c r="C80" s="913">
        <v>73</v>
      </c>
      <c r="D80" s="423" t="s">
        <v>597</v>
      </c>
      <c r="E80" s="420" t="s">
        <v>781</v>
      </c>
      <c r="F80" s="421">
        <f t="shared" si="1"/>
        <v>1320</v>
      </c>
      <c r="G80" s="421"/>
      <c r="H80" s="422">
        <v>980</v>
      </c>
      <c r="I80" s="485"/>
      <c r="J80" s="1421">
        <v>340</v>
      </c>
      <c r="K80" s="1235">
        <v>340</v>
      </c>
      <c r="L80" s="407"/>
    </row>
    <row r="81" spans="1:12" ht="17.25">
      <c r="A81" s="606">
        <v>75</v>
      </c>
      <c r="B81" s="923"/>
      <c r="C81" s="913">
        <v>74</v>
      </c>
      <c r="D81" s="423" t="s">
        <v>81</v>
      </c>
      <c r="E81" s="420" t="s">
        <v>781</v>
      </c>
      <c r="F81" s="421">
        <f t="shared" si="1"/>
        <v>650</v>
      </c>
      <c r="G81" s="421"/>
      <c r="H81" s="422"/>
      <c r="I81" s="485"/>
      <c r="J81" s="1421">
        <v>650</v>
      </c>
      <c r="K81" s="1235">
        <v>532</v>
      </c>
      <c r="L81" s="407"/>
    </row>
    <row r="82" spans="1:12" ht="33">
      <c r="A82" s="606">
        <v>76</v>
      </c>
      <c r="B82" s="923"/>
      <c r="C82" s="913">
        <v>75</v>
      </c>
      <c r="D82" s="423" t="s">
        <v>82</v>
      </c>
      <c r="E82" s="420" t="s">
        <v>781</v>
      </c>
      <c r="F82" s="421">
        <f t="shared" si="1"/>
        <v>460</v>
      </c>
      <c r="G82" s="421"/>
      <c r="H82" s="422"/>
      <c r="I82" s="485"/>
      <c r="J82" s="1421">
        <v>460</v>
      </c>
      <c r="K82" s="1235">
        <v>381</v>
      </c>
      <c r="L82" s="407"/>
    </row>
    <row r="83" spans="1:12" ht="33">
      <c r="A83" s="606">
        <v>77</v>
      </c>
      <c r="B83" s="923"/>
      <c r="C83" s="913">
        <v>76</v>
      </c>
      <c r="D83" s="423" t="s">
        <v>83</v>
      </c>
      <c r="E83" s="420" t="s">
        <v>781</v>
      </c>
      <c r="F83" s="421">
        <f t="shared" si="1"/>
        <v>200</v>
      </c>
      <c r="G83" s="421"/>
      <c r="H83" s="422"/>
      <c r="I83" s="485"/>
      <c r="J83" s="1421">
        <v>200</v>
      </c>
      <c r="K83" s="1235">
        <v>199</v>
      </c>
      <c r="L83" s="407"/>
    </row>
    <row r="84" spans="1:12" ht="33">
      <c r="A84" s="606">
        <v>78</v>
      </c>
      <c r="B84" s="923"/>
      <c r="C84" s="913">
        <v>77</v>
      </c>
      <c r="D84" s="423" t="s">
        <v>84</v>
      </c>
      <c r="E84" s="420" t="s">
        <v>781</v>
      </c>
      <c r="F84" s="421">
        <f t="shared" si="1"/>
        <v>0</v>
      </c>
      <c r="G84" s="421"/>
      <c r="H84" s="422"/>
      <c r="I84" s="485"/>
      <c r="J84" s="1421">
        <v>0</v>
      </c>
      <c r="K84" s="1235"/>
      <c r="L84" s="407"/>
    </row>
    <row r="85" spans="1:12" ht="17.25">
      <c r="A85" s="606">
        <v>79</v>
      </c>
      <c r="B85" s="923"/>
      <c r="C85" s="913">
        <v>78</v>
      </c>
      <c r="D85" s="423" t="s">
        <v>1314</v>
      </c>
      <c r="E85" s="420" t="s">
        <v>781</v>
      </c>
      <c r="F85" s="421">
        <f t="shared" si="1"/>
        <v>642</v>
      </c>
      <c r="G85" s="421"/>
      <c r="H85" s="422"/>
      <c r="I85" s="485"/>
      <c r="J85" s="1421">
        <v>642</v>
      </c>
      <c r="K85" s="1235"/>
      <c r="L85" s="407"/>
    </row>
    <row r="86" spans="1:12" ht="17.25">
      <c r="A86" s="606">
        <v>80</v>
      </c>
      <c r="B86" s="923"/>
      <c r="C86" s="913">
        <v>79</v>
      </c>
      <c r="D86" s="423" t="s">
        <v>1315</v>
      </c>
      <c r="E86" s="420" t="s">
        <v>781</v>
      </c>
      <c r="F86" s="421">
        <f t="shared" si="1"/>
        <v>642</v>
      </c>
      <c r="G86" s="421"/>
      <c r="H86" s="422"/>
      <c r="I86" s="485"/>
      <c r="J86" s="1421">
        <v>642</v>
      </c>
      <c r="K86" s="1235"/>
      <c r="L86" s="407"/>
    </row>
    <row r="87" spans="1:12" ht="17.25">
      <c r="A87" s="606">
        <v>81</v>
      </c>
      <c r="B87" s="923"/>
      <c r="C87" s="913">
        <v>80</v>
      </c>
      <c r="D87" s="423" t="s">
        <v>1316</v>
      </c>
      <c r="E87" s="420" t="s">
        <v>781</v>
      </c>
      <c r="F87" s="421">
        <f t="shared" si="1"/>
        <v>600</v>
      </c>
      <c r="G87" s="421"/>
      <c r="H87" s="422"/>
      <c r="I87" s="485"/>
      <c r="J87" s="1421">
        <v>600</v>
      </c>
      <c r="K87" s="1235"/>
      <c r="L87" s="407"/>
    </row>
    <row r="88" spans="1:12" ht="17.25">
      <c r="A88" s="606">
        <v>82</v>
      </c>
      <c r="B88" s="923"/>
      <c r="C88" s="913">
        <v>81</v>
      </c>
      <c r="D88" s="423" t="s">
        <v>1317</v>
      </c>
      <c r="E88" s="420" t="s">
        <v>781</v>
      </c>
      <c r="F88" s="421">
        <f t="shared" si="1"/>
        <v>143</v>
      </c>
      <c r="G88" s="421"/>
      <c r="H88" s="422"/>
      <c r="I88" s="485"/>
      <c r="J88" s="1421">
        <v>143</v>
      </c>
      <c r="K88" s="1235"/>
      <c r="L88" s="407"/>
    </row>
    <row r="89" spans="1:12" ht="17.25">
      <c r="A89" s="606">
        <v>83</v>
      </c>
      <c r="B89" s="923"/>
      <c r="C89" s="913">
        <v>82</v>
      </c>
      <c r="D89" s="423" t="s">
        <v>1318</v>
      </c>
      <c r="E89" s="420" t="s">
        <v>781</v>
      </c>
      <c r="F89" s="421">
        <f t="shared" si="1"/>
        <v>50</v>
      </c>
      <c r="G89" s="421"/>
      <c r="H89" s="422"/>
      <c r="I89" s="485"/>
      <c r="J89" s="1421">
        <v>50</v>
      </c>
      <c r="K89" s="1235"/>
      <c r="L89" s="407"/>
    </row>
    <row r="90" spans="1:12" ht="17.25">
      <c r="A90" s="606">
        <v>84</v>
      </c>
      <c r="B90" s="923"/>
      <c r="C90" s="913">
        <v>83</v>
      </c>
      <c r="D90" s="423" t="s">
        <v>1319</v>
      </c>
      <c r="E90" s="420" t="s">
        <v>781</v>
      </c>
      <c r="F90" s="421">
        <f t="shared" si="1"/>
        <v>159</v>
      </c>
      <c r="G90" s="421"/>
      <c r="H90" s="422"/>
      <c r="I90" s="485"/>
      <c r="J90" s="1421">
        <v>159</v>
      </c>
      <c r="K90" s="1235">
        <v>146</v>
      </c>
      <c r="L90" s="407"/>
    </row>
    <row r="91" spans="1:12" ht="33">
      <c r="A91" s="606">
        <v>85</v>
      </c>
      <c r="B91" s="923"/>
      <c r="C91" s="913">
        <v>84</v>
      </c>
      <c r="D91" s="423" t="s">
        <v>1121</v>
      </c>
      <c r="E91" s="420" t="s">
        <v>781</v>
      </c>
      <c r="F91" s="421">
        <f t="shared" si="1"/>
        <v>198</v>
      </c>
      <c r="G91" s="421"/>
      <c r="H91" s="422"/>
      <c r="I91" s="485"/>
      <c r="J91" s="1421">
        <v>198</v>
      </c>
      <c r="K91" s="1235">
        <v>198</v>
      </c>
      <c r="L91" s="407"/>
    </row>
    <row r="92" spans="1:12" ht="17.25">
      <c r="A92" s="606">
        <v>86</v>
      </c>
      <c r="B92" s="923"/>
      <c r="C92" s="913">
        <v>85</v>
      </c>
      <c r="D92" s="427" t="s">
        <v>85</v>
      </c>
      <c r="E92" s="420" t="s">
        <v>781</v>
      </c>
      <c r="F92" s="421">
        <f t="shared" si="1"/>
        <v>49760</v>
      </c>
      <c r="G92" s="421">
        <v>0</v>
      </c>
      <c r="H92" s="422">
        <v>14322</v>
      </c>
      <c r="I92" s="485">
        <v>35000</v>
      </c>
      <c r="J92" s="1421">
        <v>35438</v>
      </c>
      <c r="K92" s="1235">
        <v>17138</v>
      </c>
      <c r="L92" s="407"/>
    </row>
    <row r="93" spans="1:12" ht="33">
      <c r="A93" s="606">
        <v>87</v>
      </c>
      <c r="B93" s="923"/>
      <c r="C93" s="913">
        <v>86</v>
      </c>
      <c r="D93" s="427" t="s">
        <v>86</v>
      </c>
      <c r="E93" s="420" t="s">
        <v>781</v>
      </c>
      <c r="F93" s="421">
        <f t="shared" si="1"/>
        <v>0</v>
      </c>
      <c r="G93" s="421"/>
      <c r="H93" s="422"/>
      <c r="I93" s="485"/>
      <c r="J93" s="1421">
        <v>0</v>
      </c>
      <c r="K93" s="1235"/>
      <c r="L93" s="407"/>
    </row>
    <row r="94" spans="1:12" ht="49.5">
      <c r="A94" s="606">
        <v>88</v>
      </c>
      <c r="B94" s="923"/>
      <c r="C94" s="913">
        <v>87</v>
      </c>
      <c r="D94" s="423" t="s">
        <v>87</v>
      </c>
      <c r="E94" s="420" t="s">
        <v>781</v>
      </c>
      <c r="F94" s="421">
        <f t="shared" si="1"/>
        <v>500</v>
      </c>
      <c r="G94" s="421"/>
      <c r="H94" s="422"/>
      <c r="I94" s="485"/>
      <c r="J94" s="1421">
        <v>500</v>
      </c>
      <c r="K94" s="1235"/>
      <c r="L94" s="407"/>
    </row>
    <row r="95" spans="1:12" ht="33">
      <c r="A95" s="606">
        <v>89</v>
      </c>
      <c r="B95" s="923"/>
      <c r="C95" s="913">
        <v>88</v>
      </c>
      <c r="D95" s="423" t="s">
        <v>88</v>
      </c>
      <c r="E95" s="420" t="s">
        <v>781</v>
      </c>
      <c r="F95" s="421">
        <f t="shared" si="1"/>
        <v>3227</v>
      </c>
      <c r="G95" s="421"/>
      <c r="H95" s="422"/>
      <c r="I95" s="485"/>
      <c r="J95" s="1421">
        <v>3227</v>
      </c>
      <c r="K95" s="1235">
        <v>1098</v>
      </c>
      <c r="L95" s="407"/>
    </row>
    <row r="96" spans="1:12" ht="33">
      <c r="A96" s="606">
        <v>90</v>
      </c>
      <c r="B96" s="923"/>
      <c r="C96" s="913">
        <v>89</v>
      </c>
      <c r="D96" s="423" t="s">
        <v>89</v>
      </c>
      <c r="E96" s="420" t="s">
        <v>781</v>
      </c>
      <c r="F96" s="421">
        <f t="shared" si="1"/>
        <v>3140</v>
      </c>
      <c r="G96" s="421"/>
      <c r="H96" s="422"/>
      <c r="I96" s="485"/>
      <c r="J96" s="1421">
        <v>3140</v>
      </c>
      <c r="K96" s="1235"/>
      <c r="L96" s="407"/>
    </row>
    <row r="97" spans="1:12" ht="33">
      <c r="A97" s="606">
        <v>91</v>
      </c>
      <c r="B97" s="923"/>
      <c r="C97" s="913">
        <v>90</v>
      </c>
      <c r="D97" s="423" t="s">
        <v>90</v>
      </c>
      <c r="E97" s="420" t="s">
        <v>781</v>
      </c>
      <c r="F97" s="421">
        <f t="shared" si="1"/>
        <v>4119</v>
      </c>
      <c r="G97" s="421"/>
      <c r="H97" s="422"/>
      <c r="I97" s="485"/>
      <c r="J97" s="1421">
        <v>4119</v>
      </c>
      <c r="K97" s="1235"/>
      <c r="L97" s="407"/>
    </row>
    <row r="98" spans="1:12" ht="33">
      <c r="A98" s="606">
        <v>92</v>
      </c>
      <c r="B98" s="923"/>
      <c r="C98" s="913">
        <v>91</v>
      </c>
      <c r="D98" s="423" t="s">
        <v>91</v>
      </c>
      <c r="E98" s="420" t="s">
        <v>781</v>
      </c>
      <c r="F98" s="421">
        <f t="shared" si="1"/>
        <v>4500</v>
      </c>
      <c r="G98" s="421"/>
      <c r="H98" s="422"/>
      <c r="I98" s="485"/>
      <c r="J98" s="1421">
        <v>4500</v>
      </c>
      <c r="K98" s="1235"/>
      <c r="L98" s="407"/>
    </row>
    <row r="99" spans="1:12" ht="17.25">
      <c r="A99" s="606">
        <v>93</v>
      </c>
      <c r="B99" s="923"/>
      <c r="C99" s="913">
        <v>92</v>
      </c>
      <c r="D99" s="423" t="s">
        <v>1320</v>
      </c>
      <c r="E99" s="420" t="s">
        <v>781</v>
      </c>
      <c r="F99" s="421">
        <f t="shared" si="1"/>
        <v>20000</v>
      </c>
      <c r="G99" s="421"/>
      <c r="H99" s="422"/>
      <c r="I99" s="485"/>
      <c r="J99" s="1421">
        <v>20000</v>
      </c>
      <c r="K99" s="1235">
        <v>20000</v>
      </c>
      <c r="L99" s="407"/>
    </row>
    <row r="100" spans="1:12" ht="17.25">
      <c r="A100" s="606">
        <v>94</v>
      </c>
      <c r="B100" s="923"/>
      <c r="C100" s="913">
        <v>93</v>
      </c>
      <c r="D100" s="423" t="s">
        <v>1250</v>
      </c>
      <c r="E100" s="420" t="s">
        <v>781</v>
      </c>
      <c r="F100" s="421">
        <f t="shared" si="1"/>
        <v>320</v>
      </c>
      <c r="G100" s="421"/>
      <c r="H100" s="422"/>
      <c r="I100" s="485"/>
      <c r="J100" s="1421">
        <v>320</v>
      </c>
      <c r="K100" s="1235"/>
      <c r="L100" s="407"/>
    </row>
    <row r="101" spans="1:12" ht="45">
      <c r="A101" s="606">
        <v>95</v>
      </c>
      <c r="B101" s="923"/>
      <c r="C101" s="913">
        <v>94</v>
      </c>
      <c r="D101" s="932" t="s">
        <v>1321</v>
      </c>
      <c r="E101" s="420" t="s">
        <v>781</v>
      </c>
      <c r="F101" s="421">
        <f t="shared" si="1"/>
        <v>260</v>
      </c>
      <c r="G101" s="421"/>
      <c r="H101" s="422"/>
      <c r="I101" s="485"/>
      <c r="J101" s="1421">
        <v>260</v>
      </c>
      <c r="K101" s="1235">
        <v>258</v>
      </c>
      <c r="L101" s="407"/>
    </row>
    <row r="102" spans="1:12" ht="33">
      <c r="A102" s="606">
        <v>96</v>
      </c>
      <c r="B102" s="923"/>
      <c r="C102" s="913">
        <v>95</v>
      </c>
      <c r="D102" s="423" t="s">
        <v>92</v>
      </c>
      <c r="E102" s="420" t="s">
        <v>781</v>
      </c>
      <c r="F102" s="421">
        <f t="shared" si="1"/>
        <v>41300</v>
      </c>
      <c r="G102" s="421">
        <v>250</v>
      </c>
      <c r="H102" s="422">
        <v>18050</v>
      </c>
      <c r="I102" s="485"/>
      <c r="J102" s="1421">
        <v>23000</v>
      </c>
      <c r="K102" s="1235">
        <v>23000</v>
      </c>
      <c r="L102" s="407"/>
    </row>
    <row r="103" spans="1:12" ht="17.25">
      <c r="A103" s="606">
        <v>97</v>
      </c>
      <c r="B103" s="923"/>
      <c r="C103" s="913">
        <v>96</v>
      </c>
      <c r="D103" s="423" t="s">
        <v>100</v>
      </c>
      <c r="E103" s="420" t="s">
        <v>781</v>
      </c>
      <c r="F103" s="421">
        <f t="shared" si="1"/>
        <v>5000</v>
      </c>
      <c r="G103" s="421"/>
      <c r="H103" s="422"/>
      <c r="I103" s="485"/>
      <c r="J103" s="1421">
        <v>5000</v>
      </c>
      <c r="K103" s="1235">
        <v>5000</v>
      </c>
      <c r="L103" s="407"/>
    </row>
    <row r="104" spans="1:12" ht="17.25">
      <c r="A104" s="606">
        <v>98</v>
      </c>
      <c r="B104" s="923"/>
      <c r="C104" s="913">
        <v>97</v>
      </c>
      <c r="D104" s="423" t="s">
        <v>1122</v>
      </c>
      <c r="E104" s="420" t="s">
        <v>781</v>
      </c>
      <c r="F104" s="421">
        <f t="shared" si="1"/>
        <v>2950</v>
      </c>
      <c r="G104" s="421"/>
      <c r="H104" s="422"/>
      <c r="I104" s="485"/>
      <c r="J104" s="1421">
        <v>2950</v>
      </c>
      <c r="K104" s="1235">
        <v>2950</v>
      </c>
      <c r="L104" s="407"/>
    </row>
    <row r="105" spans="1:12" ht="17.25">
      <c r="A105" s="606">
        <v>99</v>
      </c>
      <c r="B105" s="924"/>
      <c r="C105" s="913">
        <v>98</v>
      </c>
      <c r="D105" s="428" t="s">
        <v>93</v>
      </c>
      <c r="E105" s="420" t="s">
        <v>781</v>
      </c>
      <c r="F105" s="421">
        <f t="shared" si="1"/>
        <v>380000</v>
      </c>
      <c r="G105" s="421">
        <v>140000</v>
      </c>
      <c r="H105" s="422">
        <v>120000</v>
      </c>
      <c r="I105" s="485"/>
      <c r="J105" s="1421">
        <v>120000</v>
      </c>
      <c r="K105" s="1235">
        <v>120000</v>
      </c>
      <c r="L105" s="407"/>
    </row>
    <row r="106" spans="1:12" ht="17.25">
      <c r="A106" s="606">
        <v>100</v>
      </c>
      <c r="B106" s="924"/>
      <c r="C106" s="913">
        <v>99</v>
      </c>
      <c r="D106" s="428" t="s">
        <v>94</v>
      </c>
      <c r="E106" s="420" t="s">
        <v>781</v>
      </c>
      <c r="F106" s="421">
        <f t="shared" si="1"/>
        <v>800</v>
      </c>
      <c r="G106" s="421"/>
      <c r="H106" s="422"/>
      <c r="I106" s="485"/>
      <c r="J106" s="1421">
        <v>800</v>
      </c>
      <c r="K106" s="1235">
        <v>714</v>
      </c>
      <c r="L106" s="407"/>
    </row>
    <row r="107" spans="1:12" ht="17.25">
      <c r="A107" s="606">
        <v>101</v>
      </c>
      <c r="B107" s="924"/>
      <c r="C107" s="913">
        <v>100</v>
      </c>
      <c r="D107" s="428" t="s">
        <v>95</v>
      </c>
      <c r="E107" s="420" t="s">
        <v>781</v>
      </c>
      <c r="F107" s="421">
        <f t="shared" si="1"/>
        <v>3499610</v>
      </c>
      <c r="G107" s="421">
        <f>1132500+579830</f>
        <v>1712330</v>
      </c>
      <c r="H107" s="422">
        <v>1080000</v>
      </c>
      <c r="I107" s="485"/>
      <c r="J107" s="1421">
        <v>707280</v>
      </c>
      <c r="K107" s="1235">
        <v>707280</v>
      </c>
      <c r="L107" s="407"/>
    </row>
    <row r="108" spans="1:12" ht="33">
      <c r="A108" s="606">
        <v>102</v>
      </c>
      <c r="B108" s="923"/>
      <c r="C108" s="913">
        <v>101</v>
      </c>
      <c r="D108" s="423" t="s">
        <v>96</v>
      </c>
      <c r="E108" s="420" t="s">
        <v>781</v>
      </c>
      <c r="F108" s="421">
        <f t="shared" si="1"/>
        <v>743800</v>
      </c>
      <c r="G108" s="421">
        <v>0</v>
      </c>
      <c r="H108" s="422">
        <v>718800</v>
      </c>
      <c r="I108" s="485"/>
      <c r="J108" s="1421">
        <v>25000</v>
      </c>
      <c r="K108" s="1235">
        <v>25000</v>
      </c>
      <c r="L108" s="407"/>
    </row>
    <row r="109" spans="1:12" ht="17.25">
      <c r="A109" s="606">
        <v>103</v>
      </c>
      <c r="B109" s="924"/>
      <c r="C109" s="913">
        <v>102</v>
      </c>
      <c r="D109" s="428" t="s">
        <v>97</v>
      </c>
      <c r="E109" s="420" t="s">
        <v>781</v>
      </c>
      <c r="F109" s="421">
        <f t="shared" si="1"/>
        <v>18900</v>
      </c>
      <c r="G109" s="421"/>
      <c r="H109" s="422">
        <v>13900</v>
      </c>
      <c r="I109" s="485"/>
      <c r="J109" s="1421">
        <v>5000</v>
      </c>
      <c r="K109" s="1235">
        <v>5000</v>
      </c>
      <c r="L109" s="407"/>
    </row>
    <row r="110" spans="1:12" ht="33">
      <c r="A110" s="606">
        <v>104</v>
      </c>
      <c r="B110" s="924"/>
      <c r="C110" s="913">
        <v>103</v>
      </c>
      <c r="D110" s="428" t="s">
        <v>1322</v>
      </c>
      <c r="E110" s="420" t="s">
        <v>781</v>
      </c>
      <c r="F110" s="421">
        <f t="shared" si="1"/>
        <v>800</v>
      </c>
      <c r="G110" s="421"/>
      <c r="H110" s="422"/>
      <c r="I110" s="485"/>
      <c r="J110" s="1421">
        <v>800</v>
      </c>
      <c r="K110" s="1235"/>
      <c r="L110" s="407"/>
    </row>
    <row r="111" spans="1:12" ht="17.25">
      <c r="A111" s="606">
        <v>105</v>
      </c>
      <c r="B111" s="924"/>
      <c r="C111" s="913">
        <v>104</v>
      </c>
      <c r="D111" s="428" t="s">
        <v>1182</v>
      </c>
      <c r="E111" s="420" t="s">
        <v>781</v>
      </c>
      <c r="F111" s="421">
        <f t="shared" si="1"/>
        <v>227</v>
      </c>
      <c r="G111" s="421"/>
      <c r="H111" s="422"/>
      <c r="I111" s="485"/>
      <c r="J111" s="1421">
        <v>227</v>
      </c>
      <c r="K111" s="1235">
        <v>227</v>
      </c>
      <c r="L111" s="407"/>
    </row>
    <row r="112" spans="1:12" ht="17.25">
      <c r="A112" s="606">
        <v>106</v>
      </c>
      <c r="B112" s="924"/>
      <c r="C112" s="913">
        <v>105</v>
      </c>
      <c r="D112" s="428" t="s">
        <v>1309</v>
      </c>
      <c r="E112" s="420" t="s">
        <v>781</v>
      </c>
      <c r="F112" s="421">
        <f t="shared" si="1"/>
        <v>500</v>
      </c>
      <c r="G112" s="421"/>
      <c r="H112" s="422"/>
      <c r="I112" s="485"/>
      <c r="J112" s="1421">
        <v>500</v>
      </c>
      <c r="K112" s="1235">
        <v>500</v>
      </c>
      <c r="L112" s="407"/>
    </row>
    <row r="113" spans="1:12" ht="17.25">
      <c r="A113" s="606">
        <v>107</v>
      </c>
      <c r="B113" s="924"/>
      <c r="C113" s="913">
        <v>106</v>
      </c>
      <c r="D113" s="428" t="s">
        <v>1310</v>
      </c>
      <c r="E113" s="420" t="s">
        <v>781</v>
      </c>
      <c r="F113" s="421">
        <f t="shared" si="1"/>
        <v>185</v>
      </c>
      <c r="G113" s="421"/>
      <c r="H113" s="422"/>
      <c r="I113" s="485"/>
      <c r="J113" s="1421">
        <v>185</v>
      </c>
      <c r="K113" s="1235">
        <v>185</v>
      </c>
      <c r="L113" s="407"/>
    </row>
    <row r="114" spans="1:253" ht="31.5" customHeight="1" thickBot="1">
      <c r="A114" s="606">
        <v>108</v>
      </c>
      <c r="B114" s="925"/>
      <c r="C114" s="914"/>
      <c r="D114" s="430" t="s">
        <v>98</v>
      </c>
      <c r="E114" s="429"/>
      <c r="F114" s="431">
        <f>SUM(F8:F113)</f>
        <v>11581034</v>
      </c>
      <c r="G114" s="431">
        <f>SUM(G8:G113)</f>
        <v>3992836</v>
      </c>
      <c r="H114" s="431">
        <f>SUM(H8:H113)</f>
        <v>2767979</v>
      </c>
      <c r="I114" s="486">
        <f>SUM(I8:I98)+I102+I105+I106+I107+I108+I109</f>
        <v>1712579</v>
      </c>
      <c r="J114" s="431">
        <f>SUM(J8:J113)</f>
        <v>4820219</v>
      </c>
      <c r="K114" s="1227">
        <f>SUM(K8:K113)</f>
        <v>4305427</v>
      </c>
      <c r="L114" s="408"/>
      <c r="M114" s="478"/>
      <c r="N114" s="478"/>
      <c r="O114" s="478"/>
      <c r="P114" s="478"/>
      <c r="Q114" s="478"/>
      <c r="R114" s="478"/>
      <c r="S114" s="478"/>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78"/>
      <c r="AY114" s="478"/>
      <c r="AZ114" s="478"/>
      <c r="BA114" s="478"/>
      <c r="BB114" s="478"/>
      <c r="BC114" s="478"/>
      <c r="BD114" s="478"/>
      <c r="BE114" s="478"/>
      <c r="BF114" s="478"/>
      <c r="BG114" s="478"/>
      <c r="BH114" s="478"/>
      <c r="BI114" s="478"/>
      <c r="BJ114" s="478"/>
      <c r="BK114" s="478"/>
      <c r="BL114" s="478"/>
      <c r="BM114" s="478"/>
      <c r="BN114" s="478"/>
      <c r="BO114" s="478"/>
      <c r="BP114" s="478"/>
      <c r="BQ114" s="478"/>
      <c r="BR114" s="478"/>
      <c r="BS114" s="478"/>
      <c r="BT114" s="478"/>
      <c r="BU114" s="478"/>
      <c r="BV114" s="478"/>
      <c r="BW114" s="478"/>
      <c r="BX114" s="478"/>
      <c r="BY114" s="478"/>
      <c r="BZ114" s="478"/>
      <c r="CA114" s="478"/>
      <c r="CB114" s="478"/>
      <c r="CC114" s="478"/>
      <c r="CD114" s="478"/>
      <c r="CE114" s="478"/>
      <c r="CF114" s="478"/>
      <c r="CG114" s="478"/>
      <c r="CH114" s="478"/>
      <c r="CI114" s="478"/>
      <c r="CJ114" s="478"/>
      <c r="CK114" s="478"/>
      <c r="CL114" s="478"/>
      <c r="CM114" s="478"/>
      <c r="CN114" s="478"/>
      <c r="CO114" s="478"/>
      <c r="CP114" s="478"/>
      <c r="CQ114" s="478"/>
      <c r="CR114" s="478"/>
      <c r="CS114" s="478"/>
      <c r="CT114" s="478"/>
      <c r="CU114" s="478"/>
      <c r="CV114" s="478"/>
      <c r="CW114" s="478"/>
      <c r="CX114" s="478"/>
      <c r="CY114" s="478"/>
      <c r="CZ114" s="478"/>
      <c r="DA114" s="478"/>
      <c r="DB114" s="478"/>
      <c r="DC114" s="478"/>
      <c r="DD114" s="478"/>
      <c r="DE114" s="478"/>
      <c r="DF114" s="478"/>
      <c r="DG114" s="478"/>
      <c r="DH114" s="478"/>
      <c r="DI114" s="478"/>
      <c r="DJ114" s="478"/>
      <c r="DK114" s="478"/>
      <c r="DL114" s="478"/>
      <c r="DM114" s="478"/>
      <c r="DN114" s="478"/>
      <c r="DO114" s="478"/>
      <c r="DP114" s="478"/>
      <c r="DQ114" s="478"/>
      <c r="DR114" s="478"/>
      <c r="DS114" s="478"/>
      <c r="DT114" s="478"/>
      <c r="DU114" s="478"/>
      <c r="DV114" s="478"/>
      <c r="DW114" s="478"/>
      <c r="DX114" s="478"/>
      <c r="DY114" s="478"/>
      <c r="DZ114" s="478"/>
      <c r="EA114" s="478"/>
      <c r="EB114" s="478"/>
      <c r="EC114" s="478"/>
      <c r="ED114" s="478"/>
      <c r="EE114" s="478"/>
      <c r="EF114" s="478"/>
      <c r="EG114" s="478"/>
      <c r="EH114" s="478"/>
      <c r="EI114" s="478"/>
      <c r="EJ114" s="478"/>
      <c r="EK114" s="478"/>
      <c r="EL114" s="478"/>
      <c r="EM114" s="478"/>
      <c r="EN114" s="478"/>
      <c r="EO114" s="478"/>
      <c r="EP114" s="478"/>
      <c r="EQ114" s="478"/>
      <c r="ER114" s="478"/>
      <c r="ES114" s="478"/>
      <c r="ET114" s="478"/>
      <c r="EU114" s="478"/>
      <c r="EV114" s="478"/>
      <c r="EW114" s="478"/>
      <c r="EX114" s="478"/>
      <c r="EY114" s="478"/>
      <c r="EZ114" s="478"/>
      <c r="FA114" s="478"/>
      <c r="FB114" s="478"/>
      <c r="FC114" s="478"/>
      <c r="FD114" s="478"/>
      <c r="FE114" s="478"/>
      <c r="FF114" s="478"/>
      <c r="FG114" s="478"/>
      <c r="FH114" s="478"/>
      <c r="FI114" s="478"/>
      <c r="FJ114" s="478"/>
      <c r="FK114" s="478"/>
      <c r="FL114" s="478"/>
      <c r="FM114" s="478"/>
      <c r="FN114" s="478"/>
      <c r="FO114" s="478"/>
      <c r="FP114" s="478"/>
      <c r="FQ114" s="478"/>
      <c r="FR114" s="478"/>
      <c r="FS114" s="478"/>
      <c r="FT114" s="478"/>
      <c r="FU114" s="478"/>
      <c r="FV114" s="478"/>
      <c r="FW114" s="478"/>
      <c r="FX114" s="478"/>
      <c r="FY114" s="478"/>
      <c r="FZ114" s="478"/>
      <c r="GA114" s="478"/>
      <c r="GB114" s="478"/>
      <c r="GC114" s="478"/>
      <c r="GD114" s="478"/>
      <c r="GE114" s="478"/>
      <c r="GF114" s="478"/>
      <c r="GG114" s="478"/>
      <c r="GH114" s="478"/>
      <c r="GI114" s="478"/>
      <c r="GJ114" s="478"/>
      <c r="GK114" s="478"/>
      <c r="GL114" s="478"/>
      <c r="GM114" s="478"/>
      <c r="GN114" s="478"/>
      <c r="GO114" s="478"/>
      <c r="GP114" s="478"/>
      <c r="GQ114" s="478"/>
      <c r="GR114" s="478"/>
      <c r="GS114" s="478"/>
      <c r="GT114" s="478"/>
      <c r="GU114" s="478"/>
      <c r="GV114" s="478"/>
      <c r="GW114" s="478"/>
      <c r="GX114" s="478"/>
      <c r="GY114" s="478"/>
      <c r="GZ114" s="478"/>
      <c r="HA114" s="478"/>
      <c r="HB114" s="478"/>
      <c r="HC114" s="478"/>
      <c r="HD114" s="478"/>
      <c r="HE114" s="478"/>
      <c r="HF114" s="478"/>
      <c r="HG114" s="478"/>
      <c r="HH114" s="478"/>
      <c r="HI114" s="478"/>
      <c r="HJ114" s="478"/>
      <c r="HK114" s="478"/>
      <c r="HL114" s="478"/>
      <c r="HM114" s="478"/>
      <c r="HN114" s="478"/>
      <c r="HO114" s="478"/>
      <c r="HP114" s="478"/>
      <c r="HQ114" s="478"/>
      <c r="HR114" s="478"/>
      <c r="HS114" s="478"/>
      <c r="HT114" s="478"/>
      <c r="HU114" s="478"/>
      <c r="HV114" s="478"/>
      <c r="HW114" s="478"/>
      <c r="HX114" s="478"/>
      <c r="HY114" s="478"/>
      <c r="HZ114" s="478"/>
      <c r="IA114" s="478"/>
      <c r="IB114" s="478"/>
      <c r="IC114" s="478"/>
      <c r="ID114" s="478"/>
      <c r="IE114" s="478"/>
      <c r="IF114" s="478"/>
      <c r="IG114" s="478"/>
      <c r="IH114" s="478"/>
      <c r="II114" s="478"/>
      <c r="IJ114" s="478"/>
      <c r="IK114" s="478"/>
      <c r="IL114" s="478"/>
      <c r="IM114" s="478"/>
      <c r="IN114" s="478"/>
      <c r="IO114" s="478"/>
      <c r="IP114" s="478"/>
      <c r="IQ114" s="478"/>
      <c r="IR114" s="478"/>
      <c r="IS114" s="478"/>
    </row>
    <row r="115" spans="1:253" s="935" customFormat="1" ht="30" customHeight="1" thickTop="1">
      <c r="A115" s="606">
        <v>109</v>
      </c>
      <c r="B115" s="926">
        <v>18</v>
      </c>
      <c r="C115" s="934"/>
      <c r="D115" s="432" t="s">
        <v>99</v>
      </c>
      <c r="E115" s="433"/>
      <c r="F115" s="434"/>
      <c r="G115" s="434"/>
      <c r="H115" s="435"/>
      <c r="I115" s="487"/>
      <c r="J115" s="1422"/>
      <c r="K115" s="1236"/>
      <c r="L115" s="477"/>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76"/>
      <c r="CI115" s="476"/>
      <c r="CJ115" s="476"/>
      <c r="CK115" s="476"/>
      <c r="CL115" s="476"/>
      <c r="CM115" s="476"/>
      <c r="CN115" s="476"/>
      <c r="CO115" s="476"/>
      <c r="CP115" s="476"/>
      <c r="CQ115" s="476"/>
      <c r="CR115" s="476"/>
      <c r="CS115" s="476"/>
      <c r="CT115" s="476"/>
      <c r="CU115" s="476"/>
      <c r="CV115" s="476"/>
      <c r="CW115" s="476"/>
      <c r="CX115" s="476"/>
      <c r="CY115" s="476"/>
      <c r="CZ115" s="476"/>
      <c r="DA115" s="476"/>
      <c r="DB115" s="476"/>
      <c r="DC115" s="476"/>
      <c r="DD115" s="476"/>
      <c r="DE115" s="476"/>
      <c r="DF115" s="476"/>
      <c r="DG115" s="476"/>
      <c r="DH115" s="476"/>
      <c r="DI115" s="476"/>
      <c r="DJ115" s="476"/>
      <c r="DK115" s="476"/>
      <c r="DL115" s="476"/>
      <c r="DM115" s="476"/>
      <c r="DN115" s="476"/>
      <c r="DO115" s="476"/>
      <c r="DP115" s="476"/>
      <c r="DQ115" s="476"/>
      <c r="DR115" s="476"/>
      <c r="DS115" s="476"/>
      <c r="DT115" s="476"/>
      <c r="DU115" s="476"/>
      <c r="DV115" s="476"/>
      <c r="DW115" s="476"/>
      <c r="DX115" s="476"/>
      <c r="DY115" s="476"/>
      <c r="DZ115" s="476"/>
      <c r="EA115" s="476"/>
      <c r="EB115" s="476"/>
      <c r="EC115" s="476"/>
      <c r="ED115" s="476"/>
      <c r="EE115" s="476"/>
      <c r="EF115" s="476"/>
      <c r="EG115" s="476"/>
      <c r="EH115" s="476"/>
      <c r="EI115" s="476"/>
      <c r="EJ115" s="476"/>
      <c r="EK115" s="476"/>
      <c r="EL115" s="476"/>
      <c r="EM115" s="476"/>
      <c r="EN115" s="476"/>
      <c r="EO115" s="476"/>
      <c r="EP115" s="476"/>
      <c r="EQ115" s="476"/>
      <c r="ER115" s="476"/>
      <c r="ES115" s="476"/>
      <c r="ET115" s="476"/>
      <c r="EU115" s="476"/>
      <c r="EV115" s="476"/>
      <c r="EW115" s="476"/>
      <c r="EX115" s="476"/>
      <c r="EY115" s="476"/>
      <c r="EZ115" s="476"/>
      <c r="FA115" s="476"/>
      <c r="FB115" s="476"/>
      <c r="FC115" s="476"/>
      <c r="FD115" s="476"/>
      <c r="FE115" s="476"/>
      <c r="FF115" s="476"/>
      <c r="FG115" s="476"/>
      <c r="FH115" s="476"/>
      <c r="FI115" s="476"/>
      <c r="FJ115" s="476"/>
      <c r="FK115" s="476"/>
      <c r="FL115" s="476"/>
      <c r="FM115" s="476"/>
      <c r="FN115" s="476"/>
      <c r="FO115" s="476"/>
      <c r="FP115" s="476"/>
      <c r="FQ115" s="476"/>
      <c r="FR115" s="476"/>
      <c r="FS115" s="476"/>
      <c r="FT115" s="476"/>
      <c r="FU115" s="476"/>
      <c r="FV115" s="476"/>
      <c r="FW115" s="476"/>
      <c r="FX115" s="476"/>
      <c r="FY115" s="476"/>
      <c r="FZ115" s="476"/>
      <c r="GA115" s="476"/>
      <c r="GB115" s="476"/>
      <c r="GC115" s="476"/>
      <c r="GD115" s="476"/>
      <c r="GE115" s="476"/>
      <c r="GF115" s="476"/>
      <c r="GG115" s="476"/>
      <c r="GH115" s="476"/>
      <c r="GI115" s="476"/>
      <c r="GJ115" s="476"/>
      <c r="GK115" s="476"/>
      <c r="GL115" s="476"/>
      <c r="GM115" s="476"/>
      <c r="GN115" s="476"/>
      <c r="GO115" s="476"/>
      <c r="GP115" s="476"/>
      <c r="GQ115" s="476"/>
      <c r="GR115" s="476"/>
      <c r="GS115" s="476"/>
      <c r="GT115" s="476"/>
      <c r="GU115" s="476"/>
      <c r="GV115" s="476"/>
      <c r="GW115" s="476"/>
      <c r="GX115" s="476"/>
      <c r="GY115" s="476"/>
      <c r="GZ115" s="476"/>
      <c r="HA115" s="476"/>
      <c r="HB115" s="476"/>
      <c r="HC115" s="476"/>
      <c r="HD115" s="476"/>
      <c r="HE115" s="476"/>
      <c r="HF115" s="476"/>
      <c r="HG115" s="476"/>
      <c r="HH115" s="476"/>
      <c r="HI115" s="476"/>
      <c r="HJ115" s="476"/>
      <c r="HK115" s="476"/>
      <c r="HL115" s="476"/>
      <c r="HM115" s="476"/>
      <c r="HN115" s="476"/>
      <c r="HO115" s="476"/>
      <c r="HP115" s="476"/>
      <c r="HQ115" s="476"/>
      <c r="HR115" s="476"/>
      <c r="HS115" s="476"/>
      <c r="HT115" s="476"/>
      <c r="HU115" s="476"/>
      <c r="HV115" s="476"/>
      <c r="HW115" s="476"/>
      <c r="HX115" s="476"/>
      <c r="HY115" s="476"/>
      <c r="HZ115" s="476"/>
      <c r="IA115" s="476"/>
      <c r="IB115" s="476"/>
      <c r="IC115" s="476"/>
      <c r="ID115" s="476"/>
      <c r="IE115" s="476"/>
      <c r="IF115" s="476"/>
      <c r="IG115" s="476"/>
      <c r="IH115" s="476"/>
      <c r="II115" s="476"/>
      <c r="IJ115" s="476"/>
      <c r="IK115" s="476"/>
      <c r="IL115" s="476"/>
      <c r="IM115" s="476"/>
      <c r="IN115" s="476"/>
      <c r="IO115" s="476"/>
      <c r="IP115" s="476"/>
      <c r="IQ115" s="476"/>
      <c r="IR115" s="476"/>
      <c r="IS115" s="476"/>
    </row>
    <row r="116" spans="1:12" ht="33">
      <c r="A116" s="606">
        <v>110</v>
      </c>
      <c r="B116" s="923"/>
      <c r="C116" s="913">
        <v>1</v>
      </c>
      <c r="D116" s="436" t="s">
        <v>92</v>
      </c>
      <c r="E116" s="420" t="s">
        <v>781</v>
      </c>
      <c r="F116" s="421">
        <f>SUM(G116:H116,J116)</f>
        <v>0</v>
      </c>
      <c r="G116" s="421"/>
      <c r="H116" s="422"/>
      <c r="I116" s="485">
        <v>23000</v>
      </c>
      <c r="J116" s="1421">
        <v>0</v>
      </c>
      <c r="K116" s="1235"/>
      <c r="L116" s="407"/>
    </row>
    <row r="117" spans="1:12" ht="17.25">
      <c r="A117" s="606">
        <v>111</v>
      </c>
      <c r="B117" s="923"/>
      <c r="C117" s="913">
        <v>2</v>
      </c>
      <c r="D117" s="436" t="s">
        <v>93</v>
      </c>
      <c r="E117" s="420" t="s">
        <v>781</v>
      </c>
      <c r="F117" s="421">
        <f aca="true" t="shared" si="2" ref="F117:F125">SUM(G117:H117,J117)</f>
        <v>0</v>
      </c>
      <c r="G117" s="421"/>
      <c r="H117" s="422"/>
      <c r="I117" s="485">
        <v>120000</v>
      </c>
      <c r="J117" s="1421">
        <v>0</v>
      </c>
      <c r="K117" s="1235"/>
      <c r="L117" s="407"/>
    </row>
    <row r="118" spans="1:12" ht="17.25">
      <c r="A118" s="606">
        <v>112</v>
      </c>
      <c r="B118" s="923"/>
      <c r="C118" s="913">
        <v>3</v>
      </c>
      <c r="D118" s="436" t="s">
        <v>94</v>
      </c>
      <c r="E118" s="420" t="s">
        <v>781</v>
      </c>
      <c r="F118" s="421">
        <f t="shared" si="2"/>
        <v>0</v>
      </c>
      <c r="G118" s="421"/>
      <c r="H118" s="422"/>
      <c r="I118" s="485">
        <v>800</v>
      </c>
      <c r="J118" s="1421">
        <v>0</v>
      </c>
      <c r="K118" s="1235"/>
      <c r="L118" s="407"/>
    </row>
    <row r="119" spans="1:12" ht="17.25">
      <c r="A119" s="606">
        <v>113</v>
      </c>
      <c r="B119" s="923"/>
      <c r="C119" s="913">
        <v>4</v>
      </c>
      <c r="D119" s="436" t="s">
        <v>95</v>
      </c>
      <c r="E119" s="420" t="s">
        <v>781</v>
      </c>
      <c r="F119" s="421">
        <f t="shared" si="2"/>
        <v>0</v>
      </c>
      <c r="G119" s="421"/>
      <c r="H119" s="422"/>
      <c r="I119" s="485">
        <v>579830</v>
      </c>
      <c r="J119" s="1421">
        <v>0</v>
      </c>
      <c r="K119" s="1235"/>
      <c r="L119" s="407"/>
    </row>
    <row r="120" spans="1:12" ht="33">
      <c r="A120" s="606">
        <v>114</v>
      </c>
      <c r="B120" s="923"/>
      <c r="C120" s="913">
        <v>5</v>
      </c>
      <c r="D120" s="427" t="s">
        <v>96</v>
      </c>
      <c r="E120" s="420" t="s">
        <v>781</v>
      </c>
      <c r="F120" s="421">
        <f t="shared" si="2"/>
        <v>0</v>
      </c>
      <c r="G120" s="421"/>
      <c r="H120" s="422"/>
      <c r="I120" s="485">
        <v>25000</v>
      </c>
      <c r="J120" s="1421">
        <v>0</v>
      </c>
      <c r="K120" s="1235"/>
      <c r="L120" s="407"/>
    </row>
    <row r="121" spans="1:12" ht="17.25">
      <c r="A121" s="606">
        <v>115</v>
      </c>
      <c r="B121" s="923"/>
      <c r="C121" s="913">
        <v>6</v>
      </c>
      <c r="D121" s="398" t="s">
        <v>97</v>
      </c>
      <c r="E121" s="420" t="s">
        <v>781</v>
      </c>
      <c r="F121" s="421">
        <f t="shared" si="2"/>
        <v>0</v>
      </c>
      <c r="G121" s="421"/>
      <c r="H121" s="422"/>
      <c r="I121" s="485"/>
      <c r="J121" s="1421">
        <v>0</v>
      </c>
      <c r="K121" s="1235"/>
      <c r="L121" s="407"/>
    </row>
    <row r="122" spans="1:12" ht="17.25">
      <c r="A122" s="606">
        <v>116</v>
      </c>
      <c r="B122" s="924"/>
      <c r="C122" s="913">
        <v>7</v>
      </c>
      <c r="D122" s="419" t="s">
        <v>100</v>
      </c>
      <c r="E122" s="420" t="s">
        <v>781</v>
      </c>
      <c r="F122" s="421">
        <f t="shared" si="2"/>
        <v>0</v>
      </c>
      <c r="G122" s="421"/>
      <c r="H122" s="422"/>
      <c r="I122" s="485"/>
      <c r="J122" s="1421">
        <v>0</v>
      </c>
      <c r="K122" s="1235"/>
      <c r="L122" s="407"/>
    </row>
    <row r="123" spans="1:12" ht="49.5">
      <c r="A123" s="606">
        <v>117</v>
      </c>
      <c r="B123" s="923"/>
      <c r="C123" s="913">
        <v>8</v>
      </c>
      <c r="D123" s="398" t="s">
        <v>671</v>
      </c>
      <c r="E123" s="420" t="s">
        <v>781</v>
      </c>
      <c r="F123" s="421">
        <f t="shared" si="2"/>
        <v>29748</v>
      </c>
      <c r="G123" s="421"/>
      <c r="H123" s="422"/>
      <c r="I123" s="485"/>
      <c r="J123" s="1421">
        <v>29748</v>
      </c>
      <c r="K123" s="1235"/>
      <c r="L123" s="407"/>
    </row>
    <row r="124" spans="1:12" ht="33">
      <c r="A124" s="606">
        <v>118</v>
      </c>
      <c r="B124" s="923"/>
      <c r="C124" s="913">
        <v>9</v>
      </c>
      <c r="D124" s="398" t="s">
        <v>1123</v>
      </c>
      <c r="E124" s="420" t="s">
        <v>781</v>
      </c>
      <c r="F124" s="421">
        <f t="shared" si="2"/>
        <v>2000</v>
      </c>
      <c r="G124" s="421"/>
      <c r="H124" s="422"/>
      <c r="I124" s="485"/>
      <c r="J124" s="1421">
        <v>2000</v>
      </c>
      <c r="K124" s="1235"/>
      <c r="L124" s="407"/>
    </row>
    <row r="125" spans="1:12" ht="33">
      <c r="A125" s="606">
        <v>119</v>
      </c>
      <c r="B125" s="923"/>
      <c r="C125" s="913">
        <v>10</v>
      </c>
      <c r="D125" s="398" t="s">
        <v>1241</v>
      </c>
      <c r="E125" s="420" t="s">
        <v>781</v>
      </c>
      <c r="F125" s="421">
        <f t="shared" si="2"/>
        <v>35000</v>
      </c>
      <c r="G125" s="421"/>
      <c r="H125" s="422"/>
      <c r="I125" s="485"/>
      <c r="J125" s="1421">
        <v>35000</v>
      </c>
      <c r="K125" s="1235">
        <v>35000</v>
      </c>
      <c r="L125" s="407"/>
    </row>
    <row r="126" spans="1:12" ht="31.5" customHeight="1" thickBot="1">
      <c r="A126" s="606">
        <v>120</v>
      </c>
      <c r="B126" s="925"/>
      <c r="C126" s="914"/>
      <c r="D126" s="430" t="s">
        <v>101</v>
      </c>
      <c r="E126" s="429"/>
      <c r="F126" s="431">
        <f>SUM(F116:F125)</f>
        <v>66748</v>
      </c>
      <c r="G126" s="431">
        <f>SUM(G116:G123)</f>
        <v>0</v>
      </c>
      <c r="H126" s="431">
        <f>SUM(H116:H123)</f>
        <v>0</v>
      </c>
      <c r="I126" s="486">
        <f>SUM(I116:I123)</f>
        <v>748630</v>
      </c>
      <c r="J126" s="431">
        <f>SUM(J116:J125)</f>
        <v>66748</v>
      </c>
      <c r="K126" s="1228">
        <f>SUM(K116:K125)</f>
        <v>35000</v>
      </c>
      <c r="L126" s="407"/>
    </row>
    <row r="127" spans="1:253" s="935" customFormat="1" ht="31.5" customHeight="1" thickTop="1">
      <c r="A127" s="605">
        <v>121</v>
      </c>
      <c r="B127" s="927"/>
      <c r="C127" s="1214"/>
      <c r="D127" s="438" t="s">
        <v>848</v>
      </c>
      <c r="E127" s="439"/>
      <c r="F127" s="440"/>
      <c r="G127" s="440"/>
      <c r="H127" s="441"/>
      <c r="I127" s="487"/>
      <c r="J127" s="1422"/>
      <c r="K127" s="1236"/>
      <c r="L127" s="477"/>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79"/>
      <c r="AJ127" s="479"/>
      <c r="AK127" s="479"/>
      <c r="AL127" s="479"/>
      <c r="AM127" s="479"/>
      <c r="AN127" s="479"/>
      <c r="AO127" s="479"/>
      <c r="AP127" s="479"/>
      <c r="AQ127" s="479"/>
      <c r="AR127" s="479"/>
      <c r="AS127" s="479"/>
      <c r="AT127" s="479"/>
      <c r="AU127" s="479"/>
      <c r="AV127" s="479"/>
      <c r="AW127" s="479"/>
      <c r="AX127" s="479"/>
      <c r="AY127" s="479"/>
      <c r="AZ127" s="479"/>
      <c r="BA127" s="479"/>
      <c r="BB127" s="479"/>
      <c r="BC127" s="479"/>
      <c r="BD127" s="479"/>
      <c r="BE127" s="479"/>
      <c r="BF127" s="479"/>
      <c r="BG127" s="479"/>
      <c r="BH127" s="479"/>
      <c r="BI127" s="479"/>
      <c r="BJ127" s="479"/>
      <c r="BK127" s="479"/>
      <c r="BL127" s="479"/>
      <c r="BM127" s="479"/>
      <c r="BN127" s="479"/>
      <c r="BO127" s="479"/>
      <c r="BP127" s="479"/>
      <c r="BQ127" s="479"/>
      <c r="BR127" s="479"/>
      <c r="BS127" s="479"/>
      <c r="BT127" s="479"/>
      <c r="BU127" s="479"/>
      <c r="BV127" s="479"/>
      <c r="BW127" s="479"/>
      <c r="BX127" s="479"/>
      <c r="BY127" s="479"/>
      <c r="BZ127" s="479"/>
      <c r="CA127" s="479"/>
      <c r="CB127" s="479"/>
      <c r="CC127" s="479"/>
      <c r="CD127" s="479"/>
      <c r="CE127" s="479"/>
      <c r="CF127" s="479"/>
      <c r="CG127" s="479"/>
      <c r="CH127" s="479"/>
      <c r="CI127" s="479"/>
      <c r="CJ127" s="479"/>
      <c r="CK127" s="479"/>
      <c r="CL127" s="479"/>
      <c r="CM127" s="479"/>
      <c r="CN127" s="479"/>
      <c r="CO127" s="479"/>
      <c r="CP127" s="479"/>
      <c r="CQ127" s="479"/>
      <c r="CR127" s="479"/>
      <c r="CS127" s="479"/>
      <c r="CT127" s="479"/>
      <c r="CU127" s="479"/>
      <c r="CV127" s="479"/>
      <c r="CW127" s="479"/>
      <c r="CX127" s="479"/>
      <c r="CY127" s="479"/>
      <c r="CZ127" s="479"/>
      <c r="DA127" s="479"/>
      <c r="DB127" s="479"/>
      <c r="DC127" s="479"/>
      <c r="DD127" s="479"/>
      <c r="DE127" s="479"/>
      <c r="DF127" s="479"/>
      <c r="DG127" s="479"/>
      <c r="DH127" s="479"/>
      <c r="DI127" s="479"/>
      <c r="DJ127" s="479"/>
      <c r="DK127" s="479"/>
      <c r="DL127" s="479"/>
      <c r="DM127" s="479"/>
      <c r="DN127" s="479"/>
      <c r="DO127" s="479"/>
      <c r="DP127" s="479"/>
      <c r="DQ127" s="479"/>
      <c r="DR127" s="479"/>
      <c r="DS127" s="479"/>
      <c r="DT127" s="479"/>
      <c r="DU127" s="479"/>
      <c r="DV127" s="479"/>
      <c r="DW127" s="479"/>
      <c r="DX127" s="479"/>
      <c r="DY127" s="479"/>
      <c r="DZ127" s="479"/>
      <c r="EA127" s="479"/>
      <c r="EB127" s="479"/>
      <c r="EC127" s="479"/>
      <c r="ED127" s="479"/>
      <c r="EE127" s="479"/>
      <c r="EF127" s="479"/>
      <c r="EG127" s="479"/>
      <c r="EH127" s="479"/>
      <c r="EI127" s="479"/>
      <c r="EJ127" s="479"/>
      <c r="EK127" s="479"/>
      <c r="EL127" s="479"/>
      <c r="EM127" s="479"/>
      <c r="EN127" s="479"/>
      <c r="EO127" s="479"/>
      <c r="EP127" s="479"/>
      <c r="EQ127" s="479"/>
      <c r="ER127" s="479"/>
      <c r="ES127" s="479"/>
      <c r="ET127" s="479"/>
      <c r="EU127" s="479"/>
      <c r="EV127" s="479"/>
      <c r="EW127" s="479"/>
      <c r="EX127" s="479"/>
      <c r="EY127" s="479"/>
      <c r="EZ127" s="479"/>
      <c r="FA127" s="479"/>
      <c r="FB127" s="479"/>
      <c r="FC127" s="479"/>
      <c r="FD127" s="479"/>
      <c r="FE127" s="479"/>
      <c r="FF127" s="479"/>
      <c r="FG127" s="479"/>
      <c r="FH127" s="479"/>
      <c r="FI127" s="479"/>
      <c r="FJ127" s="479"/>
      <c r="FK127" s="479"/>
      <c r="FL127" s="479"/>
      <c r="FM127" s="479"/>
      <c r="FN127" s="479"/>
      <c r="FO127" s="479"/>
      <c r="FP127" s="479"/>
      <c r="FQ127" s="479"/>
      <c r="FR127" s="479"/>
      <c r="FS127" s="479"/>
      <c r="FT127" s="479"/>
      <c r="FU127" s="479"/>
      <c r="FV127" s="479"/>
      <c r="FW127" s="479"/>
      <c r="FX127" s="479"/>
      <c r="FY127" s="479"/>
      <c r="FZ127" s="479"/>
      <c r="GA127" s="479"/>
      <c r="GB127" s="479"/>
      <c r="GC127" s="479"/>
      <c r="GD127" s="479"/>
      <c r="GE127" s="479"/>
      <c r="GF127" s="479"/>
      <c r="GG127" s="479"/>
      <c r="GH127" s="479"/>
      <c r="GI127" s="479"/>
      <c r="GJ127" s="479"/>
      <c r="GK127" s="479"/>
      <c r="GL127" s="479"/>
      <c r="GM127" s="479"/>
      <c r="GN127" s="479"/>
      <c r="GO127" s="479"/>
      <c r="GP127" s="479"/>
      <c r="GQ127" s="479"/>
      <c r="GR127" s="479"/>
      <c r="GS127" s="479"/>
      <c r="GT127" s="479"/>
      <c r="GU127" s="479"/>
      <c r="GV127" s="479"/>
      <c r="GW127" s="479"/>
      <c r="GX127" s="479"/>
      <c r="GY127" s="479"/>
      <c r="GZ127" s="479"/>
      <c r="HA127" s="479"/>
      <c r="HB127" s="479"/>
      <c r="HC127" s="479"/>
      <c r="HD127" s="479"/>
      <c r="HE127" s="479"/>
      <c r="HF127" s="479"/>
      <c r="HG127" s="479"/>
      <c r="HH127" s="479"/>
      <c r="HI127" s="479"/>
      <c r="HJ127" s="479"/>
      <c r="HK127" s="479"/>
      <c r="HL127" s="479"/>
      <c r="HM127" s="479"/>
      <c r="HN127" s="479"/>
      <c r="HO127" s="479"/>
      <c r="HP127" s="479"/>
      <c r="HQ127" s="479"/>
      <c r="HR127" s="479"/>
      <c r="HS127" s="479"/>
      <c r="HT127" s="479"/>
      <c r="HU127" s="479"/>
      <c r="HV127" s="479"/>
      <c r="HW127" s="479"/>
      <c r="HX127" s="479"/>
      <c r="HY127" s="479"/>
      <c r="HZ127" s="479"/>
      <c r="IA127" s="479"/>
      <c r="IB127" s="479"/>
      <c r="IC127" s="479"/>
      <c r="ID127" s="479"/>
      <c r="IE127" s="479"/>
      <c r="IF127" s="479"/>
      <c r="IG127" s="479"/>
      <c r="IH127" s="479"/>
      <c r="II127" s="479"/>
      <c r="IJ127" s="479"/>
      <c r="IK127" s="479"/>
      <c r="IL127" s="479"/>
      <c r="IM127" s="479"/>
      <c r="IN127" s="479"/>
      <c r="IO127" s="479"/>
      <c r="IP127" s="479"/>
      <c r="IQ127" s="479"/>
      <c r="IR127" s="479"/>
      <c r="IS127" s="479"/>
    </row>
    <row r="128" spans="1:253" ht="17.25">
      <c r="A128" s="606">
        <v>122</v>
      </c>
      <c r="B128" s="923">
        <v>1</v>
      </c>
      <c r="C128" s="913"/>
      <c r="D128" s="442" t="s">
        <v>1327</v>
      </c>
      <c r="E128" s="443"/>
      <c r="F128" s="444"/>
      <c r="G128" s="445"/>
      <c r="H128" s="446"/>
      <c r="I128" s="488"/>
      <c r="J128" s="444"/>
      <c r="K128" s="858"/>
      <c r="L128" s="477"/>
      <c r="M128" s="476"/>
      <c r="N128" s="476"/>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476"/>
      <c r="CR128" s="476"/>
      <c r="CS128" s="476"/>
      <c r="CT128" s="476"/>
      <c r="CU128" s="476"/>
      <c r="CV128" s="476"/>
      <c r="CW128" s="476"/>
      <c r="CX128" s="476"/>
      <c r="CY128" s="476"/>
      <c r="CZ128" s="476"/>
      <c r="DA128" s="476"/>
      <c r="DB128" s="476"/>
      <c r="DC128" s="476"/>
      <c r="DD128" s="476"/>
      <c r="DE128" s="476"/>
      <c r="DF128" s="476"/>
      <c r="DG128" s="476"/>
      <c r="DH128" s="476"/>
      <c r="DI128" s="476"/>
      <c r="DJ128" s="476"/>
      <c r="DK128" s="476"/>
      <c r="DL128" s="476"/>
      <c r="DM128" s="476"/>
      <c r="DN128" s="476"/>
      <c r="DO128" s="476"/>
      <c r="DP128" s="476"/>
      <c r="DQ128" s="476"/>
      <c r="DR128" s="476"/>
      <c r="DS128" s="476"/>
      <c r="DT128" s="476"/>
      <c r="DU128" s="476"/>
      <c r="DV128" s="476"/>
      <c r="DW128" s="476"/>
      <c r="DX128" s="476"/>
      <c r="DY128" s="476"/>
      <c r="DZ128" s="476"/>
      <c r="EA128" s="476"/>
      <c r="EB128" s="476"/>
      <c r="EC128" s="476"/>
      <c r="ED128" s="476"/>
      <c r="EE128" s="476"/>
      <c r="EF128" s="476"/>
      <c r="EG128" s="476"/>
      <c r="EH128" s="476"/>
      <c r="EI128" s="476"/>
      <c r="EJ128" s="476"/>
      <c r="EK128" s="476"/>
      <c r="EL128" s="476"/>
      <c r="EM128" s="476"/>
      <c r="EN128" s="476"/>
      <c r="EO128" s="476"/>
      <c r="EP128" s="476"/>
      <c r="EQ128" s="476"/>
      <c r="ER128" s="476"/>
      <c r="ES128" s="476"/>
      <c r="ET128" s="476"/>
      <c r="EU128" s="476"/>
      <c r="EV128" s="476"/>
      <c r="EW128" s="476"/>
      <c r="EX128" s="476"/>
      <c r="EY128" s="476"/>
      <c r="EZ128" s="476"/>
      <c r="FA128" s="476"/>
      <c r="FB128" s="476"/>
      <c r="FC128" s="476"/>
      <c r="FD128" s="476"/>
      <c r="FE128" s="476"/>
      <c r="FF128" s="476"/>
      <c r="FG128" s="476"/>
      <c r="FH128" s="476"/>
      <c r="FI128" s="476"/>
      <c r="FJ128" s="476"/>
      <c r="FK128" s="476"/>
      <c r="FL128" s="476"/>
      <c r="FM128" s="476"/>
      <c r="FN128" s="476"/>
      <c r="FO128" s="476"/>
      <c r="FP128" s="476"/>
      <c r="FQ128" s="476"/>
      <c r="FR128" s="476"/>
      <c r="FS128" s="476"/>
      <c r="FT128" s="476"/>
      <c r="FU128" s="476"/>
      <c r="FV128" s="476"/>
      <c r="FW128" s="476"/>
      <c r="FX128" s="476"/>
      <c r="FY128" s="476"/>
      <c r="FZ128" s="476"/>
      <c r="GA128" s="476"/>
      <c r="GB128" s="476"/>
      <c r="GC128" s="476"/>
      <c r="GD128" s="476"/>
      <c r="GE128" s="476"/>
      <c r="GF128" s="476"/>
      <c r="GG128" s="476"/>
      <c r="GH128" s="476"/>
      <c r="GI128" s="476"/>
      <c r="GJ128" s="476"/>
      <c r="GK128" s="476"/>
      <c r="GL128" s="476"/>
      <c r="GM128" s="476"/>
      <c r="GN128" s="476"/>
      <c r="GO128" s="476"/>
      <c r="GP128" s="476"/>
      <c r="GQ128" s="476"/>
      <c r="GR128" s="476"/>
      <c r="GS128" s="476"/>
      <c r="GT128" s="476"/>
      <c r="GU128" s="476"/>
      <c r="GV128" s="476"/>
      <c r="GW128" s="476"/>
      <c r="GX128" s="476"/>
      <c r="GY128" s="476"/>
      <c r="GZ128" s="476"/>
      <c r="HA128" s="476"/>
      <c r="HB128" s="476"/>
      <c r="HC128" s="476"/>
      <c r="HD128" s="476"/>
      <c r="HE128" s="476"/>
      <c r="HF128" s="476"/>
      <c r="HG128" s="476"/>
      <c r="HH128" s="476"/>
      <c r="HI128" s="476"/>
      <c r="HJ128" s="476"/>
      <c r="HK128" s="476"/>
      <c r="HL128" s="476"/>
      <c r="HM128" s="476"/>
      <c r="HN128" s="476"/>
      <c r="HO128" s="476"/>
      <c r="HP128" s="476"/>
      <c r="HQ128" s="476"/>
      <c r="HR128" s="476"/>
      <c r="HS128" s="476"/>
      <c r="HT128" s="476"/>
      <c r="HU128" s="476"/>
      <c r="HV128" s="476"/>
      <c r="HW128" s="476"/>
      <c r="HX128" s="476"/>
      <c r="HY128" s="476"/>
      <c r="HZ128" s="476"/>
      <c r="IA128" s="476"/>
      <c r="IB128" s="476"/>
      <c r="IC128" s="476"/>
      <c r="ID128" s="476"/>
      <c r="IE128" s="476"/>
      <c r="IF128" s="476"/>
      <c r="IG128" s="476"/>
      <c r="IH128" s="476"/>
      <c r="II128" s="476"/>
      <c r="IJ128" s="476"/>
      <c r="IK128" s="476"/>
      <c r="IL128" s="476"/>
      <c r="IM128" s="476"/>
      <c r="IN128" s="476"/>
      <c r="IO128" s="476"/>
      <c r="IP128" s="476"/>
      <c r="IQ128" s="476"/>
      <c r="IR128" s="476"/>
      <c r="IS128" s="476"/>
    </row>
    <row r="129" spans="1:253" ht="82.5">
      <c r="A129" s="606">
        <v>123</v>
      </c>
      <c r="B129" s="923"/>
      <c r="C129" s="913">
        <v>1</v>
      </c>
      <c r="D129" s="419" t="s">
        <v>1325</v>
      </c>
      <c r="E129" s="420" t="s">
        <v>781</v>
      </c>
      <c r="F129" s="444">
        <f aca="true" t="shared" si="3" ref="F129:F211">SUM(G129:H129,J129)</f>
        <v>2761</v>
      </c>
      <c r="G129" s="444"/>
      <c r="H129" s="447"/>
      <c r="I129" s="489">
        <v>640</v>
      </c>
      <c r="J129" s="444">
        <v>2761</v>
      </c>
      <c r="K129" s="859">
        <v>1927</v>
      </c>
      <c r="L129" s="407"/>
      <c r="M129" s="478"/>
      <c r="N129" s="478"/>
      <c r="O129" s="478"/>
      <c r="P129" s="478"/>
      <c r="Q129" s="478"/>
      <c r="R129" s="478"/>
      <c r="S129" s="478"/>
      <c r="T129" s="478"/>
      <c r="U129" s="478"/>
      <c r="V129" s="478"/>
      <c r="W129" s="478"/>
      <c r="X129" s="478"/>
      <c r="Y129" s="478"/>
      <c r="Z129" s="478"/>
      <c r="AA129" s="478"/>
      <c r="AB129" s="478"/>
      <c r="AC129" s="478"/>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78"/>
      <c r="AY129" s="478"/>
      <c r="AZ129" s="478"/>
      <c r="BA129" s="478"/>
      <c r="BB129" s="478"/>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8"/>
      <c r="BX129" s="478"/>
      <c r="BY129" s="478"/>
      <c r="BZ129" s="478"/>
      <c r="CA129" s="478"/>
      <c r="CB129" s="478"/>
      <c r="CC129" s="478"/>
      <c r="CD129" s="478"/>
      <c r="CE129" s="478"/>
      <c r="CF129" s="478"/>
      <c r="CG129" s="478"/>
      <c r="CH129" s="478"/>
      <c r="CI129" s="478"/>
      <c r="CJ129" s="478"/>
      <c r="CK129" s="478"/>
      <c r="CL129" s="478"/>
      <c r="CM129" s="478"/>
      <c r="CN129" s="478"/>
      <c r="CO129" s="478"/>
      <c r="CP129" s="478"/>
      <c r="CQ129" s="478"/>
      <c r="CR129" s="478"/>
      <c r="CS129" s="478"/>
      <c r="CT129" s="478"/>
      <c r="CU129" s="478"/>
      <c r="CV129" s="478"/>
      <c r="CW129" s="478"/>
      <c r="CX129" s="478"/>
      <c r="CY129" s="478"/>
      <c r="CZ129" s="478"/>
      <c r="DA129" s="478"/>
      <c r="DB129" s="478"/>
      <c r="DC129" s="478"/>
      <c r="DD129" s="478"/>
      <c r="DE129" s="478"/>
      <c r="DF129" s="478"/>
      <c r="DG129" s="478"/>
      <c r="DH129" s="478"/>
      <c r="DI129" s="478"/>
      <c r="DJ129" s="478"/>
      <c r="DK129" s="478"/>
      <c r="DL129" s="478"/>
      <c r="DM129" s="478"/>
      <c r="DN129" s="478"/>
      <c r="DO129" s="478"/>
      <c r="DP129" s="478"/>
      <c r="DQ129" s="478"/>
      <c r="DR129" s="478"/>
      <c r="DS129" s="478"/>
      <c r="DT129" s="478"/>
      <c r="DU129" s="478"/>
      <c r="DV129" s="478"/>
      <c r="DW129" s="478"/>
      <c r="DX129" s="478"/>
      <c r="DY129" s="478"/>
      <c r="DZ129" s="478"/>
      <c r="EA129" s="478"/>
      <c r="EB129" s="478"/>
      <c r="EC129" s="478"/>
      <c r="ED129" s="478"/>
      <c r="EE129" s="478"/>
      <c r="EF129" s="478"/>
      <c r="EG129" s="478"/>
      <c r="EH129" s="478"/>
      <c r="EI129" s="478"/>
      <c r="EJ129" s="478"/>
      <c r="EK129" s="478"/>
      <c r="EL129" s="478"/>
      <c r="EM129" s="478"/>
      <c r="EN129" s="478"/>
      <c r="EO129" s="478"/>
      <c r="EP129" s="478"/>
      <c r="EQ129" s="478"/>
      <c r="ER129" s="478"/>
      <c r="ES129" s="478"/>
      <c r="ET129" s="478"/>
      <c r="EU129" s="478"/>
      <c r="EV129" s="478"/>
      <c r="EW129" s="478"/>
      <c r="EX129" s="478"/>
      <c r="EY129" s="478"/>
      <c r="EZ129" s="478"/>
      <c r="FA129" s="478"/>
      <c r="FB129" s="478"/>
      <c r="FC129" s="478"/>
      <c r="FD129" s="478"/>
      <c r="FE129" s="478"/>
      <c r="FF129" s="478"/>
      <c r="FG129" s="478"/>
      <c r="FH129" s="478"/>
      <c r="FI129" s="478"/>
      <c r="FJ129" s="478"/>
      <c r="FK129" s="478"/>
      <c r="FL129" s="478"/>
      <c r="FM129" s="478"/>
      <c r="FN129" s="478"/>
      <c r="FO129" s="478"/>
      <c r="FP129" s="478"/>
      <c r="FQ129" s="478"/>
      <c r="FR129" s="478"/>
      <c r="FS129" s="478"/>
      <c r="FT129" s="478"/>
      <c r="FU129" s="478"/>
      <c r="FV129" s="478"/>
      <c r="FW129" s="478"/>
      <c r="FX129" s="478"/>
      <c r="FY129" s="478"/>
      <c r="FZ129" s="478"/>
      <c r="GA129" s="478"/>
      <c r="GB129" s="478"/>
      <c r="GC129" s="478"/>
      <c r="GD129" s="478"/>
      <c r="GE129" s="478"/>
      <c r="GF129" s="478"/>
      <c r="GG129" s="478"/>
      <c r="GH129" s="478"/>
      <c r="GI129" s="478"/>
      <c r="GJ129" s="478"/>
      <c r="GK129" s="478"/>
      <c r="GL129" s="478"/>
      <c r="GM129" s="478"/>
      <c r="GN129" s="478"/>
      <c r="GO129" s="478"/>
      <c r="GP129" s="478"/>
      <c r="GQ129" s="478"/>
      <c r="GR129" s="478"/>
      <c r="GS129" s="478"/>
      <c r="GT129" s="478"/>
      <c r="GU129" s="478"/>
      <c r="GV129" s="478"/>
      <c r="GW129" s="478"/>
      <c r="GX129" s="478"/>
      <c r="GY129" s="478"/>
      <c r="GZ129" s="478"/>
      <c r="HA129" s="478"/>
      <c r="HB129" s="478"/>
      <c r="HC129" s="478"/>
      <c r="HD129" s="478"/>
      <c r="HE129" s="478"/>
      <c r="HF129" s="478"/>
      <c r="HG129" s="478"/>
      <c r="HH129" s="478"/>
      <c r="HI129" s="478"/>
      <c r="HJ129" s="478"/>
      <c r="HK129" s="478"/>
      <c r="HL129" s="478"/>
      <c r="HM129" s="478"/>
      <c r="HN129" s="478"/>
      <c r="HO129" s="478"/>
      <c r="HP129" s="478"/>
      <c r="HQ129" s="478"/>
      <c r="HR129" s="478"/>
      <c r="HS129" s="478"/>
      <c r="HT129" s="478"/>
      <c r="HU129" s="478"/>
      <c r="HV129" s="478"/>
      <c r="HW129" s="478"/>
      <c r="HX129" s="478"/>
      <c r="HY129" s="478"/>
      <c r="HZ129" s="478"/>
      <c r="IA129" s="478"/>
      <c r="IB129" s="478"/>
      <c r="IC129" s="478"/>
      <c r="ID129" s="478"/>
      <c r="IE129" s="478"/>
      <c r="IF129" s="478"/>
      <c r="IG129" s="478"/>
      <c r="IH129" s="478"/>
      <c r="II129" s="478"/>
      <c r="IJ129" s="478"/>
      <c r="IK129" s="478"/>
      <c r="IL129" s="478"/>
      <c r="IM129" s="478"/>
      <c r="IN129" s="478"/>
      <c r="IO129" s="478"/>
      <c r="IP129" s="478"/>
      <c r="IQ129" s="478"/>
      <c r="IR129" s="478"/>
      <c r="IS129" s="478"/>
    </row>
    <row r="130" spans="1:253" ht="17.25">
      <c r="A130" s="606">
        <v>124</v>
      </c>
      <c r="B130" s="923"/>
      <c r="C130" s="913">
        <v>2</v>
      </c>
      <c r="D130" s="419" t="s">
        <v>102</v>
      </c>
      <c r="E130" s="420" t="s">
        <v>781</v>
      </c>
      <c r="F130" s="444">
        <f t="shared" si="3"/>
        <v>778</v>
      </c>
      <c r="G130" s="444"/>
      <c r="H130" s="447"/>
      <c r="I130" s="489"/>
      <c r="J130" s="444">
        <v>778</v>
      </c>
      <c r="K130" s="859">
        <v>778</v>
      </c>
      <c r="L130" s="407"/>
      <c r="M130" s="478"/>
      <c r="N130" s="478"/>
      <c r="O130" s="478"/>
      <c r="P130" s="478"/>
      <c r="Q130" s="478"/>
      <c r="R130" s="478"/>
      <c r="S130" s="478"/>
      <c r="T130" s="478"/>
      <c r="U130" s="478"/>
      <c r="V130" s="478"/>
      <c r="W130" s="478"/>
      <c r="X130" s="478"/>
      <c r="Y130" s="478"/>
      <c r="Z130" s="478"/>
      <c r="AA130" s="478"/>
      <c r="AB130" s="478"/>
      <c r="AC130" s="478"/>
      <c r="AD130" s="478"/>
      <c r="AE130" s="478"/>
      <c r="AF130" s="478"/>
      <c r="AG130" s="478"/>
      <c r="AH130" s="478"/>
      <c r="AI130" s="478"/>
      <c r="AJ130" s="478"/>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c r="BY130" s="478"/>
      <c r="BZ130" s="478"/>
      <c r="CA130" s="478"/>
      <c r="CB130" s="478"/>
      <c r="CC130" s="478"/>
      <c r="CD130" s="478"/>
      <c r="CE130" s="478"/>
      <c r="CF130" s="478"/>
      <c r="CG130" s="478"/>
      <c r="CH130" s="478"/>
      <c r="CI130" s="478"/>
      <c r="CJ130" s="478"/>
      <c r="CK130" s="478"/>
      <c r="CL130" s="478"/>
      <c r="CM130" s="478"/>
      <c r="CN130" s="478"/>
      <c r="CO130" s="478"/>
      <c r="CP130" s="478"/>
      <c r="CQ130" s="478"/>
      <c r="CR130" s="478"/>
      <c r="CS130" s="478"/>
      <c r="CT130" s="478"/>
      <c r="CU130" s="478"/>
      <c r="CV130" s="478"/>
      <c r="CW130" s="478"/>
      <c r="CX130" s="478"/>
      <c r="CY130" s="478"/>
      <c r="CZ130" s="478"/>
      <c r="DA130" s="478"/>
      <c r="DB130" s="478"/>
      <c r="DC130" s="478"/>
      <c r="DD130" s="478"/>
      <c r="DE130" s="478"/>
      <c r="DF130" s="478"/>
      <c r="DG130" s="478"/>
      <c r="DH130" s="478"/>
      <c r="DI130" s="478"/>
      <c r="DJ130" s="478"/>
      <c r="DK130" s="478"/>
      <c r="DL130" s="478"/>
      <c r="DM130" s="478"/>
      <c r="DN130" s="478"/>
      <c r="DO130" s="478"/>
      <c r="DP130" s="478"/>
      <c r="DQ130" s="478"/>
      <c r="DR130" s="478"/>
      <c r="DS130" s="478"/>
      <c r="DT130" s="478"/>
      <c r="DU130" s="478"/>
      <c r="DV130" s="478"/>
      <c r="DW130" s="478"/>
      <c r="DX130" s="478"/>
      <c r="DY130" s="478"/>
      <c r="DZ130" s="478"/>
      <c r="EA130" s="478"/>
      <c r="EB130" s="478"/>
      <c r="EC130" s="478"/>
      <c r="ED130" s="478"/>
      <c r="EE130" s="478"/>
      <c r="EF130" s="478"/>
      <c r="EG130" s="478"/>
      <c r="EH130" s="478"/>
      <c r="EI130" s="478"/>
      <c r="EJ130" s="478"/>
      <c r="EK130" s="478"/>
      <c r="EL130" s="478"/>
      <c r="EM130" s="478"/>
      <c r="EN130" s="478"/>
      <c r="EO130" s="478"/>
      <c r="EP130" s="478"/>
      <c r="EQ130" s="478"/>
      <c r="ER130" s="478"/>
      <c r="ES130" s="478"/>
      <c r="ET130" s="478"/>
      <c r="EU130" s="478"/>
      <c r="EV130" s="478"/>
      <c r="EW130" s="478"/>
      <c r="EX130" s="478"/>
      <c r="EY130" s="478"/>
      <c r="EZ130" s="478"/>
      <c r="FA130" s="478"/>
      <c r="FB130" s="478"/>
      <c r="FC130" s="478"/>
      <c r="FD130" s="478"/>
      <c r="FE130" s="478"/>
      <c r="FF130" s="478"/>
      <c r="FG130" s="478"/>
      <c r="FH130" s="478"/>
      <c r="FI130" s="478"/>
      <c r="FJ130" s="478"/>
      <c r="FK130" s="478"/>
      <c r="FL130" s="478"/>
      <c r="FM130" s="478"/>
      <c r="FN130" s="478"/>
      <c r="FO130" s="478"/>
      <c r="FP130" s="478"/>
      <c r="FQ130" s="478"/>
      <c r="FR130" s="478"/>
      <c r="FS130" s="478"/>
      <c r="FT130" s="478"/>
      <c r="FU130" s="478"/>
      <c r="FV130" s="478"/>
      <c r="FW130" s="478"/>
      <c r="FX130" s="478"/>
      <c r="FY130" s="478"/>
      <c r="FZ130" s="478"/>
      <c r="GA130" s="478"/>
      <c r="GB130" s="478"/>
      <c r="GC130" s="478"/>
      <c r="GD130" s="478"/>
      <c r="GE130" s="478"/>
      <c r="GF130" s="478"/>
      <c r="GG130" s="478"/>
      <c r="GH130" s="478"/>
      <c r="GI130" s="478"/>
      <c r="GJ130" s="478"/>
      <c r="GK130" s="478"/>
      <c r="GL130" s="478"/>
      <c r="GM130" s="478"/>
      <c r="GN130" s="478"/>
      <c r="GO130" s="478"/>
      <c r="GP130" s="478"/>
      <c r="GQ130" s="478"/>
      <c r="GR130" s="478"/>
      <c r="GS130" s="478"/>
      <c r="GT130" s="478"/>
      <c r="GU130" s="478"/>
      <c r="GV130" s="478"/>
      <c r="GW130" s="478"/>
      <c r="GX130" s="478"/>
      <c r="GY130" s="478"/>
      <c r="GZ130" s="478"/>
      <c r="HA130" s="478"/>
      <c r="HB130" s="478"/>
      <c r="HC130" s="478"/>
      <c r="HD130" s="478"/>
      <c r="HE130" s="478"/>
      <c r="HF130" s="478"/>
      <c r="HG130" s="478"/>
      <c r="HH130" s="478"/>
      <c r="HI130" s="478"/>
      <c r="HJ130" s="478"/>
      <c r="HK130" s="478"/>
      <c r="HL130" s="478"/>
      <c r="HM130" s="478"/>
      <c r="HN130" s="478"/>
      <c r="HO130" s="478"/>
      <c r="HP130" s="478"/>
      <c r="HQ130" s="478"/>
      <c r="HR130" s="478"/>
      <c r="HS130" s="478"/>
      <c r="HT130" s="478"/>
      <c r="HU130" s="478"/>
      <c r="HV130" s="478"/>
      <c r="HW130" s="478"/>
      <c r="HX130" s="478"/>
      <c r="HY130" s="478"/>
      <c r="HZ130" s="478"/>
      <c r="IA130" s="478"/>
      <c r="IB130" s="478"/>
      <c r="IC130" s="478"/>
      <c r="ID130" s="478"/>
      <c r="IE130" s="478"/>
      <c r="IF130" s="478"/>
      <c r="IG130" s="478"/>
      <c r="IH130" s="478"/>
      <c r="II130" s="478"/>
      <c r="IJ130" s="478"/>
      <c r="IK130" s="478"/>
      <c r="IL130" s="478"/>
      <c r="IM130" s="478"/>
      <c r="IN130" s="478"/>
      <c r="IO130" s="478"/>
      <c r="IP130" s="478"/>
      <c r="IQ130" s="478"/>
      <c r="IR130" s="478"/>
      <c r="IS130" s="478"/>
    </row>
    <row r="131" spans="1:253" ht="17.25">
      <c r="A131" s="606">
        <v>125</v>
      </c>
      <c r="B131" s="923"/>
      <c r="C131" s="913">
        <v>3</v>
      </c>
      <c r="D131" s="419" t="s">
        <v>103</v>
      </c>
      <c r="E131" s="420" t="s">
        <v>781</v>
      </c>
      <c r="F131" s="444">
        <f t="shared" si="3"/>
        <v>250</v>
      </c>
      <c r="G131" s="444"/>
      <c r="H131" s="447"/>
      <c r="I131" s="489"/>
      <c r="J131" s="444">
        <v>250</v>
      </c>
      <c r="K131" s="859">
        <v>250</v>
      </c>
      <c r="L131" s="407"/>
      <c r="M131" s="478"/>
      <c r="N131" s="478"/>
      <c r="O131" s="478"/>
      <c r="P131" s="478"/>
      <c r="Q131" s="478"/>
      <c r="R131" s="478"/>
      <c r="S131" s="478"/>
      <c r="T131" s="478"/>
      <c r="U131" s="478"/>
      <c r="V131" s="478"/>
      <c r="W131" s="478"/>
      <c r="X131" s="478"/>
      <c r="Y131" s="478"/>
      <c r="Z131" s="478"/>
      <c r="AA131" s="478"/>
      <c r="AB131" s="478"/>
      <c r="AC131" s="478"/>
      <c r="AD131" s="478"/>
      <c r="AE131" s="478"/>
      <c r="AF131" s="478"/>
      <c r="AG131" s="478"/>
      <c r="AH131" s="478"/>
      <c r="AI131" s="478"/>
      <c r="AJ131" s="478"/>
      <c r="AK131" s="478"/>
      <c r="AL131" s="478"/>
      <c r="AM131" s="478"/>
      <c r="AN131" s="478"/>
      <c r="AO131" s="478"/>
      <c r="AP131" s="478"/>
      <c r="AQ131" s="478"/>
      <c r="AR131" s="478"/>
      <c r="AS131" s="478"/>
      <c r="AT131" s="478"/>
      <c r="AU131" s="478"/>
      <c r="AV131" s="478"/>
      <c r="AW131" s="478"/>
      <c r="AX131" s="478"/>
      <c r="AY131" s="478"/>
      <c r="AZ131" s="478"/>
      <c r="BA131" s="478"/>
      <c r="BB131" s="478"/>
      <c r="BC131" s="478"/>
      <c r="BD131" s="478"/>
      <c r="BE131" s="478"/>
      <c r="BF131" s="478"/>
      <c r="BG131" s="478"/>
      <c r="BH131" s="478"/>
      <c r="BI131" s="478"/>
      <c r="BJ131" s="478"/>
      <c r="BK131" s="478"/>
      <c r="BL131" s="478"/>
      <c r="BM131" s="478"/>
      <c r="BN131" s="478"/>
      <c r="BO131" s="478"/>
      <c r="BP131" s="478"/>
      <c r="BQ131" s="478"/>
      <c r="BR131" s="478"/>
      <c r="BS131" s="478"/>
      <c r="BT131" s="478"/>
      <c r="BU131" s="478"/>
      <c r="BV131" s="478"/>
      <c r="BW131" s="478"/>
      <c r="BX131" s="478"/>
      <c r="BY131" s="478"/>
      <c r="BZ131" s="478"/>
      <c r="CA131" s="478"/>
      <c r="CB131" s="478"/>
      <c r="CC131" s="478"/>
      <c r="CD131" s="478"/>
      <c r="CE131" s="478"/>
      <c r="CF131" s="478"/>
      <c r="CG131" s="478"/>
      <c r="CH131" s="478"/>
      <c r="CI131" s="478"/>
      <c r="CJ131" s="478"/>
      <c r="CK131" s="478"/>
      <c r="CL131" s="478"/>
      <c r="CM131" s="478"/>
      <c r="CN131" s="478"/>
      <c r="CO131" s="478"/>
      <c r="CP131" s="478"/>
      <c r="CQ131" s="478"/>
      <c r="CR131" s="478"/>
      <c r="CS131" s="478"/>
      <c r="CT131" s="478"/>
      <c r="CU131" s="478"/>
      <c r="CV131" s="478"/>
      <c r="CW131" s="478"/>
      <c r="CX131" s="478"/>
      <c r="CY131" s="478"/>
      <c r="CZ131" s="478"/>
      <c r="DA131" s="478"/>
      <c r="DB131" s="478"/>
      <c r="DC131" s="478"/>
      <c r="DD131" s="478"/>
      <c r="DE131" s="478"/>
      <c r="DF131" s="478"/>
      <c r="DG131" s="478"/>
      <c r="DH131" s="478"/>
      <c r="DI131" s="478"/>
      <c r="DJ131" s="478"/>
      <c r="DK131" s="478"/>
      <c r="DL131" s="478"/>
      <c r="DM131" s="478"/>
      <c r="DN131" s="478"/>
      <c r="DO131" s="478"/>
      <c r="DP131" s="478"/>
      <c r="DQ131" s="478"/>
      <c r="DR131" s="478"/>
      <c r="DS131" s="478"/>
      <c r="DT131" s="478"/>
      <c r="DU131" s="478"/>
      <c r="DV131" s="478"/>
      <c r="DW131" s="478"/>
      <c r="DX131" s="478"/>
      <c r="DY131" s="478"/>
      <c r="DZ131" s="478"/>
      <c r="EA131" s="478"/>
      <c r="EB131" s="478"/>
      <c r="EC131" s="478"/>
      <c r="ED131" s="478"/>
      <c r="EE131" s="478"/>
      <c r="EF131" s="478"/>
      <c r="EG131" s="478"/>
      <c r="EH131" s="478"/>
      <c r="EI131" s="478"/>
      <c r="EJ131" s="478"/>
      <c r="EK131" s="478"/>
      <c r="EL131" s="478"/>
      <c r="EM131" s="478"/>
      <c r="EN131" s="478"/>
      <c r="EO131" s="478"/>
      <c r="EP131" s="478"/>
      <c r="EQ131" s="478"/>
      <c r="ER131" s="478"/>
      <c r="ES131" s="478"/>
      <c r="ET131" s="478"/>
      <c r="EU131" s="478"/>
      <c r="EV131" s="478"/>
      <c r="EW131" s="478"/>
      <c r="EX131" s="478"/>
      <c r="EY131" s="478"/>
      <c r="EZ131" s="478"/>
      <c r="FA131" s="478"/>
      <c r="FB131" s="478"/>
      <c r="FC131" s="478"/>
      <c r="FD131" s="478"/>
      <c r="FE131" s="478"/>
      <c r="FF131" s="478"/>
      <c r="FG131" s="478"/>
      <c r="FH131" s="478"/>
      <c r="FI131" s="478"/>
      <c r="FJ131" s="478"/>
      <c r="FK131" s="478"/>
      <c r="FL131" s="478"/>
      <c r="FM131" s="478"/>
      <c r="FN131" s="478"/>
      <c r="FO131" s="478"/>
      <c r="FP131" s="478"/>
      <c r="FQ131" s="478"/>
      <c r="FR131" s="478"/>
      <c r="FS131" s="478"/>
      <c r="FT131" s="478"/>
      <c r="FU131" s="478"/>
      <c r="FV131" s="478"/>
      <c r="FW131" s="478"/>
      <c r="FX131" s="478"/>
      <c r="FY131" s="478"/>
      <c r="FZ131" s="478"/>
      <c r="GA131" s="478"/>
      <c r="GB131" s="478"/>
      <c r="GC131" s="478"/>
      <c r="GD131" s="478"/>
      <c r="GE131" s="478"/>
      <c r="GF131" s="478"/>
      <c r="GG131" s="478"/>
      <c r="GH131" s="478"/>
      <c r="GI131" s="478"/>
      <c r="GJ131" s="478"/>
      <c r="GK131" s="478"/>
      <c r="GL131" s="478"/>
      <c r="GM131" s="478"/>
      <c r="GN131" s="478"/>
      <c r="GO131" s="478"/>
      <c r="GP131" s="478"/>
      <c r="GQ131" s="478"/>
      <c r="GR131" s="478"/>
      <c r="GS131" s="478"/>
      <c r="GT131" s="478"/>
      <c r="GU131" s="478"/>
      <c r="GV131" s="478"/>
      <c r="GW131" s="478"/>
      <c r="GX131" s="478"/>
      <c r="GY131" s="478"/>
      <c r="GZ131" s="478"/>
      <c r="HA131" s="478"/>
      <c r="HB131" s="478"/>
      <c r="HC131" s="478"/>
      <c r="HD131" s="478"/>
      <c r="HE131" s="478"/>
      <c r="HF131" s="478"/>
      <c r="HG131" s="478"/>
      <c r="HH131" s="478"/>
      <c r="HI131" s="478"/>
      <c r="HJ131" s="478"/>
      <c r="HK131" s="478"/>
      <c r="HL131" s="478"/>
      <c r="HM131" s="478"/>
      <c r="HN131" s="478"/>
      <c r="HO131" s="478"/>
      <c r="HP131" s="478"/>
      <c r="HQ131" s="478"/>
      <c r="HR131" s="478"/>
      <c r="HS131" s="478"/>
      <c r="HT131" s="478"/>
      <c r="HU131" s="478"/>
      <c r="HV131" s="478"/>
      <c r="HW131" s="478"/>
      <c r="HX131" s="478"/>
      <c r="HY131" s="478"/>
      <c r="HZ131" s="478"/>
      <c r="IA131" s="478"/>
      <c r="IB131" s="478"/>
      <c r="IC131" s="478"/>
      <c r="ID131" s="478"/>
      <c r="IE131" s="478"/>
      <c r="IF131" s="478"/>
      <c r="IG131" s="478"/>
      <c r="IH131" s="478"/>
      <c r="II131" s="478"/>
      <c r="IJ131" s="478"/>
      <c r="IK131" s="478"/>
      <c r="IL131" s="478"/>
      <c r="IM131" s="478"/>
      <c r="IN131" s="478"/>
      <c r="IO131" s="478"/>
      <c r="IP131" s="478"/>
      <c r="IQ131" s="478"/>
      <c r="IR131" s="478"/>
      <c r="IS131" s="478"/>
    </row>
    <row r="132" spans="1:253" ht="17.25">
      <c r="A132" s="606">
        <v>126</v>
      </c>
      <c r="B132" s="923"/>
      <c r="C132" s="913">
        <v>4</v>
      </c>
      <c r="D132" s="419" t="s">
        <v>104</v>
      </c>
      <c r="E132" s="420" t="s">
        <v>781</v>
      </c>
      <c r="F132" s="444">
        <f t="shared" si="3"/>
        <v>853</v>
      </c>
      <c r="G132" s="444"/>
      <c r="H132" s="447"/>
      <c r="I132" s="489"/>
      <c r="J132" s="444">
        <v>853</v>
      </c>
      <c r="K132" s="859">
        <v>102</v>
      </c>
      <c r="L132" s="407"/>
      <c r="M132" s="478"/>
      <c r="N132" s="478"/>
      <c r="O132" s="478"/>
      <c r="P132" s="478"/>
      <c r="Q132" s="478"/>
      <c r="R132" s="478"/>
      <c r="S132" s="478"/>
      <c r="T132" s="478"/>
      <c r="U132" s="478"/>
      <c r="V132" s="478"/>
      <c r="W132" s="478"/>
      <c r="X132" s="478"/>
      <c r="Y132" s="478"/>
      <c r="Z132" s="478"/>
      <c r="AA132" s="478"/>
      <c r="AB132" s="478"/>
      <c r="AC132" s="478"/>
      <c r="AD132" s="478"/>
      <c r="AE132" s="478"/>
      <c r="AF132" s="478"/>
      <c r="AG132" s="478"/>
      <c r="AH132" s="478"/>
      <c r="AI132" s="478"/>
      <c r="AJ132" s="478"/>
      <c r="AK132" s="478"/>
      <c r="AL132" s="478"/>
      <c r="AM132" s="478"/>
      <c r="AN132" s="478"/>
      <c r="AO132" s="478"/>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8"/>
      <c r="BU132" s="478"/>
      <c r="BV132" s="478"/>
      <c r="BW132" s="478"/>
      <c r="BX132" s="478"/>
      <c r="BY132" s="478"/>
      <c r="BZ132" s="478"/>
      <c r="CA132" s="478"/>
      <c r="CB132" s="478"/>
      <c r="CC132" s="478"/>
      <c r="CD132" s="478"/>
      <c r="CE132" s="478"/>
      <c r="CF132" s="478"/>
      <c r="CG132" s="478"/>
      <c r="CH132" s="478"/>
      <c r="CI132" s="478"/>
      <c r="CJ132" s="478"/>
      <c r="CK132" s="478"/>
      <c r="CL132" s="478"/>
      <c r="CM132" s="478"/>
      <c r="CN132" s="478"/>
      <c r="CO132" s="478"/>
      <c r="CP132" s="478"/>
      <c r="CQ132" s="478"/>
      <c r="CR132" s="478"/>
      <c r="CS132" s="478"/>
      <c r="CT132" s="478"/>
      <c r="CU132" s="478"/>
      <c r="CV132" s="478"/>
      <c r="CW132" s="478"/>
      <c r="CX132" s="478"/>
      <c r="CY132" s="478"/>
      <c r="CZ132" s="478"/>
      <c r="DA132" s="478"/>
      <c r="DB132" s="478"/>
      <c r="DC132" s="478"/>
      <c r="DD132" s="478"/>
      <c r="DE132" s="478"/>
      <c r="DF132" s="478"/>
      <c r="DG132" s="478"/>
      <c r="DH132" s="478"/>
      <c r="DI132" s="478"/>
      <c r="DJ132" s="478"/>
      <c r="DK132" s="478"/>
      <c r="DL132" s="478"/>
      <c r="DM132" s="478"/>
      <c r="DN132" s="478"/>
      <c r="DO132" s="478"/>
      <c r="DP132" s="478"/>
      <c r="DQ132" s="478"/>
      <c r="DR132" s="478"/>
      <c r="DS132" s="478"/>
      <c r="DT132" s="478"/>
      <c r="DU132" s="478"/>
      <c r="DV132" s="478"/>
      <c r="DW132" s="478"/>
      <c r="DX132" s="478"/>
      <c r="DY132" s="478"/>
      <c r="DZ132" s="478"/>
      <c r="EA132" s="478"/>
      <c r="EB132" s="478"/>
      <c r="EC132" s="478"/>
      <c r="ED132" s="478"/>
      <c r="EE132" s="478"/>
      <c r="EF132" s="478"/>
      <c r="EG132" s="478"/>
      <c r="EH132" s="478"/>
      <c r="EI132" s="478"/>
      <c r="EJ132" s="478"/>
      <c r="EK132" s="478"/>
      <c r="EL132" s="478"/>
      <c r="EM132" s="478"/>
      <c r="EN132" s="478"/>
      <c r="EO132" s="478"/>
      <c r="EP132" s="478"/>
      <c r="EQ132" s="478"/>
      <c r="ER132" s="478"/>
      <c r="ES132" s="478"/>
      <c r="ET132" s="478"/>
      <c r="EU132" s="478"/>
      <c r="EV132" s="478"/>
      <c r="EW132" s="478"/>
      <c r="EX132" s="478"/>
      <c r="EY132" s="478"/>
      <c r="EZ132" s="478"/>
      <c r="FA132" s="478"/>
      <c r="FB132" s="478"/>
      <c r="FC132" s="478"/>
      <c r="FD132" s="478"/>
      <c r="FE132" s="478"/>
      <c r="FF132" s="478"/>
      <c r="FG132" s="478"/>
      <c r="FH132" s="478"/>
      <c r="FI132" s="478"/>
      <c r="FJ132" s="478"/>
      <c r="FK132" s="478"/>
      <c r="FL132" s="478"/>
      <c r="FM132" s="478"/>
      <c r="FN132" s="478"/>
      <c r="FO132" s="478"/>
      <c r="FP132" s="478"/>
      <c r="FQ132" s="478"/>
      <c r="FR132" s="478"/>
      <c r="FS132" s="478"/>
      <c r="FT132" s="478"/>
      <c r="FU132" s="478"/>
      <c r="FV132" s="478"/>
      <c r="FW132" s="478"/>
      <c r="FX132" s="478"/>
      <c r="FY132" s="478"/>
      <c r="FZ132" s="478"/>
      <c r="GA132" s="478"/>
      <c r="GB132" s="478"/>
      <c r="GC132" s="478"/>
      <c r="GD132" s="478"/>
      <c r="GE132" s="478"/>
      <c r="GF132" s="478"/>
      <c r="GG132" s="478"/>
      <c r="GH132" s="478"/>
      <c r="GI132" s="478"/>
      <c r="GJ132" s="478"/>
      <c r="GK132" s="478"/>
      <c r="GL132" s="478"/>
      <c r="GM132" s="478"/>
      <c r="GN132" s="478"/>
      <c r="GO132" s="478"/>
      <c r="GP132" s="478"/>
      <c r="GQ132" s="478"/>
      <c r="GR132" s="478"/>
      <c r="GS132" s="478"/>
      <c r="GT132" s="478"/>
      <c r="GU132" s="478"/>
      <c r="GV132" s="478"/>
      <c r="GW132" s="478"/>
      <c r="GX132" s="478"/>
      <c r="GY132" s="478"/>
      <c r="GZ132" s="478"/>
      <c r="HA132" s="478"/>
      <c r="HB132" s="478"/>
      <c r="HC132" s="478"/>
      <c r="HD132" s="478"/>
      <c r="HE132" s="478"/>
      <c r="HF132" s="478"/>
      <c r="HG132" s="478"/>
      <c r="HH132" s="478"/>
      <c r="HI132" s="478"/>
      <c r="HJ132" s="478"/>
      <c r="HK132" s="478"/>
      <c r="HL132" s="478"/>
      <c r="HM132" s="478"/>
      <c r="HN132" s="478"/>
      <c r="HO132" s="478"/>
      <c r="HP132" s="478"/>
      <c r="HQ132" s="478"/>
      <c r="HR132" s="478"/>
      <c r="HS132" s="478"/>
      <c r="HT132" s="478"/>
      <c r="HU132" s="478"/>
      <c r="HV132" s="478"/>
      <c r="HW132" s="478"/>
      <c r="HX132" s="478"/>
      <c r="HY132" s="478"/>
      <c r="HZ132" s="478"/>
      <c r="IA132" s="478"/>
      <c r="IB132" s="478"/>
      <c r="IC132" s="478"/>
      <c r="ID132" s="478"/>
      <c r="IE132" s="478"/>
      <c r="IF132" s="478"/>
      <c r="IG132" s="478"/>
      <c r="IH132" s="478"/>
      <c r="II132" s="478"/>
      <c r="IJ132" s="478"/>
      <c r="IK132" s="478"/>
      <c r="IL132" s="478"/>
      <c r="IM132" s="478"/>
      <c r="IN132" s="478"/>
      <c r="IO132" s="478"/>
      <c r="IP132" s="478"/>
      <c r="IQ132" s="478"/>
      <c r="IR132" s="478"/>
      <c r="IS132" s="478"/>
    </row>
    <row r="133" spans="1:253" ht="17.25">
      <c r="A133" s="606"/>
      <c r="B133" s="923"/>
      <c r="C133" s="913">
        <v>5</v>
      </c>
      <c r="D133" s="1229" t="s">
        <v>1133</v>
      </c>
      <c r="E133" s="1230" t="s">
        <v>781</v>
      </c>
      <c r="F133" s="444">
        <f>SUM(G133:H133,K133)</f>
        <v>424</v>
      </c>
      <c r="G133" s="444"/>
      <c r="H133" s="447"/>
      <c r="I133" s="489"/>
      <c r="J133" s="444"/>
      <c r="K133" s="859">
        <v>424</v>
      </c>
      <c r="L133" s="407"/>
      <c r="M133" s="478"/>
      <c r="N133" s="478"/>
      <c r="O133" s="478"/>
      <c r="P133" s="478"/>
      <c r="Q133" s="478"/>
      <c r="R133" s="478"/>
      <c r="S133" s="478"/>
      <c r="T133" s="478"/>
      <c r="U133" s="478"/>
      <c r="V133" s="478"/>
      <c r="W133" s="478"/>
      <c r="X133" s="478"/>
      <c r="Y133" s="478"/>
      <c r="Z133" s="478"/>
      <c r="AA133" s="478"/>
      <c r="AB133" s="478"/>
      <c r="AC133" s="478"/>
      <c r="AD133" s="478"/>
      <c r="AE133" s="478"/>
      <c r="AF133" s="478"/>
      <c r="AG133" s="478"/>
      <c r="AH133" s="478"/>
      <c r="AI133" s="478"/>
      <c r="AJ133" s="478"/>
      <c r="AK133" s="478"/>
      <c r="AL133" s="478"/>
      <c r="AM133" s="478"/>
      <c r="AN133" s="478"/>
      <c r="AO133" s="478"/>
      <c r="AP133" s="478"/>
      <c r="AQ133" s="478"/>
      <c r="AR133" s="478"/>
      <c r="AS133" s="478"/>
      <c r="AT133" s="478"/>
      <c r="AU133" s="478"/>
      <c r="AV133" s="478"/>
      <c r="AW133" s="478"/>
      <c r="AX133" s="478"/>
      <c r="AY133" s="478"/>
      <c r="AZ133" s="478"/>
      <c r="BA133" s="478"/>
      <c r="BB133" s="478"/>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8"/>
      <c r="BX133" s="478"/>
      <c r="BY133" s="478"/>
      <c r="BZ133" s="478"/>
      <c r="CA133" s="478"/>
      <c r="CB133" s="478"/>
      <c r="CC133" s="478"/>
      <c r="CD133" s="478"/>
      <c r="CE133" s="478"/>
      <c r="CF133" s="478"/>
      <c r="CG133" s="478"/>
      <c r="CH133" s="478"/>
      <c r="CI133" s="478"/>
      <c r="CJ133" s="478"/>
      <c r="CK133" s="478"/>
      <c r="CL133" s="478"/>
      <c r="CM133" s="478"/>
      <c r="CN133" s="478"/>
      <c r="CO133" s="478"/>
      <c r="CP133" s="478"/>
      <c r="CQ133" s="478"/>
      <c r="CR133" s="478"/>
      <c r="CS133" s="478"/>
      <c r="CT133" s="478"/>
      <c r="CU133" s="478"/>
      <c r="CV133" s="478"/>
      <c r="CW133" s="478"/>
      <c r="CX133" s="478"/>
      <c r="CY133" s="478"/>
      <c r="CZ133" s="478"/>
      <c r="DA133" s="478"/>
      <c r="DB133" s="478"/>
      <c r="DC133" s="478"/>
      <c r="DD133" s="478"/>
      <c r="DE133" s="478"/>
      <c r="DF133" s="478"/>
      <c r="DG133" s="478"/>
      <c r="DH133" s="478"/>
      <c r="DI133" s="478"/>
      <c r="DJ133" s="478"/>
      <c r="DK133" s="478"/>
      <c r="DL133" s="478"/>
      <c r="DM133" s="478"/>
      <c r="DN133" s="478"/>
      <c r="DO133" s="478"/>
      <c r="DP133" s="478"/>
      <c r="DQ133" s="478"/>
      <c r="DR133" s="478"/>
      <c r="DS133" s="478"/>
      <c r="DT133" s="478"/>
      <c r="DU133" s="478"/>
      <c r="DV133" s="478"/>
      <c r="DW133" s="478"/>
      <c r="DX133" s="478"/>
      <c r="DY133" s="478"/>
      <c r="DZ133" s="478"/>
      <c r="EA133" s="478"/>
      <c r="EB133" s="478"/>
      <c r="EC133" s="478"/>
      <c r="ED133" s="478"/>
      <c r="EE133" s="478"/>
      <c r="EF133" s="478"/>
      <c r="EG133" s="478"/>
      <c r="EH133" s="478"/>
      <c r="EI133" s="478"/>
      <c r="EJ133" s="478"/>
      <c r="EK133" s="478"/>
      <c r="EL133" s="478"/>
      <c r="EM133" s="478"/>
      <c r="EN133" s="478"/>
      <c r="EO133" s="478"/>
      <c r="EP133" s="478"/>
      <c r="EQ133" s="478"/>
      <c r="ER133" s="478"/>
      <c r="ES133" s="478"/>
      <c r="ET133" s="478"/>
      <c r="EU133" s="478"/>
      <c r="EV133" s="478"/>
      <c r="EW133" s="478"/>
      <c r="EX133" s="478"/>
      <c r="EY133" s="478"/>
      <c r="EZ133" s="478"/>
      <c r="FA133" s="478"/>
      <c r="FB133" s="478"/>
      <c r="FC133" s="478"/>
      <c r="FD133" s="478"/>
      <c r="FE133" s="478"/>
      <c r="FF133" s="478"/>
      <c r="FG133" s="478"/>
      <c r="FH133" s="478"/>
      <c r="FI133" s="478"/>
      <c r="FJ133" s="478"/>
      <c r="FK133" s="478"/>
      <c r="FL133" s="478"/>
      <c r="FM133" s="478"/>
      <c r="FN133" s="478"/>
      <c r="FO133" s="478"/>
      <c r="FP133" s="478"/>
      <c r="FQ133" s="478"/>
      <c r="FR133" s="478"/>
      <c r="FS133" s="478"/>
      <c r="FT133" s="478"/>
      <c r="FU133" s="478"/>
      <c r="FV133" s="478"/>
      <c r="FW133" s="478"/>
      <c r="FX133" s="478"/>
      <c r="FY133" s="478"/>
      <c r="FZ133" s="478"/>
      <c r="GA133" s="478"/>
      <c r="GB133" s="478"/>
      <c r="GC133" s="478"/>
      <c r="GD133" s="478"/>
      <c r="GE133" s="478"/>
      <c r="GF133" s="478"/>
      <c r="GG133" s="478"/>
      <c r="GH133" s="478"/>
      <c r="GI133" s="478"/>
      <c r="GJ133" s="478"/>
      <c r="GK133" s="478"/>
      <c r="GL133" s="478"/>
      <c r="GM133" s="478"/>
      <c r="GN133" s="478"/>
      <c r="GO133" s="478"/>
      <c r="GP133" s="478"/>
      <c r="GQ133" s="478"/>
      <c r="GR133" s="478"/>
      <c r="GS133" s="478"/>
      <c r="GT133" s="478"/>
      <c r="GU133" s="478"/>
      <c r="GV133" s="478"/>
      <c r="GW133" s="478"/>
      <c r="GX133" s="478"/>
      <c r="GY133" s="478"/>
      <c r="GZ133" s="478"/>
      <c r="HA133" s="478"/>
      <c r="HB133" s="478"/>
      <c r="HC133" s="478"/>
      <c r="HD133" s="478"/>
      <c r="HE133" s="478"/>
      <c r="HF133" s="478"/>
      <c r="HG133" s="478"/>
      <c r="HH133" s="478"/>
      <c r="HI133" s="478"/>
      <c r="HJ133" s="478"/>
      <c r="HK133" s="478"/>
      <c r="HL133" s="478"/>
      <c r="HM133" s="478"/>
      <c r="HN133" s="478"/>
      <c r="HO133" s="478"/>
      <c r="HP133" s="478"/>
      <c r="HQ133" s="478"/>
      <c r="HR133" s="478"/>
      <c r="HS133" s="478"/>
      <c r="HT133" s="478"/>
      <c r="HU133" s="478"/>
      <c r="HV133" s="478"/>
      <c r="HW133" s="478"/>
      <c r="HX133" s="478"/>
      <c r="HY133" s="478"/>
      <c r="HZ133" s="478"/>
      <c r="IA133" s="478"/>
      <c r="IB133" s="478"/>
      <c r="IC133" s="478"/>
      <c r="ID133" s="478"/>
      <c r="IE133" s="478"/>
      <c r="IF133" s="478"/>
      <c r="IG133" s="478"/>
      <c r="IH133" s="478"/>
      <c r="II133" s="478"/>
      <c r="IJ133" s="478"/>
      <c r="IK133" s="478"/>
      <c r="IL133" s="478"/>
      <c r="IM133" s="478"/>
      <c r="IN133" s="478"/>
      <c r="IO133" s="478"/>
      <c r="IP133" s="478"/>
      <c r="IQ133" s="478"/>
      <c r="IR133" s="478"/>
      <c r="IS133" s="478"/>
    </row>
    <row r="134" spans="1:253" ht="17.25">
      <c r="A134" s="606">
        <v>127</v>
      </c>
      <c r="B134" s="923">
        <v>1</v>
      </c>
      <c r="C134" s="913"/>
      <c r="D134" s="1545" t="s">
        <v>1328</v>
      </c>
      <c r="E134" s="1546"/>
      <c r="F134" s="444"/>
      <c r="G134" s="448"/>
      <c r="H134" s="449"/>
      <c r="I134" s="490"/>
      <c r="J134" s="444"/>
      <c r="K134" s="1237"/>
      <c r="L134" s="407"/>
      <c r="M134" s="476"/>
      <c r="N134" s="476"/>
      <c r="O134" s="476"/>
      <c r="P134" s="476"/>
      <c r="Q134" s="476"/>
      <c r="R134" s="476"/>
      <c r="S134" s="476"/>
      <c r="T134" s="476"/>
      <c r="U134" s="476"/>
      <c r="V134" s="476"/>
      <c r="W134" s="476"/>
      <c r="X134" s="476"/>
      <c r="Y134" s="476"/>
      <c r="Z134" s="476"/>
      <c r="AA134" s="476"/>
      <c r="AB134" s="476"/>
      <c r="AC134" s="476"/>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c r="BZ134" s="476"/>
      <c r="CA134" s="476"/>
      <c r="CB134" s="476"/>
      <c r="CC134" s="476"/>
      <c r="CD134" s="476"/>
      <c r="CE134" s="476"/>
      <c r="CF134" s="476"/>
      <c r="CG134" s="476"/>
      <c r="CH134" s="476"/>
      <c r="CI134" s="476"/>
      <c r="CJ134" s="476"/>
      <c r="CK134" s="476"/>
      <c r="CL134" s="476"/>
      <c r="CM134" s="476"/>
      <c r="CN134" s="476"/>
      <c r="CO134" s="476"/>
      <c r="CP134" s="476"/>
      <c r="CQ134" s="476"/>
      <c r="CR134" s="476"/>
      <c r="CS134" s="476"/>
      <c r="CT134" s="476"/>
      <c r="CU134" s="476"/>
      <c r="CV134" s="476"/>
      <c r="CW134" s="476"/>
      <c r="CX134" s="476"/>
      <c r="CY134" s="476"/>
      <c r="CZ134" s="476"/>
      <c r="DA134" s="476"/>
      <c r="DB134" s="476"/>
      <c r="DC134" s="476"/>
      <c r="DD134" s="476"/>
      <c r="DE134" s="476"/>
      <c r="DF134" s="476"/>
      <c r="DG134" s="476"/>
      <c r="DH134" s="476"/>
      <c r="DI134" s="476"/>
      <c r="DJ134" s="476"/>
      <c r="DK134" s="476"/>
      <c r="DL134" s="476"/>
      <c r="DM134" s="476"/>
      <c r="DN134" s="476"/>
      <c r="DO134" s="476"/>
      <c r="DP134" s="476"/>
      <c r="DQ134" s="476"/>
      <c r="DR134" s="476"/>
      <c r="DS134" s="476"/>
      <c r="DT134" s="476"/>
      <c r="DU134" s="476"/>
      <c r="DV134" s="476"/>
      <c r="DW134" s="476"/>
      <c r="DX134" s="476"/>
      <c r="DY134" s="476"/>
      <c r="DZ134" s="476"/>
      <c r="EA134" s="476"/>
      <c r="EB134" s="476"/>
      <c r="EC134" s="476"/>
      <c r="ED134" s="476"/>
      <c r="EE134" s="476"/>
      <c r="EF134" s="476"/>
      <c r="EG134" s="476"/>
      <c r="EH134" s="476"/>
      <c r="EI134" s="476"/>
      <c r="EJ134" s="476"/>
      <c r="EK134" s="476"/>
      <c r="EL134" s="476"/>
      <c r="EM134" s="476"/>
      <c r="EN134" s="476"/>
      <c r="EO134" s="476"/>
      <c r="EP134" s="476"/>
      <c r="EQ134" s="476"/>
      <c r="ER134" s="476"/>
      <c r="ES134" s="476"/>
      <c r="ET134" s="476"/>
      <c r="EU134" s="476"/>
      <c r="EV134" s="476"/>
      <c r="EW134" s="476"/>
      <c r="EX134" s="476"/>
      <c r="EY134" s="476"/>
      <c r="EZ134" s="476"/>
      <c r="FA134" s="476"/>
      <c r="FB134" s="476"/>
      <c r="FC134" s="476"/>
      <c r="FD134" s="476"/>
      <c r="FE134" s="476"/>
      <c r="FF134" s="476"/>
      <c r="FG134" s="476"/>
      <c r="FH134" s="476"/>
      <c r="FI134" s="476"/>
      <c r="FJ134" s="476"/>
      <c r="FK134" s="476"/>
      <c r="FL134" s="476"/>
      <c r="FM134" s="476"/>
      <c r="FN134" s="476"/>
      <c r="FO134" s="476"/>
      <c r="FP134" s="476"/>
      <c r="FQ134" s="476"/>
      <c r="FR134" s="476"/>
      <c r="FS134" s="476"/>
      <c r="FT134" s="476"/>
      <c r="FU134" s="476"/>
      <c r="FV134" s="476"/>
      <c r="FW134" s="476"/>
      <c r="FX134" s="476"/>
      <c r="FY134" s="476"/>
      <c r="FZ134" s="476"/>
      <c r="GA134" s="476"/>
      <c r="GB134" s="476"/>
      <c r="GC134" s="476"/>
      <c r="GD134" s="476"/>
      <c r="GE134" s="476"/>
      <c r="GF134" s="476"/>
      <c r="GG134" s="476"/>
      <c r="GH134" s="476"/>
      <c r="GI134" s="476"/>
      <c r="GJ134" s="476"/>
      <c r="GK134" s="476"/>
      <c r="GL134" s="476"/>
      <c r="GM134" s="476"/>
      <c r="GN134" s="476"/>
      <c r="GO134" s="476"/>
      <c r="GP134" s="476"/>
      <c r="GQ134" s="476"/>
      <c r="GR134" s="476"/>
      <c r="GS134" s="476"/>
      <c r="GT134" s="476"/>
      <c r="GU134" s="476"/>
      <c r="GV134" s="476"/>
      <c r="GW134" s="476"/>
      <c r="GX134" s="476"/>
      <c r="GY134" s="476"/>
      <c r="GZ134" s="476"/>
      <c r="HA134" s="476"/>
      <c r="HB134" s="476"/>
      <c r="HC134" s="476"/>
      <c r="HD134" s="476"/>
      <c r="HE134" s="476"/>
      <c r="HF134" s="476"/>
      <c r="HG134" s="476"/>
      <c r="HH134" s="476"/>
      <c r="HI134" s="476"/>
      <c r="HJ134" s="476"/>
      <c r="HK134" s="476"/>
      <c r="HL134" s="476"/>
      <c r="HM134" s="476"/>
      <c r="HN134" s="476"/>
      <c r="HO134" s="476"/>
      <c r="HP134" s="476"/>
      <c r="HQ134" s="476"/>
      <c r="HR134" s="476"/>
      <c r="HS134" s="476"/>
      <c r="HT134" s="476"/>
      <c r="HU134" s="476"/>
      <c r="HV134" s="476"/>
      <c r="HW134" s="476"/>
      <c r="HX134" s="476"/>
      <c r="HY134" s="476"/>
      <c r="HZ134" s="476"/>
      <c r="IA134" s="476"/>
      <c r="IB134" s="476"/>
      <c r="IC134" s="476"/>
      <c r="ID134" s="476"/>
      <c r="IE134" s="476"/>
      <c r="IF134" s="476"/>
      <c r="IG134" s="476"/>
      <c r="IH134" s="476"/>
      <c r="II134" s="476"/>
      <c r="IJ134" s="476"/>
      <c r="IK134" s="476"/>
      <c r="IL134" s="476"/>
      <c r="IM134" s="476"/>
      <c r="IN134" s="476"/>
      <c r="IO134" s="476"/>
      <c r="IP134" s="476"/>
      <c r="IQ134" s="476"/>
      <c r="IR134" s="476"/>
      <c r="IS134" s="476"/>
    </row>
    <row r="135" spans="1:12" ht="33">
      <c r="A135" s="606">
        <v>128</v>
      </c>
      <c r="B135" s="923"/>
      <c r="C135" s="913">
        <v>1</v>
      </c>
      <c r="D135" s="419" t="s">
        <v>1326</v>
      </c>
      <c r="E135" s="420" t="s">
        <v>781</v>
      </c>
      <c r="F135" s="444">
        <f t="shared" si="3"/>
        <v>1591</v>
      </c>
      <c r="G135" s="444"/>
      <c r="H135" s="447"/>
      <c r="I135" s="489">
        <v>180</v>
      </c>
      <c r="J135" s="444">
        <v>1591</v>
      </c>
      <c r="K135" s="859">
        <v>318</v>
      </c>
      <c r="L135" s="407"/>
    </row>
    <row r="136" spans="1:12" ht="17.25">
      <c r="A136" s="606"/>
      <c r="B136" s="923"/>
      <c r="C136" s="913">
        <v>2</v>
      </c>
      <c r="D136" s="419" t="s">
        <v>104</v>
      </c>
      <c r="E136" s="420" t="s">
        <v>781</v>
      </c>
      <c r="F136" s="444">
        <f>SUM(G136:H136,K136)</f>
        <v>102</v>
      </c>
      <c r="G136" s="444"/>
      <c r="H136" s="447"/>
      <c r="I136" s="489"/>
      <c r="J136" s="444"/>
      <c r="K136" s="859">
        <v>102</v>
      </c>
      <c r="L136" s="407"/>
    </row>
    <row r="137" spans="1:253" ht="17.25">
      <c r="A137" s="606">
        <v>129</v>
      </c>
      <c r="B137" s="923">
        <v>2</v>
      </c>
      <c r="C137" s="913"/>
      <c r="D137" s="442" t="s">
        <v>1329</v>
      </c>
      <c r="E137" s="443"/>
      <c r="F137" s="444"/>
      <c r="G137" s="445"/>
      <c r="H137" s="446"/>
      <c r="I137" s="488"/>
      <c r="J137" s="444"/>
      <c r="K137" s="858"/>
      <c r="L137" s="407"/>
      <c r="M137" s="476"/>
      <c r="N137" s="476"/>
      <c r="O137" s="476"/>
      <c r="P137" s="476"/>
      <c r="Q137" s="476"/>
      <c r="R137" s="476"/>
      <c r="S137" s="476"/>
      <c r="T137" s="476"/>
      <c r="U137" s="476"/>
      <c r="V137" s="476"/>
      <c r="W137" s="476"/>
      <c r="X137" s="476"/>
      <c r="Y137" s="476"/>
      <c r="Z137" s="476"/>
      <c r="AA137" s="476"/>
      <c r="AB137" s="476"/>
      <c r="AC137" s="476"/>
      <c r="AD137" s="476"/>
      <c r="AE137" s="476"/>
      <c r="AF137" s="476"/>
      <c r="AG137" s="476"/>
      <c r="AH137" s="476"/>
      <c r="AI137" s="476"/>
      <c r="AJ137" s="476"/>
      <c r="AK137" s="476"/>
      <c r="AL137" s="476"/>
      <c r="AM137" s="476"/>
      <c r="AN137" s="476"/>
      <c r="AO137" s="476"/>
      <c r="AP137" s="476"/>
      <c r="AQ137" s="476"/>
      <c r="AR137" s="476"/>
      <c r="AS137" s="476"/>
      <c r="AT137" s="476"/>
      <c r="AU137" s="476"/>
      <c r="AV137" s="476"/>
      <c r="AW137" s="476"/>
      <c r="AX137" s="476"/>
      <c r="AY137" s="476"/>
      <c r="AZ137" s="476"/>
      <c r="BA137" s="476"/>
      <c r="BB137" s="476"/>
      <c r="BC137" s="476"/>
      <c r="BD137" s="476"/>
      <c r="BE137" s="476"/>
      <c r="BF137" s="476"/>
      <c r="BG137" s="476"/>
      <c r="BH137" s="476"/>
      <c r="BI137" s="476"/>
      <c r="BJ137" s="476"/>
      <c r="BK137" s="476"/>
      <c r="BL137" s="476"/>
      <c r="BM137" s="476"/>
      <c r="BN137" s="476"/>
      <c r="BO137" s="476"/>
      <c r="BP137" s="476"/>
      <c r="BQ137" s="476"/>
      <c r="BR137" s="476"/>
      <c r="BS137" s="476"/>
      <c r="BT137" s="476"/>
      <c r="BU137" s="476"/>
      <c r="BV137" s="476"/>
      <c r="BW137" s="476"/>
      <c r="BX137" s="476"/>
      <c r="BY137" s="476"/>
      <c r="BZ137" s="476"/>
      <c r="CA137" s="476"/>
      <c r="CB137" s="476"/>
      <c r="CC137" s="476"/>
      <c r="CD137" s="476"/>
      <c r="CE137" s="476"/>
      <c r="CF137" s="476"/>
      <c r="CG137" s="476"/>
      <c r="CH137" s="476"/>
      <c r="CI137" s="476"/>
      <c r="CJ137" s="476"/>
      <c r="CK137" s="476"/>
      <c r="CL137" s="476"/>
      <c r="CM137" s="476"/>
      <c r="CN137" s="476"/>
      <c r="CO137" s="476"/>
      <c r="CP137" s="476"/>
      <c r="CQ137" s="476"/>
      <c r="CR137" s="476"/>
      <c r="CS137" s="476"/>
      <c r="CT137" s="476"/>
      <c r="CU137" s="476"/>
      <c r="CV137" s="476"/>
      <c r="CW137" s="476"/>
      <c r="CX137" s="476"/>
      <c r="CY137" s="476"/>
      <c r="CZ137" s="476"/>
      <c r="DA137" s="476"/>
      <c r="DB137" s="476"/>
      <c r="DC137" s="476"/>
      <c r="DD137" s="476"/>
      <c r="DE137" s="476"/>
      <c r="DF137" s="476"/>
      <c r="DG137" s="476"/>
      <c r="DH137" s="476"/>
      <c r="DI137" s="476"/>
      <c r="DJ137" s="476"/>
      <c r="DK137" s="476"/>
      <c r="DL137" s="476"/>
      <c r="DM137" s="476"/>
      <c r="DN137" s="476"/>
      <c r="DO137" s="476"/>
      <c r="DP137" s="476"/>
      <c r="DQ137" s="476"/>
      <c r="DR137" s="476"/>
      <c r="DS137" s="476"/>
      <c r="DT137" s="476"/>
      <c r="DU137" s="476"/>
      <c r="DV137" s="476"/>
      <c r="DW137" s="476"/>
      <c r="DX137" s="476"/>
      <c r="DY137" s="476"/>
      <c r="DZ137" s="476"/>
      <c r="EA137" s="476"/>
      <c r="EB137" s="476"/>
      <c r="EC137" s="476"/>
      <c r="ED137" s="476"/>
      <c r="EE137" s="476"/>
      <c r="EF137" s="476"/>
      <c r="EG137" s="476"/>
      <c r="EH137" s="476"/>
      <c r="EI137" s="476"/>
      <c r="EJ137" s="476"/>
      <c r="EK137" s="476"/>
      <c r="EL137" s="476"/>
      <c r="EM137" s="476"/>
      <c r="EN137" s="476"/>
      <c r="EO137" s="476"/>
      <c r="EP137" s="476"/>
      <c r="EQ137" s="476"/>
      <c r="ER137" s="476"/>
      <c r="ES137" s="476"/>
      <c r="ET137" s="476"/>
      <c r="EU137" s="476"/>
      <c r="EV137" s="476"/>
      <c r="EW137" s="476"/>
      <c r="EX137" s="476"/>
      <c r="EY137" s="476"/>
      <c r="EZ137" s="476"/>
      <c r="FA137" s="476"/>
      <c r="FB137" s="476"/>
      <c r="FC137" s="476"/>
      <c r="FD137" s="476"/>
      <c r="FE137" s="476"/>
      <c r="FF137" s="476"/>
      <c r="FG137" s="476"/>
      <c r="FH137" s="476"/>
      <c r="FI137" s="476"/>
      <c r="FJ137" s="476"/>
      <c r="FK137" s="476"/>
      <c r="FL137" s="476"/>
      <c r="FM137" s="476"/>
      <c r="FN137" s="476"/>
      <c r="FO137" s="476"/>
      <c r="FP137" s="476"/>
      <c r="FQ137" s="476"/>
      <c r="FR137" s="476"/>
      <c r="FS137" s="476"/>
      <c r="FT137" s="476"/>
      <c r="FU137" s="476"/>
      <c r="FV137" s="476"/>
      <c r="FW137" s="476"/>
      <c r="FX137" s="476"/>
      <c r="FY137" s="476"/>
      <c r="FZ137" s="476"/>
      <c r="GA137" s="476"/>
      <c r="GB137" s="476"/>
      <c r="GC137" s="476"/>
      <c r="GD137" s="476"/>
      <c r="GE137" s="476"/>
      <c r="GF137" s="476"/>
      <c r="GG137" s="476"/>
      <c r="GH137" s="476"/>
      <c r="GI137" s="476"/>
      <c r="GJ137" s="476"/>
      <c r="GK137" s="476"/>
      <c r="GL137" s="476"/>
      <c r="GM137" s="476"/>
      <c r="GN137" s="476"/>
      <c r="GO137" s="476"/>
      <c r="GP137" s="476"/>
      <c r="GQ137" s="476"/>
      <c r="GR137" s="476"/>
      <c r="GS137" s="476"/>
      <c r="GT137" s="476"/>
      <c r="GU137" s="476"/>
      <c r="GV137" s="476"/>
      <c r="GW137" s="476"/>
      <c r="GX137" s="476"/>
      <c r="GY137" s="476"/>
      <c r="GZ137" s="476"/>
      <c r="HA137" s="476"/>
      <c r="HB137" s="476"/>
      <c r="HC137" s="476"/>
      <c r="HD137" s="476"/>
      <c r="HE137" s="476"/>
      <c r="HF137" s="476"/>
      <c r="HG137" s="476"/>
      <c r="HH137" s="476"/>
      <c r="HI137" s="476"/>
      <c r="HJ137" s="476"/>
      <c r="HK137" s="476"/>
      <c r="HL137" s="476"/>
      <c r="HM137" s="476"/>
      <c r="HN137" s="476"/>
      <c r="HO137" s="476"/>
      <c r="HP137" s="476"/>
      <c r="HQ137" s="476"/>
      <c r="HR137" s="476"/>
      <c r="HS137" s="476"/>
      <c r="HT137" s="476"/>
      <c r="HU137" s="476"/>
      <c r="HV137" s="476"/>
      <c r="HW137" s="476"/>
      <c r="HX137" s="476"/>
      <c r="HY137" s="476"/>
      <c r="HZ137" s="476"/>
      <c r="IA137" s="476"/>
      <c r="IB137" s="476"/>
      <c r="IC137" s="476"/>
      <c r="ID137" s="476"/>
      <c r="IE137" s="476"/>
      <c r="IF137" s="476"/>
      <c r="IG137" s="476"/>
      <c r="IH137" s="476"/>
      <c r="II137" s="476"/>
      <c r="IJ137" s="476"/>
      <c r="IK137" s="476"/>
      <c r="IL137" s="476"/>
      <c r="IM137" s="476"/>
      <c r="IN137" s="476"/>
      <c r="IO137" s="476"/>
      <c r="IP137" s="476"/>
      <c r="IQ137" s="476"/>
      <c r="IR137" s="476"/>
      <c r="IS137" s="476"/>
    </row>
    <row r="138" spans="1:12" ht="17.25">
      <c r="A138" s="606">
        <v>130</v>
      </c>
      <c r="B138" s="923"/>
      <c r="C138" s="913">
        <v>1</v>
      </c>
      <c r="D138" s="419" t="s">
        <v>105</v>
      </c>
      <c r="E138" s="420"/>
      <c r="F138" s="444">
        <f t="shared" si="3"/>
        <v>500</v>
      </c>
      <c r="G138" s="444"/>
      <c r="H138" s="447"/>
      <c r="I138" s="489">
        <v>500</v>
      </c>
      <c r="J138" s="444">
        <v>500</v>
      </c>
      <c r="K138" s="859">
        <v>580</v>
      </c>
      <c r="L138" s="407"/>
    </row>
    <row r="139" spans="1:12" ht="132">
      <c r="A139" s="606">
        <v>131</v>
      </c>
      <c r="B139" s="923"/>
      <c r="C139" s="913">
        <v>2</v>
      </c>
      <c r="D139" s="419" t="s">
        <v>1330</v>
      </c>
      <c r="E139" s="420" t="s">
        <v>781</v>
      </c>
      <c r="F139" s="444">
        <f t="shared" si="3"/>
        <v>3021</v>
      </c>
      <c r="G139" s="444"/>
      <c r="H139" s="447"/>
      <c r="I139" s="489">
        <v>820</v>
      </c>
      <c r="J139" s="444">
        <v>3021</v>
      </c>
      <c r="K139" s="859">
        <v>2222</v>
      </c>
      <c r="L139" s="407"/>
    </row>
    <row r="140" spans="1:12" ht="17.25">
      <c r="A140" s="606">
        <v>132</v>
      </c>
      <c r="B140" s="923"/>
      <c r="C140" s="913">
        <v>3</v>
      </c>
      <c r="D140" s="419" t="s">
        <v>106</v>
      </c>
      <c r="E140" s="420" t="s">
        <v>781</v>
      </c>
      <c r="F140" s="444">
        <f t="shared" si="3"/>
        <v>420</v>
      </c>
      <c r="G140" s="444"/>
      <c r="H140" s="447"/>
      <c r="I140" s="489"/>
      <c r="J140" s="444">
        <v>420</v>
      </c>
      <c r="K140" s="859">
        <v>0</v>
      </c>
      <c r="L140" s="407"/>
    </row>
    <row r="141" spans="1:12" ht="17.25">
      <c r="A141" s="606">
        <v>133</v>
      </c>
      <c r="B141" s="923"/>
      <c r="C141" s="913">
        <v>4</v>
      </c>
      <c r="D141" s="419" t="s">
        <v>1181</v>
      </c>
      <c r="E141" s="420" t="s">
        <v>781</v>
      </c>
      <c r="F141" s="444">
        <f t="shared" si="3"/>
        <v>220</v>
      </c>
      <c r="G141" s="444"/>
      <c r="H141" s="447"/>
      <c r="I141" s="489"/>
      <c r="J141" s="444">
        <v>220</v>
      </c>
      <c r="K141" s="859">
        <v>203</v>
      </c>
      <c r="L141" s="407"/>
    </row>
    <row r="142" spans="1:253" ht="17.25">
      <c r="A142" s="606">
        <v>134</v>
      </c>
      <c r="B142" s="923">
        <v>2</v>
      </c>
      <c r="C142" s="913"/>
      <c r="D142" s="442" t="s">
        <v>1331</v>
      </c>
      <c r="E142" s="443"/>
      <c r="F142" s="444"/>
      <c r="G142" s="445"/>
      <c r="H142" s="446"/>
      <c r="I142" s="488"/>
      <c r="J142" s="444"/>
      <c r="K142" s="858"/>
      <c r="L142" s="407"/>
      <c r="M142" s="476"/>
      <c r="N142" s="476"/>
      <c r="O142" s="476"/>
      <c r="P142" s="476"/>
      <c r="Q142" s="476"/>
      <c r="R142" s="476"/>
      <c r="S142" s="476"/>
      <c r="T142" s="476"/>
      <c r="U142" s="476"/>
      <c r="V142" s="476"/>
      <c r="W142" s="476"/>
      <c r="X142" s="476"/>
      <c r="Y142" s="476"/>
      <c r="Z142" s="476"/>
      <c r="AA142" s="476"/>
      <c r="AB142" s="476"/>
      <c r="AC142" s="476"/>
      <c r="AD142" s="476"/>
      <c r="AE142" s="476"/>
      <c r="AF142" s="476"/>
      <c r="AG142" s="476"/>
      <c r="AH142" s="476"/>
      <c r="AI142" s="476"/>
      <c r="AJ142" s="476"/>
      <c r="AK142" s="476"/>
      <c r="AL142" s="476"/>
      <c r="AM142" s="476"/>
      <c r="AN142" s="476"/>
      <c r="AO142" s="476"/>
      <c r="AP142" s="476"/>
      <c r="AQ142" s="476"/>
      <c r="AR142" s="476"/>
      <c r="AS142" s="476"/>
      <c r="AT142" s="476"/>
      <c r="AU142" s="476"/>
      <c r="AV142" s="476"/>
      <c r="AW142" s="476"/>
      <c r="AX142" s="476"/>
      <c r="AY142" s="476"/>
      <c r="AZ142" s="476"/>
      <c r="BA142" s="476"/>
      <c r="BB142" s="476"/>
      <c r="BC142" s="476"/>
      <c r="BD142" s="476"/>
      <c r="BE142" s="476"/>
      <c r="BF142" s="476"/>
      <c r="BG142" s="476"/>
      <c r="BH142" s="476"/>
      <c r="BI142" s="476"/>
      <c r="BJ142" s="476"/>
      <c r="BK142" s="476"/>
      <c r="BL142" s="476"/>
      <c r="BM142" s="476"/>
      <c r="BN142" s="476"/>
      <c r="BO142" s="476"/>
      <c r="BP142" s="476"/>
      <c r="BQ142" s="476"/>
      <c r="BR142" s="476"/>
      <c r="BS142" s="476"/>
      <c r="BT142" s="476"/>
      <c r="BU142" s="476"/>
      <c r="BV142" s="476"/>
      <c r="BW142" s="476"/>
      <c r="BX142" s="476"/>
      <c r="BY142" s="476"/>
      <c r="BZ142" s="476"/>
      <c r="CA142" s="476"/>
      <c r="CB142" s="476"/>
      <c r="CC142" s="476"/>
      <c r="CD142" s="476"/>
      <c r="CE142" s="476"/>
      <c r="CF142" s="476"/>
      <c r="CG142" s="476"/>
      <c r="CH142" s="476"/>
      <c r="CI142" s="476"/>
      <c r="CJ142" s="476"/>
      <c r="CK142" s="476"/>
      <c r="CL142" s="476"/>
      <c r="CM142" s="476"/>
      <c r="CN142" s="476"/>
      <c r="CO142" s="476"/>
      <c r="CP142" s="476"/>
      <c r="CQ142" s="476"/>
      <c r="CR142" s="476"/>
      <c r="CS142" s="476"/>
      <c r="CT142" s="476"/>
      <c r="CU142" s="476"/>
      <c r="CV142" s="476"/>
      <c r="CW142" s="476"/>
      <c r="CX142" s="476"/>
      <c r="CY142" s="476"/>
      <c r="CZ142" s="476"/>
      <c r="DA142" s="476"/>
      <c r="DB142" s="476"/>
      <c r="DC142" s="476"/>
      <c r="DD142" s="476"/>
      <c r="DE142" s="476"/>
      <c r="DF142" s="476"/>
      <c r="DG142" s="476"/>
      <c r="DH142" s="476"/>
      <c r="DI142" s="476"/>
      <c r="DJ142" s="476"/>
      <c r="DK142" s="476"/>
      <c r="DL142" s="476"/>
      <c r="DM142" s="476"/>
      <c r="DN142" s="476"/>
      <c r="DO142" s="476"/>
      <c r="DP142" s="476"/>
      <c r="DQ142" s="476"/>
      <c r="DR142" s="476"/>
      <c r="DS142" s="476"/>
      <c r="DT142" s="476"/>
      <c r="DU142" s="476"/>
      <c r="DV142" s="476"/>
      <c r="DW142" s="476"/>
      <c r="DX142" s="476"/>
      <c r="DY142" s="476"/>
      <c r="DZ142" s="476"/>
      <c r="EA142" s="476"/>
      <c r="EB142" s="476"/>
      <c r="EC142" s="476"/>
      <c r="ED142" s="476"/>
      <c r="EE142" s="476"/>
      <c r="EF142" s="476"/>
      <c r="EG142" s="476"/>
      <c r="EH142" s="476"/>
      <c r="EI142" s="476"/>
      <c r="EJ142" s="476"/>
      <c r="EK142" s="476"/>
      <c r="EL142" s="476"/>
      <c r="EM142" s="476"/>
      <c r="EN142" s="476"/>
      <c r="EO142" s="476"/>
      <c r="EP142" s="476"/>
      <c r="EQ142" s="476"/>
      <c r="ER142" s="476"/>
      <c r="ES142" s="476"/>
      <c r="ET142" s="476"/>
      <c r="EU142" s="476"/>
      <c r="EV142" s="476"/>
      <c r="EW142" s="476"/>
      <c r="EX142" s="476"/>
      <c r="EY142" s="476"/>
      <c r="EZ142" s="476"/>
      <c r="FA142" s="476"/>
      <c r="FB142" s="476"/>
      <c r="FC142" s="476"/>
      <c r="FD142" s="476"/>
      <c r="FE142" s="476"/>
      <c r="FF142" s="476"/>
      <c r="FG142" s="476"/>
      <c r="FH142" s="476"/>
      <c r="FI142" s="476"/>
      <c r="FJ142" s="476"/>
      <c r="FK142" s="476"/>
      <c r="FL142" s="476"/>
      <c r="FM142" s="476"/>
      <c r="FN142" s="476"/>
      <c r="FO142" s="476"/>
      <c r="FP142" s="476"/>
      <c r="FQ142" s="476"/>
      <c r="FR142" s="476"/>
      <c r="FS142" s="476"/>
      <c r="FT142" s="476"/>
      <c r="FU142" s="476"/>
      <c r="FV142" s="476"/>
      <c r="FW142" s="476"/>
      <c r="FX142" s="476"/>
      <c r="FY142" s="476"/>
      <c r="FZ142" s="476"/>
      <c r="GA142" s="476"/>
      <c r="GB142" s="476"/>
      <c r="GC142" s="476"/>
      <c r="GD142" s="476"/>
      <c r="GE142" s="476"/>
      <c r="GF142" s="476"/>
      <c r="GG142" s="476"/>
      <c r="GH142" s="476"/>
      <c r="GI142" s="476"/>
      <c r="GJ142" s="476"/>
      <c r="GK142" s="476"/>
      <c r="GL142" s="476"/>
      <c r="GM142" s="476"/>
      <c r="GN142" s="476"/>
      <c r="GO142" s="476"/>
      <c r="GP142" s="476"/>
      <c r="GQ142" s="476"/>
      <c r="GR142" s="476"/>
      <c r="GS142" s="476"/>
      <c r="GT142" s="476"/>
      <c r="GU142" s="476"/>
      <c r="GV142" s="476"/>
      <c r="GW142" s="476"/>
      <c r="GX142" s="476"/>
      <c r="GY142" s="476"/>
      <c r="GZ142" s="476"/>
      <c r="HA142" s="476"/>
      <c r="HB142" s="476"/>
      <c r="HC142" s="476"/>
      <c r="HD142" s="476"/>
      <c r="HE142" s="476"/>
      <c r="HF142" s="476"/>
      <c r="HG142" s="476"/>
      <c r="HH142" s="476"/>
      <c r="HI142" s="476"/>
      <c r="HJ142" s="476"/>
      <c r="HK142" s="476"/>
      <c r="HL142" s="476"/>
      <c r="HM142" s="476"/>
      <c r="HN142" s="476"/>
      <c r="HO142" s="476"/>
      <c r="HP142" s="476"/>
      <c r="HQ142" s="476"/>
      <c r="HR142" s="476"/>
      <c r="HS142" s="476"/>
      <c r="HT142" s="476"/>
      <c r="HU142" s="476"/>
      <c r="HV142" s="476"/>
      <c r="HW142" s="476"/>
      <c r="HX142" s="476"/>
      <c r="HY142" s="476"/>
      <c r="HZ142" s="476"/>
      <c r="IA142" s="476"/>
      <c r="IB142" s="476"/>
      <c r="IC142" s="476"/>
      <c r="ID142" s="476"/>
      <c r="IE142" s="476"/>
      <c r="IF142" s="476"/>
      <c r="IG142" s="476"/>
      <c r="IH142" s="476"/>
      <c r="II142" s="476"/>
      <c r="IJ142" s="476"/>
      <c r="IK142" s="476"/>
      <c r="IL142" s="476"/>
      <c r="IM142" s="476"/>
      <c r="IN142" s="476"/>
      <c r="IO142" s="476"/>
      <c r="IP142" s="476"/>
      <c r="IQ142" s="476"/>
      <c r="IR142" s="476"/>
      <c r="IS142" s="476"/>
    </row>
    <row r="143" spans="1:12" ht="66">
      <c r="A143" s="606">
        <v>135</v>
      </c>
      <c r="B143" s="923"/>
      <c r="C143" s="913">
        <v>1</v>
      </c>
      <c r="D143" s="419" t="s">
        <v>1332</v>
      </c>
      <c r="E143" s="420" t="s">
        <v>781</v>
      </c>
      <c r="F143" s="444">
        <f t="shared" si="3"/>
        <v>1173</v>
      </c>
      <c r="G143" s="444"/>
      <c r="H143" s="447"/>
      <c r="I143" s="489">
        <v>180</v>
      </c>
      <c r="J143" s="444">
        <v>1173</v>
      </c>
      <c r="K143" s="859">
        <v>2201</v>
      </c>
      <c r="L143" s="407"/>
    </row>
    <row r="144" spans="1:12" ht="17.25">
      <c r="A144" s="606">
        <v>136</v>
      </c>
      <c r="B144" s="923"/>
      <c r="C144" s="913">
        <v>2</v>
      </c>
      <c r="D144" s="419" t="s">
        <v>1181</v>
      </c>
      <c r="E144" s="420" t="s">
        <v>781</v>
      </c>
      <c r="F144" s="444">
        <f t="shared" si="3"/>
        <v>110</v>
      </c>
      <c r="G144" s="444"/>
      <c r="H144" s="447"/>
      <c r="I144" s="489"/>
      <c r="J144" s="444">
        <v>110</v>
      </c>
      <c r="K144" s="859">
        <v>114</v>
      </c>
      <c r="L144" s="407"/>
    </row>
    <row r="145" spans="1:253" ht="17.25">
      <c r="A145" s="606">
        <v>137</v>
      </c>
      <c r="B145" s="923">
        <v>3</v>
      </c>
      <c r="C145" s="913"/>
      <c r="D145" s="442" t="s">
        <v>1225</v>
      </c>
      <c r="E145" s="443"/>
      <c r="F145" s="444"/>
      <c r="G145" s="445"/>
      <c r="H145" s="446"/>
      <c r="I145" s="488"/>
      <c r="J145" s="444"/>
      <c r="K145" s="858"/>
      <c r="L145" s="407"/>
      <c r="M145" s="476"/>
      <c r="N145" s="476"/>
      <c r="O145" s="476"/>
      <c r="P145" s="476"/>
      <c r="Q145" s="476"/>
      <c r="R145" s="476"/>
      <c r="S145" s="476"/>
      <c r="T145" s="476"/>
      <c r="U145" s="476"/>
      <c r="V145" s="476"/>
      <c r="W145" s="476"/>
      <c r="X145" s="476"/>
      <c r="Y145" s="476"/>
      <c r="Z145" s="476"/>
      <c r="AA145" s="476"/>
      <c r="AB145" s="476"/>
      <c r="AC145" s="476"/>
      <c r="AD145" s="476"/>
      <c r="AE145" s="476"/>
      <c r="AF145" s="476"/>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6"/>
      <c r="BC145" s="476"/>
      <c r="BD145" s="476"/>
      <c r="BE145" s="476"/>
      <c r="BF145" s="476"/>
      <c r="BG145" s="476"/>
      <c r="BH145" s="476"/>
      <c r="BI145" s="476"/>
      <c r="BJ145" s="476"/>
      <c r="BK145" s="476"/>
      <c r="BL145" s="476"/>
      <c r="BM145" s="476"/>
      <c r="BN145" s="476"/>
      <c r="BO145" s="476"/>
      <c r="BP145" s="476"/>
      <c r="BQ145" s="476"/>
      <c r="BR145" s="476"/>
      <c r="BS145" s="476"/>
      <c r="BT145" s="476"/>
      <c r="BU145" s="476"/>
      <c r="BV145" s="476"/>
      <c r="BW145" s="476"/>
      <c r="BX145" s="476"/>
      <c r="BY145" s="476"/>
      <c r="BZ145" s="476"/>
      <c r="CA145" s="476"/>
      <c r="CB145" s="476"/>
      <c r="CC145" s="476"/>
      <c r="CD145" s="476"/>
      <c r="CE145" s="476"/>
      <c r="CF145" s="476"/>
      <c r="CG145" s="476"/>
      <c r="CH145" s="476"/>
      <c r="CI145" s="476"/>
      <c r="CJ145" s="476"/>
      <c r="CK145" s="476"/>
      <c r="CL145" s="476"/>
      <c r="CM145" s="476"/>
      <c r="CN145" s="476"/>
      <c r="CO145" s="476"/>
      <c r="CP145" s="476"/>
      <c r="CQ145" s="476"/>
      <c r="CR145" s="476"/>
      <c r="CS145" s="476"/>
      <c r="CT145" s="476"/>
      <c r="CU145" s="476"/>
      <c r="CV145" s="476"/>
      <c r="CW145" s="476"/>
      <c r="CX145" s="476"/>
      <c r="CY145" s="476"/>
      <c r="CZ145" s="476"/>
      <c r="DA145" s="476"/>
      <c r="DB145" s="476"/>
      <c r="DC145" s="476"/>
      <c r="DD145" s="476"/>
      <c r="DE145" s="476"/>
      <c r="DF145" s="476"/>
      <c r="DG145" s="476"/>
      <c r="DH145" s="476"/>
      <c r="DI145" s="476"/>
      <c r="DJ145" s="476"/>
      <c r="DK145" s="476"/>
      <c r="DL145" s="476"/>
      <c r="DM145" s="476"/>
      <c r="DN145" s="476"/>
      <c r="DO145" s="476"/>
      <c r="DP145" s="476"/>
      <c r="DQ145" s="476"/>
      <c r="DR145" s="476"/>
      <c r="DS145" s="476"/>
      <c r="DT145" s="476"/>
      <c r="DU145" s="476"/>
      <c r="DV145" s="476"/>
      <c r="DW145" s="476"/>
      <c r="DX145" s="476"/>
      <c r="DY145" s="476"/>
      <c r="DZ145" s="476"/>
      <c r="EA145" s="476"/>
      <c r="EB145" s="476"/>
      <c r="EC145" s="476"/>
      <c r="ED145" s="476"/>
      <c r="EE145" s="476"/>
      <c r="EF145" s="476"/>
      <c r="EG145" s="476"/>
      <c r="EH145" s="476"/>
      <c r="EI145" s="476"/>
      <c r="EJ145" s="476"/>
      <c r="EK145" s="476"/>
      <c r="EL145" s="476"/>
      <c r="EM145" s="476"/>
      <c r="EN145" s="476"/>
      <c r="EO145" s="476"/>
      <c r="EP145" s="476"/>
      <c r="EQ145" s="476"/>
      <c r="ER145" s="476"/>
      <c r="ES145" s="476"/>
      <c r="ET145" s="476"/>
      <c r="EU145" s="476"/>
      <c r="EV145" s="476"/>
      <c r="EW145" s="476"/>
      <c r="EX145" s="476"/>
      <c r="EY145" s="476"/>
      <c r="EZ145" s="476"/>
      <c r="FA145" s="476"/>
      <c r="FB145" s="476"/>
      <c r="FC145" s="476"/>
      <c r="FD145" s="476"/>
      <c r="FE145" s="476"/>
      <c r="FF145" s="476"/>
      <c r="FG145" s="476"/>
      <c r="FH145" s="476"/>
      <c r="FI145" s="476"/>
      <c r="FJ145" s="476"/>
      <c r="FK145" s="476"/>
      <c r="FL145" s="476"/>
      <c r="FM145" s="476"/>
      <c r="FN145" s="476"/>
      <c r="FO145" s="476"/>
      <c r="FP145" s="476"/>
      <c r="FQ145" s="476"/>
      <c r="FR145" s="476"/>
      <c r="FS145" s="476"/>
      <c r="FT145" s="476"/>
      <c r="FU145" s="476"/>
      <c r="FV145" s="476"/>
      <c r="FW145" s="476"/>
      <c r="FX145" s="476"/>
      <c r="FY145" s="476"/>
      <c r="FZ145" s="476"/>
      <c r="GA145" s="476"/>
      <c r="GB145" s="476"/>
      <c r="GC145" s="476"/>
      <c r="GD145" s="476"/>
      <c r="GE145" s="476"/>
      <c r="GF145" s="476"/>
      <c r="GG145" s="476"/>
      <c r="GH145" s="476"/>
      <c r="GI145" s="476"/>
      <c r="GJ145" s="476"/>
      <c r="GK145" s="476"/>
      <c r="GL145" s="476"/>
      <c r="GM145" s="476"/>
      <c r="GN145" s="476"/>
      <c r="GO145" s="476"/>
      <c r="GP145" s="476"/>
      <c r="GQ145" s="476"/>
      <c r="GR145" s="476"/>
      <c r="GS145" s="476"/>
      <c r="GT145" s="476"/>
      <c r="GU145" s="476"/>
      <c r="GV145" s="476"/>
      <c r="GW145" s="476"/>
      <c r="GX145" s="476"/>
      <c r="GY145" s="476"/>
      <c r="GZ145" s="476"/>
      <c r="HA145" s="476"/>
      <c r="HB145" s="476"/>
      <c r="HC145" s="476"/>
      <c r="HD145" s="476"/>
      <c r="HE145" s="476"/>
      <c r="HF145" s="476"/>
      <c r="HG145" s="476"/>
      <c r="HH145" s="476"/>
      <c r="HI145" s="476"/>
      <c r="HJ145" s="476"/>
      <c r="HK145" s="476"/>
      <c r="HL145" s="476"/>
      <c r="HM145" s="476"/>
      <c r="HN145" s="476"/>
      <c r="HO145" s="476"/>
      <c r="HP145" s="476"/>
      <c r="HQ145" s="476"/>
      <c r="HR145" s="476"/>
      <c r="HS145" s="476"/>
      <c r="HT145" s="476"/>
      <c r="HU145" s="476"/>
      <c r="HV145" s="476"/>
      <c r="HW145" s="476"/>
      <c r="HX145" s="476"/>
      <c r="HY145" s="476"/>
      <c r="HZ145" s="476"/>
      <c r="IA145" s="476"/>
      <c r="IB145" s="476"/>
      <c r="IC145" s="476"/>
      <c r="ID145" s="476"/>
      <c r="IE145" s="476"/>
      <c r="IF145" s="476"/>
      <c r="IG145" s="476"/>
      <c r="IH145" s="476"/>
      <c r="II145" s="476"/>
      <c r="IJ145" s="476"/>
      <c r="IK145" s="476"/>
      <c r="IL145" s="476"/>
      <c r="IM145" s="476"/>
      <c r="IN145" s="476"/>
      <c r="IO145" s="476"/>
      <c r="IP145" s="476"/>
      <c r="IQ145" s="476"/>
      <c r="IR145" s="476"/>
      <c r="IS145" s="476"/>
    </row>
    <row r="146" spans="1:12" ht="148.5">
      <c r="A146" s="606">
        <v>138</v>
      </c>
      <c r="B146" s="923"/>
      <c r="C146" s="913">
        <v>1</v>
      </c>
      <c r="D146" s="419" t="s">
        <v>1333</v>
      </c>
      <c r="E146" s="420" t="s">
        <v>781</v>
      </c>
      <c r="F146" s="444">
        <f t="shared" si="3"/>
        <v>3996</v>
      </c>
      <c r="G146" s="444"/>
      <c r="H146" s="447"/>
      <c r="I146" s="489">
        <v>905</v>
      </c>
      <c r="J146" s="444">
        <v>3996</v>
      </c>
      <c r="K146" s="859">
        <v>3996</v>
      </c>
      <c r="L146" s="407"/>
    </row>
    <row r="147" spans="1:12" ht="17.25">
      <c r="A147" s="606">
        <v>139</v>
      </c>
      <c r="B147" s="923"/>
      <c r="C147" s="913">
        <v>2</v>
      </c>
      <c r="D147" s="419" t="s">
        <v>1334</v>
      </c>
      <c r="E147" s="420" t="s">
        <v>781</v>
      </c>
      <c r="F147" s="444">
        <f t="shared" si="3"/>
        <v>1300</v>
      </c>
      <c r="G147" s="444"/>
      <c r="H147" s="447"/>
      <c r="I147" s="489"/>
      <c r="J147" s="444">
        <v>1300</v>
      </c>
      <c r="K147" s="859">
        <v>1301</v>
      </c>
      <c r="L147" s="407"/>
    </row>
    <row r="148" spans="1:12" ht="17.25">
      <c r="A148" s="606">
        <v>140</v>
      </c>
      <c r="B148" s="923"/>
      <c r="C148" s="913">
        <v>3</v>
      </c>
      <c r="D148" s="419" t="s">
        <v>107</v>
      </c>
      <c r="E148" s="420" t="s">
        <v>781</v>
      </c>
      <c r="F148" s="444">
        <f t="shared" si="3"/>
        <v>189</v>
      </c>
      <c r="G148" s="444"/>
      <c r="H148" s="447"/>
      <c r="I148" s="489"/>
      <c r="J148" s="444">
        <v>189</v>
      </c>
      <c r="K148" s="859">
        <v>200</v>
      </c>
      <c r="L148" s="407"/>
    </row>
    <row r="149" spans="1:12" ht="17.25">
      <c r="A149" s="606">
        <v>141</v>
      </c>
      <c r="B149" s="923"/>
      <c r="C149" s="913">
        <v>4</v>
      </c>
      <c r="D149" s="419" t="s">
        <v>108</v>
      </c>
      <c r="E149" s="420" t="s">
        <v>781</v>
      </c>
      <c r="F149" s="444">
        <f t="shared" si="3"/>
        <v>511</v>
      </c>
      <c r="G149" s="444"/>
      <c r="H149" s="447"/>
      <c r="I149" s="489"/>
      <c r="J149" s="444">
        <v>511</v>
      </c>
      <c r="K149" s="859">
        <v>511</v>
      </c>
      <c r="L149" s="407"/>
    </row>
    <row r="150" spans="1:253" ht="17.25">
      <c r="A150" s="606">
        <v>142</v>
      </c>
      <c r="B150" s="923">
        <v>3</v>
      </c>
      <c r="C150" s="913"/>
      <c r="D150" s="442" t="s">
        <v>1335</v>
      </c>
      <c r="E150" s="443"/>
      <c r="F150" s="444"/>
      <c r="G150" s="445"/>
      <c r="H150" s="446"/>
      <c r="I150" s="488"/>
      <c r="J150" s="444"/>
      <c r="K150" s="858"/>
      <c r="L150" s="407"/>
      <c r="M150" s="476"/>
      <c r="N150" s="476"/>
      <c r="O150" s="476"/>
      <c r="P150" s="476"/>
      <c r="Q150" s="476"/>
      <c r="R150" s="476"/>
      <c r="S150" s="476"/>
      <c r="T150" s="476"/>
      <c r="U150" s="476"/>
      <c r="V150" s="476"/>
      <c r="W150" s="476"/>
      <c r="X150" s="476"/>
      <c r="Y150" s="476"/>
      <c r="Z150" s="476"/>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76"/>
      <c r="BC150" s="476"/>
      <c r="BD150" s="476"/>
      <c r="BE150" s="476"/>
      <c r="BF150" s="476"/>
      <c r="BG150" s="476"/>
      <c r="BH150" s="476"/>
      <c r="BI150" s="476"/>
      <c r="BJ150" s="476"/>
      <c r="BK150" s="476"/>
      <c r="BL150" s="476"/>
      <c r="BM150" s="476"/>
      <c r="BN150" s="476"/>
      <c r="BO150" s="476"/>
      <c r="BP150" s="476"/>
      <c r="BQ150" s="476"/>
      <c r="BR150" s="476"/>
      <c r="BS150" s="476"/>
      <c r="BT150" s="476"/>
      <c r="BU150" s="476"/>
      <c r="BV150" s="476"/>
      <c r="BW150" s="476"/>
      <c r="BX150" s="476"/>
      <c r="BY150" s="476"/>
      <c r="BZ150" s="476"/>
      <c r="CA150" s="476"/>
      <c r="CB150" s="476"/>
      <c r="CC150" s="476"/>
      <c r="CD150" s="476"/>
      <c r="CE150" s="476"/>
      <c r="CF150" s="476"/>
      <c r="CG150" s="476"/>
      <c r="CH150" s="476"/>
      <c r="CI150" s="476"/>
      <c r="CJ150" s="476"/>
      <c r="CK150" s="476"/>
      <c r="CL150" s="476"/>
      <c r="CM150" s="476"/>
      <c r="CN150" s="476"/>
      <c r="CO150" s="476"/>
      <c r="CP150" s="476"/>
      <c r="CQ150" s="476"/>
      <c r="CR150" s="476"/>
      <c r="CS150" s="476"/>
      <c r="CT150" s="476"/>
      <c r="CU150" s="476"/>
      <c r="CV150" s="476"/>
      <c r="CW150" s="476"/>
      <c r="CX150" s="476"/>
      <c r="CY150" s="476"/>
      <c r="CZ150" s="476"/>
      <c r="DA150" s="476"/>
      <c r="DB150" s="476"/>
      <c r="DC150" s="476"/>
      <c r="DD150" s="476"/>
      <c r="DE150" s="476"/>
      <c r="DF150" s="476"/>
      <c r="DG150" s="476"/>
      <c r="DH150" s="476"/>
      <c r="DI150" s="476"/>
      <c r="DJ150" s="476"/>
      <c r="DK150" s="476"/>
      <c r="DL150" s="476"/>
      <c r="DM150" s="476"/>
      <c r="DN150" s="476"/>
      <c r="DO150" s="476"/>
      <c r="DP150" s="476"/>
      <c r="DQ150" s="476"/>
      <c r="DR150" s="476"/>
      <c r="DS150" s="476"/>
      <c r="DT150" s="476"/>
      <c r="DU150" s="476"/>
      <c r="DV150" s="476"/>
      <c r="DW150" s="476"/>
      <c r="DX150" s="476"/>
      <c r="DY150" s="476"/>
      <c r="DZ150" s="476"/>
      <c r="EA150" s="476"/>
      <c r="EB150" s="476"/>
      <c r="EC150" s="476"/>
      <c r="ED150" s="476"/>
      <c r="EE150" s="476"/>
      <c r="EF150" s="476"/>
      <c r="EG150" s="476"/>
      <c r="EH150" s="476"/>
      <c r="EI150" s="476"/>
      <c r="EJ150" s="476"/>
      <c r="EK150" s="476"/>
      <c r="EL150" s="476"/>
      <c r="EM150" s="476"/>
      <c r="EN150" s="476"/>
      <c r="EO150" s="476"/>
      <c r="EP150" s="476"/>
      <c r="EQ150" s="476"/>
      <c r="ER150" s="476"/>
      <c r="ES150" s="476"/>
      <c r="ET150" s="476"/>
      <c r="EU150" s="476"/>
      <c r="EV150" s="476"/>
      <c r="EW150" s="476"/>
      <c r="EX150" s="476"/>
      <c r="EY150" s="476"/>
      <c r="EZ150" s="476"/>
      <c r="FA150" s="476"/>
      <c r="FB150" s="476"/>
      <c r="FC150" s="476"/>
      <c r="FD150" s="476"/>
      <c r="FE150" s="476"/>
      <c r="FF150" s="476"/>
      <c r="FG150" s="476"/>
      <c r="FH150" s="476"/>
      <c r="FI150" s="476"/>
      <c r="FJ150" s="476"/>
      <c r="FK150" s="476"/>
      <c r="FL150" s="476"/>
      <c r="FM150" s="476"/>
      <c r="FN150" s="476"/>
      <c r="FO150" s="476"/>
      <c r="FP150" s="476"/>
      <c r="FQ150" s="476"/>
      <c r="FR150" s="476"/>
      <c r="FS150" s="476"/>
      <c r="FT150" s="476"/>
      <c r="FU150" s="476"/>
      <c r="FV150" s="476"/>
      <c r="FW150" s="476"/>
      <c r="FX150" s="476"/>
      <c r="FY150" s="476"/>
      <c r="FZ150" s="476"/>
      <c r="GA150" s="476"/>
      <c r="GB150" s="476"/>
      <c r="GC150" s="476"/>
      <c r="GD150" s="476"/>
      <c r="GE150" s="476"/>
      <c r="GF150" s="476"/>
      <c r="GG150" s="476"/>
      <c r="GH150" s="476"/>
      <c r="GI150" s="476"/>
      <c r="GJ150" s="476"/>
      <c r="GK150" s="476"/>
      <c r="GL150" s="476"/>
      <c r="GM150" s="476"/>
      <c r="GN150" s="476"/>
      <c r="GO150" s="476"/>
      <c r="GP150" s="476"/>
      <c r="GQ150" s="476"/>
      <c r="GR150" s="476"/>
      <c r="GS150" s="476"/>
      <c r="GT150" s="476"/>
      <c r="GU150" s="476"/>
      <c r="GV150" s="476"/>
      <c r="GW150" s="476"/>
      <c r="GX150" s="476"/>
      <c r="GY150" s="476"/>
      <c r="GZ150" s="476"/>
      <c r="HA150" s="476"/>
      <c r="HB150" s="476"/>
      <c r="HC150" s="476"/>
      <c r="HD150" s="476"/>
      <c r="HE150" s="476"/>
      <c r="HF150" s="476"/>
      <c r="HG150" s="476"/>
      <c r="HH150" s="476"/>
      <c r="HI150" s="476"/>
      <c r="HJ150" s="476"/>
      <c r="HK150" s="476"/>
      <c r="HL150" s="476"/>
      <c r="HM150" s="476"/>
      <c r="HN150" s="476"/>
      <c r="HO150" s="476"/>
      <c r="HP150" s="476"/>
      <c r="HQ150" s="476"/>
      <c r="HR150" s="476"/>
      <c r="HS150" s="476"/>
      <c r="HT150" s="476"/>
      <c r="HU150" s="476"/>
      <c r="HV150" s="476"/>
      <c r="HW150" s="476"/>
      <c r="HX150" s="476"/>
      <c r="HY150" s="476"/>
      <c r="HZ150" s="476"/>
      <c r="IA150" s="476"/>
      <c r="IB150" s="476"/>
      <c r="IC150" s="476"/>
      <c r="ID150" s="476"/>
      <c r="IE150" s="476"/>
      <c r="IF150" s="476"/>
      <c r="IG150" s="476"/>
      <c r="IH150" s="476"/>
      <c r="II150" s="476"/>
      <c r="IJ150" s="476"/>
      <c r="IK150" s="476"/>
      <c r="IL150" s="476"/>
      <c r="IM150" s="476"/>
      <c r="IN150" s="476"/>
      <c r="IO150" s="476"/>
      <c r="IP150" s="476"/>
      <c r="IQ150" s="476"/>
      <c r="IR150" s="476"/>
      <c r="IS150" s="476"/>
    </row>
    <row r="151" spans="1:12" ht="17.25">
      <c r="A151" s="606">
        <v>143</v>
      </c>
      <c r="B151" s="923"/>
      <c r="C151" s="913">
        <v>1</v>
      </c>
      <c r="D151" s="419" t="s">
        <v>109</v>
      </c>
      <c r="E151" s="420" t="s">
        <v>781</v>
      </c>
      <c r="F151" s="444">
        <f t="shared" si="3"/>
        <v>280</v>
      </c>
      <c r="G151" s="444"/>
      <c r="H151" s="447"/>
      <c r="I151" s="489">
        <v>200</v>
      </c>
      <c r="J151" s="444">
        <v>280</v>
      </c>
      <c r="K151" s="859">
        <v>78</v>
      </c>
      <c r="L151" s="407"/>
    </row>
    <row r="152" spans="1:12" ht="49.5">
      <c r="A152" s="606">
        <v>144</v>
      </c>
      <c r="B152" s="923"/>
      <c r="C152" s="913">
        <v>2</v>
      </c>
      <c r="D152" s="419" t="s">
        <v>1336</v>
      </c>
      <c r="E152" s="420" t="s">
        <v>781</v>
      </c>
      <c r="F152" s="444">
        <f t="shared" si="3"/>
        <v>722</v>
      </c>
      <c r="G152" s="444"/>
      <c r="H152" s="447"/>
      <c r="I152" s="489">
        <v>125</v>
      </c>
      <c r="J152" s="444">
        <v>722</v>
      </c>
      <c r="K152" s="859">
        <v>544</v>
      </c>
      <c r="L152" s="407"/>
    </row>
    <row r="153" spans="1:12" ht="17.25">
      <c r="A153" s="606">
        <v>145</v>
      </c>
      <c r="B153" s="923">
        <v>3</v>
      </c>
      <c r="C153" s="913"/>
      <c r="D153" s="442" t="s">
        <v>1337</v>
      </c>
      <c r="E153" s="420"/>
      <c r="F153" s="444"/>
      <c r="G153" s="444"/>
      <c r="H153" s="447"/>
      <c r="I153" s="489"/>
      <c r="J153" s="444"/>
      <c r="K153" s="859"/>
      <c r="L153" s="407"/>
    </row>
    <row r="154" spans="1:12" ht="66">
      <c r="A154" s="606">
        <v>146</v>
      </c>
      <c r="B154" s="923"/>
      <c r="C154" s="913">
        <v>1</v>
      </c>
      <c r="D154" s="419" t="s">
        <v>1338</v>
      </c>
      <c r="E154" s="420" t="s">
        <v>781</v>
      </c>
      <c r="F154" s="444">
        <f t="shared" si="3"/>
        <v>1117</v>
      </c>
      <c r="G154" s="444"/>
      <c r="H154" s="447"/>
      <c r="I154" s="489"/>
      <c r="J154" s="444">
        <v>1117</v>
      </c>
      <c r="K154" s="859">
        <v>1269</v>
      </c>
      <c r="L154" s="407"/>
    </row>
    <row r="155" spans="1:12" ht="17.25">
      <c r="A155" s="606"/>
      <c r="B155" s="923"/>
      <c r="C155" s="913">
        <v>2</v>
      </c>
      <c r="D155" s="419" t="s">
        <v>1134</v>
      </c>
      <c r="E155" s="420" t="s">
        <v>781</v>
      </c>
      <c r="F155" s="444">
        <f>SUM(G155:H155,K155)</f>
        <v>100</v>
      </c>
      <c r="G155" s="444"/>
      <c r="H155" s="447"/>
      <c r="I155" s="489"/>
      <c r="J155" s="444"/>
      <c r="K155" s="859">
        <v>100</v>
      </c>
      <c r="L155" s="407"/>
    </row>
    <row r="156" spans="1:12" ht="17.25">
      <c r="A156" s="606"/>
      <c r="B156" s="923"/>
      <c r="C156" s="913">
        <v>3</v>
      </c>
      <c r="D156" s="419" t="s">
        <v>1135</v>
      </c>
      <c r="E156" s="420" t="s">
        <v>781</v>
      </c>
      <c r="F156" s="444">
        <f>SUM(G156:H156,K156)</f>
        <v>78</v>
      </c>
      <c r="G156" s="444"/>
      <c r="H156" s="447"/>
      <c r="I156" s="489"/>
      <c r="J156" s="444"/>
      <c r="K156" s="859">
        <v>78</v>
      </c>
      <c r="L156" s="407"/>
    </row>
    <row r="157" spans="1:253" ht="17.25">
      <c r="A157" s="606">
        <v>147</v>
      </c>
      <c r="B157" s="923">
        <v>4</v>
      </c>
      <c r="C157" s="913"/>
      <c r="D157" s="442" t="s">
        <v>1226</v>
      </c>
      <c r="E157" s="443"/>
      <c r="F157" s="444"/>
      <c r="G157" s="445"/>
      <c r="H157" s="446"/>
      <c r="I157" s="488"/>
      <c r="J157" s="444"/>
      <c r="K157" s="858"/>
      <c r="L157" s="407"/>
      <c r="M157" s="476"/>
      <c r="N157" s="476"/>
      <c r="O157" s="476"/>
      <c r="P157" s="476"/>
      <c r="Q157" s="476"/>
      <c r="R157" s="476"/>
      <c r="S157" s="476"/>
      <c r="T157" s="476"/>
      <c r="U157" s="476"/>
      <c r="V157" s="476"/>
      <c r="W157" s="476"/>
      <c r="X157" s="476"/>
      <c r="Y157" s="476"/>
      <c r="Z157" s="476"/>
      <c r="AA157" s="476"/>
      <c r="AB157" s="476"/>
      <c r="AC157" s="476"/>
      <c r="AD157" s="476"/>
      <c r="AE157" s="476"/>
      <c r="AF157" s="476"/>
      <c r="AG157" s="476"/>
      <c r="AH157" s="476"/>
      <c r="AI157" s="476"/>
      <c r="AJ157" s="476"/>
      <c r="AK157" s="476"/>
      <c r="AL157" s="476"/>
      <c r="AM157" s="476"/>
      <c r="AN157" s="476"/>
      <c r="AO157" s="476"/>
      <c r="AP157" s="476"/>
      <c r="AQ157" s="476"/>
      <c r="AR157" s="476"/>
      <c r="AS157" s="476"/>
      <c r="AT157" s="476"/>
      <c r="AU157" s="476"/>
      <c r="AV157" s="476"/>
      <c r="AW157" s="476"/>
      <c r="AX157" s="476"/>
      <c r="AY157" s="476"/>
      <c r="AZ157" s="476"/>
      <c r="BA157" s="476"/>
      <c r="BB157" s="476"/>
      <c r="BC157" s="476"/>
      <c r="BD157" s="476"/>
      <c r="BE157" s="476"/>
      <c r="BF157" s="476"/>
      <c r="BG157" s="476"/>
      <c r="BH157" s="476"/>
      <c r="BI157" s="476"/>
      <c r="BJ157" s="476"/>
      <c r="BK157" s="476"/>
      <c r="BL157" s="476"/>
      <c r="BM157" s="476"/>
      <c r="BN157" s="476"/>
      <c r="BO157" s="476"/>
      <c r="BP157" s="476"/>
      <c r="BQ157" s="476"/>
      <c r="BR157" s="476"/>
      <c r="BS157" s="476"/>
      <c r="BT157" s="476"/>
      <c r="BU157" s="476"/>
      <c r="BV157" s="476"/>
      <c r="BW157" s="476"/>
      <c r="BX157" s="476"/>
      <c r="BY157" s="476"/>
      <c r="BZ157" s="476"/>
      <c r="CA157" s="476"/>
      <c r="CB157" s="476"/>
      <c r="CC157" s="476"/>
      <c r="CD157" s="476"/>
      <c r="CE157" s="476"/>
      <c r="CF157" s="476"/>
      <c r="CG157" s="476"/>
      <c r="CH157" s="476"/>
      <c r="CI157" s="476"/>
      <c r="CJ157" s="476"/>
      <c r="CK157" s="476"/>
      <c r="CL157" s="476"/>
      <c r="CM157" s="476"/>
      <c r="CN157" s="476"/>
      <c r="CO157" s="476"/>
      <c r="CP157" s="476"/>
      <c r="CQ157" s="476"/>
      <c r="CR157" s="476"/>
      <c r="CS157" s="476"/>
      <c r="CT157" s="476"/>
      <c r="CU157" s="476"/>
      <c r="CV157" s="476"/>
      <c r="CW157" s="476"/>
      <c r="CX157" s="476"/>
      <c r="CY157" s="476"/>
      <c r="CZ157" s="476"/>
      <c r="DA157" s="476"/>
      <c r="DB157" s="476"/>
      <c r="DC157" s="476"/>
      <c r="DD157" s="476"/>
      <c r="DE157" s="476"/>
      <c r="DF157" s="476"/>
      <c r="DG157" s="476"/>
      <c r="DH157" s="476"/>
      <c r="DI157" s="476"/>
      <c r="DJ157" s="476"/>
      <c r="DK157" s="476"/>
      <c r="DL157" s="476"/>
      <c r="DM157" s="476"/>
      <c r="DN157" s="476"/>
      <c r="DO157" s="476"/>
      <c r="DP157" s="476"/>
      <c r="DQ157" s="476"/>
      <c r="DR157" s="476"/>
      <c r="DS157" s="476"/>
      <c r="DT157" s="476"/>
      <c r="DU157" s="476"/>
      <c r="DV157" s="476"/>
      <c r="DW157" s="476"/>
      <c r="DX157" s="476"/>
      <c r="DY157" s="476"/>
      <c r="DZ157" s="476"/>
      <c r="EA157" s="476"/>
      <c r="EB157" s="476"/>
      <c r="EC157" s="476"/>
      <c r="ED157" s="476"/>
      <c r="EE157" s="476"/>
      <c r="EF157" s="476"/>
      <c r="EG157" s="476"/>
      <c r="EH157" s="476"/>
      <c r="EI157" s="476"/>
      <c r="EJ157" s="476"/>
      <c r="EK157" s="476"/>
      <c r="EL157" s="476"/>
      <c r="EM157" s="476"/>
      <c r="EN157" s="476"/>
      <c r="EO157" s="476"/>
      <c r="EP157" s="476"/>
      <c r="EQ157" s="476"/>
      <c r="ER157" s="476"/>
      <c r="ES157" s="476"/>
      <c r="ET157" s="476"/>
      <c r="EU157" s="476"/>
      <c r="EV157" s="476"/>
      <c r="EW157" s="476"/>
      <c r="EX157" s="476"/>
      <c r="EY157" s="476"/>
      <c r="EZ157" s="476"/>
      <c r="FA157" s="476"/>
      <c r="FB157" s="476"/>
      <c r="FC157" s="476"/>
      <c r="FD157" s="476"/>
      <c r="FE157" s="476"/>
      <c r="FF157" s="476"/>
      <c r="FG157" s="476"/>
      <c r="FH157" s="476"/>
      <c r="FI157" s="476"/>
      <c r="FJ157" s="476"/>
      <c r="FK157" s="476"/>
      <c r="FL157" s="476"/>
      <c r="FM157" s="476"/>
      <c r="FN157" s="476"/>
      <c r="FO157" s="476"/>
      <c r="FP157" s="476"/>
      <c r="FQ157" s="476"/>
      <c r="FR157" s="476"/>
      <c r="FS157" s="476"/>
      <c r="FT157" s="476"/>
      <c r="FU157" s="476"/>
      <c r="FV157" s="476"/>
      <c r="FW157" s="476"/>
      <c r="FX157" s="476"/>
      <c r="FY157" s="476"/>
      <c r="FZ157" s="476"/>
      <c r="GA157" s="476"/>
      <c r="GB157" s="476"/>
      <c r="GC157" s="476"/>
      <c r="GD157" s="476"/>
      <c r="GE157" s="476"/>
      <c r="GF157" s="476"/>
      <c r="GG157" s="476"/>
      <c r="GH157" s="476"/>
      <c r="GI157" s="476"/>
      <c r="GJ157" s="476"/>
      <c r="GK157" s="476"/>
      <c r="GL157" s="476"/>
      <c r="GM157" s="476"/>
      <c r="GN157" s="476"/>
      <c r="GO157" s="476"/>
      <c r="GP157" s="476"/>
      <c r="GQ157" s="476"/>
      <c r="GR157" s="476"/>
      <c r="GS157" s="476"/>
      <c r="GT157" s="476"/>
      <c r="GU157" s="476"/>
      <c r="GV157" s="476"/>
      <c r="GW157" s="476"/>
      <c r="GX157" s="476"/>
      <c r="GY157" s="476"/>
      <c r="GZ157" s="476"/>
      <c r="HA157" s="476"/>
      <c r="HB157" s="476"/>
      <c r="HC157" s="476"/>
      <c r="HD157" s="476"/>
      <c r="HE157" s="476"/>
      <c r="HF157" s="476"/>
      <c r="HG157" s="476"/>
      <c r="HH157" s="476"/>
      <c r="HI157" s="476"/>
      <c r="HJ157" s="476"/>
      <c r="HK157" s="476"/>
      <c r="HL157" s="476"/>
      <c r="HM157" s="476"/>
      <c r="HN157" s="476"/>
      <c r="HO157" s="476"/>
      <c r="HP157" s="476"/>
      <c r="HQ157" s="476"/>
      <c r="HR157" s="476"/>
      <c r="HS157" s="476"/>
      <c r="HT157" s="476"/>
      <c r="HU157" s="476"/>
      <c r="HV157" s="476"/>
      <c r="HW157" s="476"/>
      <c r="HX157" s="476"/>
      <c r="HY157" s="476"/>
      <c r="HZ157" s="476"/>
      <c r="IA157" s="476"/>
      <c r="IB157" s="476"/>
      <c r="IC157" s="476"/>
      <c r="ID157" s="476"/>
      <c r="IE157" s="476"/>
      <c r="IF157" s="476"/>
      <c r="IG157" s="476"/>
      <c r="IH157" s="476"/>
      <c r="II157" s="476"/>
      <c r="IJ157" s="476"/>
      <c r="IK157" s="476"/>
      <c r="IL157" s="476"/>
      <c r="IM157" s="476"/>
      <c r="IN157" s="476"/>
      <c r="IO157" s="476"/>
      <c r="IP157" s="476"/>
      <c r="IQ157" s="476"/>
      <c r="IR157" s="476"/>
      <c r="IS157" s="476"/>
    </row>
    <row r="158" spans="1:12" ht="148.5">
      <c r="A158" s="606">
        <v>148</v>
      </c>
      <c r="B158" s="923"/>
      <c r="C158" s="913">
        <v>1</v>
      </c>
      <c r="D158" s="419" t="s">
        <v>1339</v>
      </c>
      <c r="E158" s="420" t="s">
        <v>781</v>
      </c>
      <c r="F158" s="444">
        <f t="shared" si="3"/>
        <v>1604</v>
      </c>
      <c r="G158" s="444"/>
      <c r="H158" s="447"/>
      <c r="I158" s="489">
        <v>900</v>
      </c>
      <c r="J158" s="444">
        <v>1604</v>
      </c>
      <c r="K158" s="859">
        <v>717</v>
      </c>
      <c r="L158" s="407"/>
    </row>
    <row r="159" spans="1:12" ht="33">
      <c r="A159" s="606">
        <v>149</v>
      </c>
      <c r="B159" s="923"/>
      <c r="C159" s="913">
        <v>2</v>
      </c>
      <c r="D159" s="419" t="s">
        <v>110</v>
      </c>
      <c r="E159" s="420" t="s">
        <v>781</v>
      </c>
      <c r="F159" s="444">
        <f t="shared" si="3"/>
        <v>3200</v>
      </c>
      <c r="G159" s="444"/>
      <c r="H159" s="447"/>
      <c r="I159" s="489"/>
      <c r="J159" s="444">
        <v>3200</v>
      </c>
      <c r="K159" s="859">
        <v>2036</v>
      </c>
      <c r="L159" s="407"/>
    </row>
    <row r="160" spans="1:12" ht="17.25">
      <c r="A160" s="606">
        <v>150</v>
      </c>
      <c r="B160" s="923"/>
      <c r="C160" s="913">
        <v>3</v>
      </c>
      <c r="D160" s="419" t="s">
        <v>1340</v>
      </c>
      <c r="E160" s="420" t="s">
        <v>781</v>
      </c>
      <c r="F160" s="444">
        <f t="shared" si="3"/>
        <v>310</v>
      </c>
      <c r="G160" s="444"/>
      <c r="H160" s="447"/>
      <c r="I160" s="489"/>
      <c r="J160" s="444">
        <v>310</v>
      </c>
      <c r="K160" s="859">
        <v>799</v>
      </c>
      <c r="L160" s="407"/>
    </row>
    <row r="161" spans="1:12" ht="17.25">
      <c r="A161" s="606">
        <v>151</v>
      </c>
      <c r="B161" s="923"/>
      <c r="C161" s="913">
        <v>4</v>
      </c>
      <c r="D161" s="419" t="s">
        <v>1341</v>
      </c>
      <c r="E161" s="420" t="s">
        <v>781</v>
      </c>
      <c r="F161" s="444">
        <f t="shared" si="3"/>
        <v>2286</v>
      </c>
      <c r="G161" s="444"/>
      <c r="H161" s="447"/>
      <c r="I161" s="489"/>
      <c r="J161" s="444">
        <v>2286</v>
      </c>
      <c r="K161" s="859">
        <v>2286</v>
      </c>
      <c r="L161" s="407"/>
    </row>
    <row r="162" spans="1:253" ht="17.25">
      <c r="A162" s="606"/>
      <c r="B162" s="923">
        <v>4</v>
      </c>
      <c r="C162" s="913"/>
      <c r="D162" s="442" t="s">
        <v>1136</v>
      </c>
      <c r="E162" s="443"/>
      <c r="F162" s="444"/>
      <c r="G162" s="445"/>
      <c r="H162" s="446"/>
      <c r="I162" s="488"/>
      <c r="J162" s="444"/>
      <c r="K162" s="858"/>
      <c r="L162" s="407"/>
      <c r="M162" s="476"/>
      <c r="N162" s="476"/>
      <c r="O162" s="476"/>
      <c r="P162" s="476"/>
      <c r="Q162" s="476"/>
      <c r="R162" s="476"/>
      <c r="S162" s="476"/>
      <c r="T162" s="476"/>
      <c r="U162" s="476"/>
      <c r="V162" s="476"/>
      <c r="W162" s="476"/>
      <c r="X162" s="476"/>
      <c r="Y162" s="476"/>
      <c r="Z162" s="476"/>
      <c r="AA162" s="476"/>
      <c r="AB162" s="476"/>
      <c r="AC162" s="476"/>
      <c r="AD162" s="476"/>
      <c r="AE162" s="476"/>
      <c r="AF162" s="476"/>
      <c r="AG162" s="476"/>
      <c r="AH162" s="476"/>
      <c r="AI162" s="476"/>
      <c r="AJ162" s="476"/>
      <c r="AK162" s="476"/>
      <c r="AL162" s="476"/>
      <c r="AM162" s="476"/>
      <c r="AN162" s="476"/>
      <c r="AO162" s="476"/>
      <c r="AP162" s="476"/>
      <c r="AQ162" s="476"/>
      <c r="AR162" s="476"/>
      <c r="AS162" s="476"/>
      <c r="AT162" s="476"/>
      <c r="AU162" s="476"/>
      <c r="AV162" s="476"/>
      <c r="AW162" s="476"/>
      <c r="AX162" s="476"/>
      <c r="AY162" s="476"/>
      <c r="AZ162" s="476"/>
      <c r="BA162" s="476"/>
      <c r="BB162" s="476"/>
      <c r="BC162" s="476"/>
      <c r="BD162" s="476"/>
      <c r="BE162" s="476"/>
      <c r="BF162" s="476"/>
      <c r="BG162" s="476"/>
      <c r="BH162" s="476"/>
      <c r="BI162" s="476"/>
      <c r="BJ162" s="476"/>
      <c r="BK162" s="476"/>
      <c r="BL162" s="476"/>
      <c r="BM162" s="476"/>
      <c r="BN162" s="476"/>
      <c r="BO162" s="476"/>
      <c r="BP162" s="476"/>
      <c r="BQ162" s="476"/>
      <c r="BR162" s="476"/>
      <c r="BS162" s="476"/>
      <c r="BT162" s="476"/>
      <c r="BU162" s="476"/>
      <c r="BV162" s="476"/>
      <c r="BW162" s="476"/>
      <c r="BX162" s="476"/>
      <c r="BY162" s="476"/>
      <c r="BZ162" s="476"/>
      <c r="CA162" s="476"/>
      <c r="CB162" s="476"/>
      <c r="CC162" s="476"/>
      <c r="CD162" s="476"/>
      <c r="CE162" s="476"/>
      <c r="CF162" s="476"/>
      <c r="CG162" s="476"/>
      <c r="CH162" s="476"/>
      <c r="CI162" s="476"/>
      <c r="CJ162" s="476"/>
      <c r="CK162" s="476"/>
      <c r="CL162" s="476"/>
      <c r="CM162" s="476"/>
      <c r="CN162" s="476"/>
      <c r="CO162" s="476"/>
      <c r="CP162" s="476"/>
      <c r="CQ162" s="476"/>
      <c r="CR162" s="476"/>
      <c r="CS162" s="476"/>
      <c r="CT162" s="476"/>
      <c r="CU162" s="476"/>
      <c r="CV162" s="476"/>
      <c r="CW162" s="476"/>
      <c r="CX162" s="476"/>
      <c r="CY162" s="476"/>
      <c r="CZ162" s="476"/>
      <c r="DA162" s="476"/>
      <c r="DB162" s="476"/>
      <c r="DC162" s="476"/>
      <c r="DD162" s="476"/>
      <c r="DE162" s="476"/>
      <c r="DF162" s="476"/>
      <c r="DG162" s="476"/>
      <c r="DH162" s="476"/>
      <c r="DI162" s="476"/>
      <c r="DJ162" s="476"/>
      <c r="DK162" s="476"/>
      <c r="DL162" s="476"/>
      <c r="DM162" s="476"/>
      <c r="DN162" s="476"/>
      <c r="DO162" s="476"/>
      <c r="DP162" s="476"/>
      <c r="DQ162" s="476"/>
      <c r="DR162" s="476"/>
      <c r="DS162" s="476"/>
      <c r="DT162" s="476"/>
      <c r="DU162" s="476"/>
      <c r="DV162" s="476"/>
      <c r="DW162" s="476"/>
      <c r="DX162" s="476"/>
      <c r="DY162" s="476"/>
      <c r="DZ162" s="476"/>
      <c r="EA162" s="476"/>
      <c r="EB162" s="476"/>
      <c r="EC162" s="476"/>
      <c r="ED162" s="476"/>
      <c r="EE162" s="476"/>
      <c r="EF162" s="476"/>
      <c r="EG162" s="476"/>
      <c r="EH162" s="476"/>
      <c r="EI162" s="476"/>
      <c r="EJ162" s="476"/>
      <c r="EK162" s="476"/>
      <c r="EL162" s="476"/>
      <c r="EM162" s="476"/>
      <c r="EN162" s="476"/>
      <c r="EO162" s="476"/>
      <c r="EP162" s="476"/>
      <c r="EQ162" s="476"/>
      <c r="ER162" s="476"/>
      <c r="ES162" s="476"/>
      <c r="ET162" s="476"/>
      <c r="EU162" s="476"/>
      <c r="EV162" s="476"/>
      <c r="EW162" s="476"/>
      <c r="EX162" s="476"/>
      <c r="EY162" s="476"/>
      <c r="EZ162" s="476"/>
      <c r="FA162" s="476"/>
      <c r="FB162" s="476"/>
      <c r="FC162" s="476"/>
      <c r="FD162" s="476"/>
      <c r="FE162" s="476"/>
      <c r="FF162" s="476"/>
      <c r="FG162" s="476"/>
      <c r="FH162" s="476"/>
      <c r="FI162" s="476"/>
      <c r="FJ162" s="476"/>
      <c r="FK162" s="476"/>
      <c r="FL162" s="476"/>
      <c r="FM162" s="476"/>
      <c r="FN162" s="476"/>
      <c r="FO162" s="476"/>
      <c r="FP162" s="476"/>
      <c r="FQ162" s="476"/>
      <c r="FR162" s="476"/>
      <c r="FS162" s="476"/>
      <c r="FT162" s="476"/>
      <c r="FU162" s="476"/>
      <c r="FV162" s="476"/>
      <c r="FW162" s="476"/>
      <c r="FX162" s="476"/>
      <c r="FY162" s="476"/>
      <c r="FZ162" s="476"/>
      <c r="GA162" s="476"/>
      <c r="GB162" s="476"/>
      <c r="GC162" s="476"/>
      <c r="GD162" s="476"/>
      <c r="GE162" s="476"/>
      <c r="GF162" s="476"/>
      <c r="GG162" s="476"/>
      <c r="GH162" s="476"/>
      <c r="GI162" s="476"/>
      <c r="GJ162" s="476"/>
      <c r="GK162" s="476"/>
      <c r="GL162" s="476"/>
      <c r="GM162" s="476"/>
      <c r="GN162" s="476"/>
      <c r="GO162" s="476"/>
      <c r="GP162" s="476"/>
      <c r="GQ162" s="476"/>
      <c r="GR162" s="476"/>
      <c r="GS162" s="476"/>
      <c r="GT162" s="476"/>
      <c r="GU162" s="476"/>
      <c r="GV162" s="476"/>
      <c r="GW162" s="476"/>
      <c r="GX162" s="476"/>
      <c r="GY162" s="476"/>
      <c r="GZ162" s="476"/>
      <c r="HA162" s="476"/>
      <c r="HB162" s="476"/>
      <c r="HC162" s="476"/>
      <c r="HD162" s="476"/>
      <c r="HE162" s="476"/>
      <c r="HF162" s="476"/>
      <c r="HG162" s="476"/>
      <c r="HH162" s="476"/>
      <c r="HI162" s="476"/>
      <c r="HJ162" s="476"/>
      <c r="HK162" s="476"/>
      <c r="HL162" s="476"/>
      <c r="HM162" s="476"/>
      <c r="HN162" s="476"/>
      <c r="HO162" s="476"/>
      <c r="HP162" s="476"/>
      <c r="HQ162" s="476"/>
      <c r="HR162" s="476"/>
      <c r="HS162" s="476"/>
      <c r="HT162" s="476"/>
      <c r="HU162" s="476"/>
      <c r="HV162" s="476"/>
      <c r="HW162" s="476"/>
      <c r="HX162" s="476"/>
      <c r="HY162" s="476"/>
      <c r="HZ162" s="476"/>
      <c r="IA162" s="476"/>
      <c r="IB162" s="476"/>
      <c r="IC162" s="476"/>
      <c r="ID162" s="476"/>
      <c r="IE162" s="476"/>
      <c r="IF162" s="476"/>
      <c r="IG162" s="476"/>
      <c r="IH162" s="476"/>
      <c r="II162" s="476"/>
      <c r="IJ162" s="476"/>
      <c r="IK162" s="476"/>
      <c r="IL162" s="476"/>
      <c r="IM162" s="476"/>
      <c r="IN162" s="476"/>
      <c r="IO162" s="476"/>
      <c r="IP162" s="476"/>
      <c r="IQ162" s="476"/>
      <c r="IR162" s="476"/>
      <c r="IS162" s="476"/>
    </row>
    <row r="163" spans="1:12" ht="33">
      <c r="A163" s="606"/>
      <c r="B163" s="923"/>
      <c r="C163" s="913">
        <v>1</v>
      </c>
      <c r="D163" s="419" t="s">
        <v>1137</v>
      </c>
      <c r="E163" s="420" t="s">
        <v>781</v>
      </c>
      <c r="F163" s="444">
        <f>SUM(G163:H163,K163)</f>
        <v>63</v>
      </c>
      <c r="G163" s="444"/>
      <c r="H163" s="447"/>
      <c r="I163" s="489"/>
      <c r="J163" s="444"/>
      <c r="K163" s="859">
        <v>63</v>
      </c>
      <c r="L163" s="407"/>
    </row>
    <row r="164" spans="1:12" ht="17.25">
      <c r="A164" s="606"/>
      <c r="B164" s="923"/>
      <c r="C164" s="913">
        <v>2</v>
      </c>
      <c r="D164" s="419" t="s">
        <v>1138</v>
      </c>
      <c r="E164" s="420" t="s">
        <v>781</v>
      </c>
      <c r="F164" s="444">
        <f>SUM(G164:H164,K164)</f>
        <v>965</v>
      </c>
      <c r="G164" s="444"/>
      <c r="H164" s="447"/>
      <c r="I164" s="489"/>
      <c r="J164" s="444"/>
      <c r="K164" s="859">
        <v>965</v>
      </c>
      <c r="L164" s="407"/>
    </row>
    <row r="165" spans="1:253" ht="17.25">
      <c r="A165" s="606">
        <v>152</v>
      </c>
      <c r="B165" s="923">
        <v>5</v>
      </c>
      <c r="C165" s="913"/>
      <c r="D165" s="442" t="s">
        <v>1342</v>
      </c>
      <c r="E165" s="443"/>
      <c r="F165" s="444"/>
      <c r="G165" s="445"/>
      <c r="H165" s="446"/>
      <c r="I165" s="488"/>
      <c r="J165" s="444"/>
      <c r="K165" s="858"/>
      <c r="L165" s="407"/>
      <c r="M165" s="476"/>
      <c r="N165" s="476"/>
      <c r="O165" s="476"/>
      <c r="P165" s="476"/>
      <c r="Q165" s="476"/>
      <c r="R165" s="476"/>
      <c r="S165" s="476"/>
      <c r="T165" s="476"/>
      <c r="U165" s="476"/>
      <c r="V165" s="476"/>
      <c r="W165" s="476"/>
      <c r="X165" s="476"/>
      <c r="Y165" s="476"/>
      <c r="Z165" s="476"/>
      <c r="AA165" s="476"/>
      <c r="AB165" s="476"/>
      <c r="AC165" s="476"/>
      <c r="AD165" s="476"/>
      <c r="AE165" s="476"/>
      <c r="AF165" s="476"/>
      <c r="AG165" s="476"/>
      <c r="AH165" s="476"/>
      <c r="AI165" s="476"/>
      <c r="AJ165" s="476"/>
      <c r="AK165" s="476"/>
      <c r="AL165" s="476"/>
      <c r="AM165" s="476"/>
      <c r="AN165" s="476"/>
      <c r="AO165" s="476"/>
      <c r="AP165" s="476"/>
      <c r="AQ165" s="476"/>
      <c r="AR165" s="476"/>
      <c r="AS165" s="476"/>
      <c r="AT165" s="476"/>
      <c r="AU165" s="476"/>
      <c r="AV165" s="476"/>
      <c r="AW165" s="476"/>
      <c r="AX165" s="476"/>
      <c r="AY165" s="476"/>
      <c r="AZ165" s="476"/>
      <c r="BA165" s="476"/>
      <c r="BB165" s="476"/>
      <c r="BC165" s="476"/>
      <c r="BD165" s="476"/>
      <c r="BE165" s="476"/>
      <c r="BF165" s="476"/>
      <c r="BG165" s="476"/>
      <c r="BH165" s="476"/>
      <c r="BI165" s="476"/>
      <c r="BJ165" s="476"/>
      <c r="BK165" s="476"/>
      <c r="BL165" s="476"/>
      <c r="BM165" s="476"/>
      <c r="BN165" s="476"/>
      <c r="BO165" s="476"/>
      <c r="BP165" s="476"/>
      <c r="BQ165" s="476"/>
      <c r="BR165" s="476"/>
      <c r="BS165" s="476"/>
      <c r="BT165" s="476"/>
      <c r="BU165" s="476"/>
      <c r="BV165" s="476"/>
      <c r="BW165" s="476"/>
      <c r="BX165" s="476"/>
      <c r="BY165" s="476"/>
      <c r="BZ165" s="476"/>
      <c r="CA165" s="476"/>
      <c r="CB165" s="476"/>
      <c r="CC165" s="476"/>
      <c r="CD165" s="476"/>
      <c r="CE165" s="476"/>
      <c r="CF165" s="476"/>
      <c r="CG165" s="476"/>
      <c r="CH165" s="476"/>
      <c r="CI165" s="476"/>
      <c r="CJ165" s="476"/>
      <c r="CK165" s="476"/>
      <c r="CL165" s="476"/>
      <c r="CM165" s="476"/>
      <c r="CN165" s="476"/>
      <c r="CO165" s="476"/>
      <c r="CP165" s="476"/>
      <c r="CQ165" s="476"/>
      <c r="CR165" s="476"/>
      <c r="CS165" s="476"/>
      <c r="CT165" s="476"/>
      <c r="CU165" s="476"/>
      <c r="CV165" s="476"/>
      <c r="CW165" s="476"/>
      <c r="CX165" s="476"/>
      <c r="CY165" s="476"/>
      <c r="CZ165" s="476"/>
      <c r="DA165" s="476"/>
      <c r="DB165" s="476"/>
      <c r="DC165" s="476"/>
      <c r="DD165" s="476"/>
      <c r="DE165" s="476"/>
      <c r="DF165" s="476"/>
      <c r="DG165" s="476"/>
      <c r="DH165" s="476"/>
      <c r="DI165" s="476"/>
      <c r="DJ165" s="476"/>
      <c r="DK165" s="476"/>
      <c r="DL165" s="476"/>
      <c r="DM165" s="476"/>
      <c r="DN165" s="476"/>
      <c r="DO165" s="476"/>
      <c r="DP165" s="476"/>
      <c r="DQ165" s="476"/>
      <c r="DR165" s="476"/>
      <c r="DS165" s="476"/>
      <c r="DT165" s="476"/>
      <c r="DU165" s="476"/>
      <c r="DV165" s="476"/>
      <c r="DW165" s="476"/>
      <c r="DX165" s="476"/>
      <c r="DY165" s="476"/>
      <c r="DZ165" s="476"/>
      <c r="EA165" s="476"/>
      <c r="EB165" s="476"/>
      <c r="EC165" s="476"/>
      <c r="ED165" s="476"/>
      <c r="EE165" s="476"/>
      <c r="EF165" s="476"/>
      <c r="EG165" s="476"/>
      <c r="EH165" s="476"/>
      <c r="EI165" s="476"/>
      <c r="EJ165" s="476"/>
      <c r="EK165" s="476"/>
      <c r="EL165" s="476"/>
      <c r="EM165" s="476"/>
      <c r="EN165" s="476"/>
      <c r="EO165" s="476"/>
      <c r="EP165" s="476"/>
      <c r="EQ165" s="476"/>
      <c r="ER165" s="476"/>
      <c r="ES165" s="476"/>
      <c r="ET165" s="476"/>
      <c r="EU165" s="476"/>
      <c r="EV165" s="476"/>
      <c r="EW165" s="476"/>
      <c r="EX165" s="476"/>
      <c r="EY165" s="476"/>
      <c r="EZ165" s="476"/>
      <c r="FA165" s="476"/>
      <c r="FB165" s="476"/>
      <c r="FC165" s="476"/>
      <c r="FD165" s="476"/>
      <c r="FE165" s="476"/>
      <c r="FF165" s="476"/>
      <c r="FG165" s="476"/>
      <c r="FH165" s="476"/>
      <c r="FI165" s="476"/>
      <c r="FJ165" s="476"/>
      <c r="FK165" s="476"/>
      <c r="FL165" s="476"/>
      <c r="FM165" s="476"/>
      <c r="FN165" s="476"/>
      <c r="FO165" s="476"/>
      <c r="FP165" s="476"/>
      <c r="FQ165" s="476"/>
      <c r="FR165" s="476"/>
      <c r="FS165" s="476"/>
      <c r="FT165" s="476"/>
      <c r="FU165" s="476"/>
      <c r="FV165" s="476"/>
      <c r="FW165" s="476"/>
      <c r="FX165" s="476"/>
      <c r="FY165" s="476"/>
      <c r="FZ165" s="476"/>
      <c r="GA165" s="476"/>
      <c r="GB165" s="476"/>
      <c r="GC165" s="476"/>
      <c r="GD165" s="476"/>
      <c r="GE165" s="476"/>
      <c r="GF165" s="476"/>
      <c r="GG165" s="476"/>
      <c r="GH165" s="476"/>
      <c r="GI165" s="476"/>
      <c r="GJ165" s="476"/>
      <c r="GK165" s="476"/>
      <c r="GL165" s="476"/>
      <c r="GM165" s="476"/>
      <c r="GN165" s="476"/>
      <c r="GO165" s="476"/>
      <c r="GP165" s="476"/>
      <c r="GQ165" s="476"/>
      <c r="GR165" s="476"/>
      <c r="GS165" s="476"/>
      <c r="GT165" s="476"/>
      <c r="GU165" s="476"/>
      <c r="GV165" s="476"/>
      <c r="GW165" s="476"/>
      <c r="GX165" s="476"/>
      <c r="GY165" s="476"/>
      <c r="GZ165" s="476"/>
      <c r="HA165" s="476"/>
      <c r="HB165" s="476"/>
      <c r="HC165" s="476"/>
      <c r="HD165" s="476"/>
      <c r="HE165" s="476"/>
      <c r="HF165" s="476"/>
      <c r="HG165" s="476"/>
      <c r="HH165" s="476"/>
      <c r="HI165" s="476"/>
      <c r="HJ165" s="476"/>
      <c r="HK165" s="476"/>
      <c r="HL165" s="476"/>
      <c r="HM165" s="476"/>
      <c r="HN165" s="476"/>
      <c r="HO165" s="476"/>
      <c r="HP165" s="476"/>
      <c r="HQ165" s="476"/>
      <c r="HR165" s="476"/>
      <c r="HS165" s="476"/>
      <c r="HT165" s="476"/>
      <c r="HU165" s="476"/>
      <c r="HV165" s="476"/>
      <c r="HW165" s="476"/>
      <c r="HX165" s="476"/>
      <c r="HY165" s="476"/>
      <c r="HZ165" s="476"/>
      <c r="IA165" s="476"/>
      <c r="IB165" s="476"/>
      <c r="IC165" s="476"/>
      <c r="ID165" s="476"/>
      <c r="IE165" s="476"/>
      <c r="IF165" s="476"/>
      <c r="IG165" s="476"/>
      <c r="IH165" s="476"/>
      <c r="II165" s="476"/>
      <c r="IJ165" s="476"/>
      <c r="IK165" s="476"/>
      <c r="IL165" s="476"/>
      <c r="IM165" s="476"/>
      <c r="IN165" s="476"/>
      <c r="IO165" s="476"/>
      <c r="IP165" s="476"/>
      <c r="IQ165" s="476"/>
      <c r="IR165" s="476"/>
      <c r="IS165" s="476"/>
    </row>
    <row r="166" spans="1:12" ht="165">
      <c r="A166" s="606">
        <v>153</v>
      </c>
      <c r="B166" s="923"/>
      <c r="C166" s="913">
        <v>1</v>
      </c>
      <c r="D166" s="419" t="s">
        <v>1343</v>
      </c>
      <c r="E166" s="420" t="s">
        <v>781</v>
      </c>
      <c r="F166" s="444">
        <f t="shared" si="3"/>
        <v>5665</v>
      </c>
      <c r="G166" s="444"/>
      <c r="H166" s="447"/>
      <c r="I166" s="489">
        <v>380</v>
      </c>
      <c r="J166" s="444">
        <v>5665</v>
      </c>
      <c r="K166" s="859">
        <v>5649</v>
      </c>
      <c r="L166" s="407"/>
    </row>
    <row r="167" spans="1:12" ht="17.25">
      <c r="A167" s="606">
        <v>154</v>
      </c>
      <c r="B167" s="923"/>
      <c r="C167" s="913">
        <v>2</v>
      </c>
      <c r="D167" s="419" t="s">
        <v>111</v>
      </c>
      <c r="E167" s="420" t="s">
        <v>781</v>
      </c>
      <c r="F167" s="444">
        <f t="shared" si="3"/>
        <v>1036</v>
      </c>
      <c r="G167" s="444"/>
      <c r="H167" s="447"/>
      <c r="I167" s="489"/>
      <c r="J167" s="444">
        <v>1036</v>
      </c>
      <c r="K167" s="859">
        <v>1036</v>
      </c>
      <c r="L167" s="407"/>
    </row>
    <row r="168" spans="1:12" ht="17.25">
      <c r="A168" s="606">
        <v>155</v>
      </c>
      <c r="B168" s="923"/>
      <c r="C168" s="913">
        <v>3</v>
      </c>
      <c r="D168" s="419" t="s">
        <v>112</v>
      </c>
      <c r="E168" s="420" t="s">
        <v>781</v>
      </c>
      <c r="F168" s="444">
        <f t="shared" si="3"/>
        <v>466</v>
      </c>
      <c r="G168" s="444"/>
      <c r="H168" s="447"/>
      <c r="I168" s="489"/>
      <c r="J168" s="444">
        <v>466</v>
      </c>
      <c r="K168" s="859">
        <v>464</v>
      </c>
      <c r="L168" s="407"/>
    </row>
    <row r="169" spans="1:12" ht="17.25">
      <c r="A169" s="606">
        <v>156</v>
      </c>
      <c r="B169" s="923"/>
      <c r="C169" s="913">
        <v>4</v>
      </c>
      <c r="D169" s="419" t="s">
        <v>1124</v>
      </c>
      <c r="E169" s="420" t="s">
        <v>781</v>
      </c>
      <c r="F169" s="444">
        <f t="shared" si="3"/>
        <v>755</v>
      </c>
      <c r="G169" s="444"/>
      <c r="H169" s="447"/>
      <c r="I169" s="489"/>
      <c r="J169" s="444">
        <v>755</v>
      </c>
      <c r="K169" s="859">
        <v>422</v>
      </c>
      <c r="L169" s="407"/>
    </row>
    <row r="170" spans="1:12" ht="17.25">
      <c r="A170" s="606">
        <v>157</v>
      </c>
      <c r="B170" s="923"/>
      <c r="C170" s="913">
        <v>5</v>
      </c>
      <c r="D170" s="419" t="s">
        <v>1125</v>
      </c>
      <c r="E170" s="420" t="s">
        <v>781</v>
      </c>
      <c r="F170" s="444">
        <f t="shared" si="3"/>
        <v>280</v>
      </c>
      <c r="G170" s="444"/>
      <c r="H170" s="447"/>
      <c r="I170" s="489"/>
      <c r="J170" s="444">
        <v>280</v>
      </c>
      <c r="K170" s="859">
        <v>280</v>
      </c>
      <c r="L170" s="407"/>
    </row>
    <row r="171" spans="1:12" ht="17.25">
      <c r="A171" s="606">
        <v>158</v>
      </c>
      <c r="B171" s="923"/>
      <c r="C171" s="913">
        <v>6</v>
      </c>
      <c r="D171" s="419" t="s">
        <v>113</v>
      </c>
      <c r="E171" s="420" t="s">
        <v>781</v>
      </c>
      <c r="F171" s="444">
        <f t="shared" si="3"/>
        <v>285</v>
      </c>
      <c r="G171" s="444"/>
      <c r="H171" s="447"/>
      <c r="I171" s="489"/>
      <c r="J171" s="444">
        <v>285</v>
      </c>
      <c r="K171" s="859">
        <v>284</v>
      </c>
      <c r="L171" s="407"/>
    </row>
    <row r="172" spans="1:12" ht="49.5">
      <c r="A172" s="606">
        <v>159</v>
      </c>
      <c r="B172" s="923"/>
      <c r="C172" s="913">
        <v>7</v>
      </c>
      <c r="D172" s="419" t="s">
        <v>114</v>
      </c>
      <c r="E172" s="420" t="s">
        <v>781</v>
      </c>
      <c r="F172" s="444">
        <f t="shared" si="3"/>
        <v>1052</v>
      </c>
      <c r="G172" s="444"/>
      <c r="H172" s="447"/>
      <c r="I172" s="489"/>
      <c r="J172" s="444">
        <v>1052</v>
      </c>
      <c r="K172" s="859">
        <v>1042</v>
      </c>
      <c r="L172" s="407"/>
    </row>
    <row r="173" spans="1:253" ht="34.5">
      <c r="A173" s="606">
        <v>160</v>
      </c>
      <c r="B173" s="923">
        <v>5</v>
      </c>
      <c r="C173" s="913"/>
      <c r="D173" s="442" t="s">
        <v>1344</v>
      </c>
      <c r="E173" s="443"/>
      <c r="F173" s="444"/>
      <c r="G173" s="445"/>
      <c r="H173" s="446"/>
      <c r="I173" s="488"/>
      <c r="J173" s="444"/>
      <c r="K173" s="858"/>
      <c r="L173" s="407"/>
      <c r="M173" s="476"/>
      <c r="N173" s="476"/>
      <c r="O173" s="476"/>
      <c r="P173" s="476"/>
      <c r="Q173" s="476"/>
      <c r="R173" s="476"/>
      <c r="S173" s="476"/>
      <c r="T173" s="476"/>
      <c r="U173" s="476"/>
      <c r="V173" s="476"/>
      <c r="W173" s="476"/>
      <c r="X173" s="476"/>
      <c r="Y173" s="476"/>
      <c r="Z173" s="476"/>
      <c r="AA173" s="476"/>
      <c r="AB173" s="476"/>
      <c r="AC173" s="476"/>
      <c r="AD173" s="476"/>
      <c r="AE173" s="476"/>
      <c r="AF173" s="476"/>
      <c r="AG173" s="476"/>
      <c r="AH173" s="476"/>
      <c r="AI173" s="476"/>
      <c r="AJ173" s="476"/>
      <c r="AK173" s="476"/>
      <c r="AL173" s="476"/>
      <c r="AM173" s="476"/>
      <c r="AN173" s="476"/>
      <c r="AO173" s="476"/>
      <c r="AP173" s="476"/>
      <c r="AQ173" s="476"/>
      <c r="AR173" s="476"/>
      <c r="AS173" s="476"/>
      <c r="AT173" s="476"/>
      <c r="AU173" s="476"/>
      <c r="AV173" s="476"/>
      <c r="AW173" s="476"/>
      <c r="AX173" s="476"/>
      <c r="AY173" s="476"/>
      <c r="AZ173" s="476"/>
      <c r="BA173" s="476"/>
      <c r="BB173" s="476"/>
      <c r="BC173" s="476"/>
      <c r="BD173" s="476"/>
      <c r="BE173" s="476"/>
      <c r="BF173" s="476"/>
      <c r="BG173" s="476"/>
      <c r="BH173" s="476"/>
      <c r="BI173" s="476"/>
      <c r="BJ173" s="476"/>
      <c r="BK173" s="476"/>
      <c r="BL173" s="476"/>
      <c r="BM173" s="476"/>
      <c r="BN173" s="476"/>
      <c r="BO173" s="476"/>
      <c r="BP173" s="476"/>
      <c r="BQ173" s="476"/>
      <c r="BR173" s="476"/>
      <c r="BS173" s="476"/>
      <c r="BT173" s="476"/>
      <c r="BU173" s="476"/>
      <c r="BV173" s="476"/>
      <c r="BW173" s="476"/>
      <c r="BX173" s="476"/>
      <c r="BY173" s="476"/>
      <c r="BZ173" s="476"/>
      <c r="CA173" s="476"/>
      <c r="CB173" s="476"/>
      <c r="CC173" s="476"/>
      <c r="CD173" s="476"/>
      <c r="CE173" s="476"/>
      <c r="CF173" s="476"/>
      <c r="CG173" s="476"/>
      <c r="CH173" s="476"/>
      <c r="CI173" s="476"/>
      <c r="CJ173" s="476"/>
      <c r="CK173" s="476"/>
      <c r="CL173" s="476"/>
      <c r="CM173" s="476"/>
      <c r="CN173" s="476"/>
      <c r="CO173" s="476"/>
      <c r="CP173" s="476"/>
      <c r="CQ173" s="476"/>
      <c r="CR173" s="476"/>
      <c r="CS173" s="476"/>
      <c r="CT173" s="476"/>
      <c r="CU173" s="476"/>
      <c r="CV173" s="476"/>
      <c r="CW173" s="476"/>
      <c r="CX173" s="476"/>
      <c r="CY173" s="476"/>
      <c r="CZ173" s="476"/>
      <c r="DA173" s="476"/>
      <c r="DB173" s="476"/>
      <c r="DC173" s="476"/>
      <c r="DD173" s="476"/>
      <c r="DE173" s="476"/>
      <c r="DF173" s="476"/>
      <c r="DG173" s="476"/>
      <c r="DH173" s="476"/>
      <c r="DI173" s="476"/>
      <c r="DJ173" s="476"/>
      <c r="DK173" s="476"/>
      <c r="DL173" s="476"/>
      <c r="DM173" s="476"/>
      <c r="DN173" s="476"/>
      <c r="DO173" s="476"/>
      <c r="DP173" s="476"/>
      <c r="DQ173" s="476"/>
      <c r="DR173" s="476"/>
      <c r="DS173" s="476"/>
      <c r="DT173" s="476"/>
      <c r="DU173" s="476"/>
      <c r="DV173" s="476"/>
      <c r="DW173" s="476"/>
      <c r="DX173" s="476"/>
      <c r="DY173" s="476"/>
      <c r="DZ173" s="476"/>
      <c r="EA173" s="476"/>
      <c r="EB173" s="476"/>
      <c r="EC173" s="476"/>
      <c r="ED173" s="476"/>
      <c r="EE173" s="476"/>
      <c r="EF173" s="476"/>
      <c r="EG173" s="476"/>
      <c r="EH173" s="476"/>
      <c r="EI173" s="476"/>
      <c r="EJ173" s="476"/>
      <c r="EK173" s="476"/>
      <c r="EL173" s="476"/>
      <c r="EM173" s="476"/>
      <c r="EN173" s="476"/>
      <c r="EO173" s="476"/>
      <c r="EP173" s="476"/>
      <c r="EQ173" s="476"/>
      <c r="ER173" s="476"/>
      <c r="ES173" s="476"/>
      <c r="ET173" s="476"/>
      <c r="EU173" s="476"/>
      <c r="EV173" s="476"/>
      <c r="EW173" s="476"/>
      <c r="EX173" s="476"/>
      <c r="EY173" s="476"/>
      <c r="EZ173" s="476"/>
      <c r="FA173" s="476"/>
      <c r="FB173" s="476"/>
      <c r="FC173" s="476"/>
      <c r="FD173" s="476"/>
      <c r="FE173" s="476"/>
      <c r="FF173" s="476"/>
      <c r="FG173" s="476"/>
      <c r="FH173" s="476"/>
      <c r="FI173" s="476"/>
      <c r="FJ173" s="476"/>
      <c r="FK173" s="476"/>
      <c r="FL173" s="476"/>
      <c r="FM173" s="476"/>
      <c r="FN173" s="476"/>
      <c r="FO173" s="476"/>
      <c r="FP173" s="476"/>
      <c r="FQ173" s="476"/>
      <c r="FR173" s="476"/>
      <c r="FS173" s="476"/>
      <c r="FT173" s="476"/>
      <c r="FU173" s="476"/>
      <c r="FV173" s="476"/>
      <c r="FW173" s="476"/>
      <c r="FX173" s="476"/>
      <c r="FY173" s="476"/>
      <c r="FZ173" s="476"/>
      <c r="GA173" s="476"/>
      <c r="GB173" s="476"/>
      <c r="GC173" s="476"/>
      <c r="GD173" s="476"/>
      <c r="GE173" s="476"/>
      <c r="GF173" s="476"/>
      <c r="GG173" s="476"/>
      <c r="GH173" s="476"/>
      <c r="GI173" s="476"/>
      <c r="GJ173" s="476"/>
      <c r="GK173" s="476"/>
      <c r="GL173" s="476"/>
      <c r="GM173" s="476"/>
      <c r="GN173" s="476"/>
      <c r="GO173" s="476"/>
      <c r="GP173" s="476"/>
      <c r="GQ173" s="476"/>
      <c r="GR173" s="476"/>
      <c r="GS173" s="476"/>
      <c r="GT173" s="476"/>
      <c r="GU173" s="476"/>
      <c r="GV173" s="476"/>
      <c r="GW173" s="476"/>
      <c r="GX173" s="476"/>
      <c r="GY173" s="476"/>
      <c r="GZ173" s="476"/>
      <c r="HA173" s="476"/>
      <c r="HB173" s="476"/>
      <c r="HC173" s="476"/>
      <c r="HD173" s="476"/>
      <c r="HE173" s="476"/>
      <c r="HF173" s="476"/>
      <c r="HG173" s="476"/>
      <c r="HH173" s="476"/>
      <c r="HI173" s="476"/>
      <c r="HJ173" s="476"/>
      <c r="HK173" s="476"/>
      <c r="HL173" s="476"/>
      <c r="HM173" s="476"/>
      <c r="HN173" s="476"/>
      <c r="HO173" s="476"/>
      <c r="HP173" s="476"/>
      <c r="HQ173" s="476"/>
      <c r="HR173" s="476"/>
      <c r="HS173" s="476"/>
      <c r="HT173" s="476"/>
      <c r="HU173" s="476"/>
      <c r="HV173" s="476"/>
      <c r="HW173" s="476"/>
      <c r="HX173" s="476"/>
      <c r="HY173" s="476"/>
      <c r="HZ173" s="476"/>
      <c r="IA173" s="476"/>
      <c r="IB173" s="476"/>
      <c r="IC173" s="476"/>
      <c r="ID173" s="476"/>
      <c r="IE173" s="476"/>
      <c r="IF173" s="476"/>
      <c r="IG173" s="476"/>
      <c r="IH173" s="476"/>
      <c r="II173" s="476"/>
      <c r="IJ173" s="476"/>
      <c r="IK173" s="476"/>
      <c r="IL173" s="476"/>
      <c r="IM173" s="476"/>
      <c r="IN173" s="476"/>
      <c r="IO173" s="476"/>
      <c r="IP173" s="476"/>
      <c r="IQ173" s="476"/>
      <c r="IR173" s="476"/>
      <c r="IS173" s="476"/>
    </row>
    <row r="174" spans="1:12" ht="99">
      <c r="A174" s="606">
        <v>161</v>
      </c>
      <c r="B174" s="923"/>
      <c r="C174" s="913">
        <v>1</v>
      </c>
      <c r="D174" s="419" t="s">
        <v>1345</v>
      </c>
      <c r="E174" s="420" t="s">
        <v>781</v>
      </c>
      <c r="F174" s="444">
        <f t="shared" si="3"/>
        <v>3385</v>
      </c>
      <c r="G174" s="444"/>
      <c r="H174" s="447"/>
      <c r="I174" s="489">
        <v>95</v>
      </c>
      <c r="J174" s="444">
        <v>3385</v>
      </c>
      <c r="K174" s="859">
        <v>3070</v>
      </c>
      <c r="L174" s="407"/>
    </row>
    <row r="175" spans="1:12" ht="17.25">
      <c r="A175" s="606">
        <v>162</v>
      </c>
      <c r="B175" s="923"/>
      <c r="C175" s="913">
        <v>2</v>
      </c>
      <c r="D175" s="419" t="s">
        <v>1346</v>
      </c>
      <c r="E175" s="420" t="s">
        <v>781</v>
      </c>
      <c r="F175" s="444">
        <f t="shared" si="3"/>
        <v>350</v>
      </c>
      <c r="G175" s="444"/>
      <c r="H175" s="447"/>
      <c r="I175" s="489"/>
      <c r="J175" s="444">
        <v>350</v>
      </c>
      <c r="K175" s="859">
        <v>329</v>
      </c>
      <c r="L175" s="407"/>
    </row>
    <row r="176" spans="1:12" ht="33">
      <c r="A176" s="606">
        <v>163</v>
      </c>
      <c r="B176" s="923"/>
      <c r="C176" s="913">
        <v>3</v>
      </c>
      <c r="D176" s="419" t="s">
        <v>115</v>
      </c>
      <c r="E176" s="420" t="s">
        <v>781</v>
      </c>
      <c r="F176" s="444">
        <f t="shared" si="3"/>
        <v>352</v>
      </c>
      <c r="G176" s="444"/>
      <c r="H176" s="447"/>
      <c r="I176" s="489"/>
      <c r="J176" s="444">
        <v>352</v>
      </c>
      <c r="K176" s="859">
        <v>330</v>
      </c>
      <c r="L176" s="407"/>
    </row>
    <row r="177" spans="1:12" ht="17.25">
      <c r="A177" s="606">
        <v>164</v>
      </c>
      <c r="B177" s="923"/>
      <c r="C177" s="913">
        <v>4</v>
      </c>
      <c r="D177" s="419" t="s">
        <v>111</v>
      </c>
      <c r="E177" s="420" t="s">
        <v>781</v>
      </c>
      <c r="F177" s="444">
        <f t="shared" si="3"/>
        <v>1500</v>
      </c>
      <c r="G177" s="444"/>
      <c r="H177" s="447"/>
      <c r="I177" s="489"/>
      <c r="J177" s="444">
        <v>1500</v>
      </c>
      <c r="K177" s="859">
        <v>1500</v>
      </c>
      <c r="L177" s="407"/>
    </row>
    <row r="178" spans="1:12" ht="17.25">
      <c r="A178" s="606">
        <v>165</v>
      </c>
      <c r="B178" s="923"/>
      <c r="C178" s="913">
        <v>5</v>
      </c>
      <c r="D178" s="419" t="s">
        <v>116</v>
      </c>
      <c r="E178" s="420" t="s">
        <v>781</v>
      </c>
      <c r="F178" s="444">
        <f t="shared" si="3"/>
        <v>500</v>
      </c>
      <c r="G178" s="444"/>
      <c r="H178" s="447"/>
      <c r="I178" s="489"/>
      <c r="J178" s="444">
        <v>500</v>
      </c>
      <c r="K178" s="859">
        <v>500</v>
      </c>
      <c r="L178" s="407"/>
    </row>
    <row r="179" spans="1:12" ht="17.25">
      <c r="A179" s="606">
        <v>166</v>
      </c>
      <c r="B179" s="923"/>
      <c r="C179" s="913">
        <v>6</v>
      </c>
      <c r="D179" s="419" t="s">
        <v>117</v>
      </c>
      <c r="E179" s="420" t="s">
        <v>781</v>
      </c>
      <c r="F179" s="444">
        <f t="shared" si="3"/>
        <v>1055</v>
      </c>
      <c r="G179" s="444"/>
      <c r="H179" s="447"/>
      <c r="I179" s="489"/>
      <c r="J179" s="444">
        <v>1055</v>
      </c>
      <c r="K179" s="859">
        <v>1050</v>
      </c>
      <c r="L179" s="407"/>
    </row>
    <row r="180" spans="1:12" ht="17.25">
      <c r="A180" s="606">
        <v>167</v>
      </c>
      <c r="B180" s="923"/>
      <c r="C180" s="913">
        <v>7</v>
      </c>
      <c r="D180" s="419" t="s">
        <v>118</v>
      </c>
      <c r="E180" s="420" t="s">
        <v>781</v>
      </c>
      <c r="F180" s="444">
        <f t="shared" si="3"/>
        <v>520</v>
      </c>
      <c r="G180" s="444"/>
      <c r="H180" s="447"/>
      <c r="I180" s="489"/>
      <c r="J180" s="444">
        <v>520</v>
      </c>
      <c r="K180" s="859">
        <v>520</v>
      </c>
      <c r="L180" s="407"/>
    </row>
    <row r="181" spans="1:12" ht="17.25">
      <c r="A181" s="606">
        <v>168</v>
      </c>
      <c r="B181" s="923"/>
      <c r="C181" s="913">
        <v>8</v>
      </c>
      <c r="D181" s="419" t="s">
        <v>113</v>
      </c>
      <c r="E181" s="420" t="s">
        <v>781</v>
      </c>
      <c r="F181" s="444">
        <f t="shared" si="3"/>
        <v>290</v>
      </c>
      <c r="G181" s="444"/>
      <c r="H181" s="447"/>
      <c r="I181" s="489"/>
      <c r="J181" s="444">
        <v>290</v>
      </c>
      <c r="K181" s="859">
        <v>284</v>
      </c>
      <c r="L181" s="407"/>
    </row>
    <row r="182" spans="1:253" ht="17.25">
      <c r="A182" s="606">
        <v>169</v>
      </c>
      <c r="B182" s="923">
        <v>6</v>
      </c>
      <c r="C182" s="913"/>
      <c r="D182" s="442" t="s">
        <v>1228</v>
      </c>
      <c r="E182" s="443"/>
      <c r="F182" s="444"/>
      <c r="G182" s="445"/>
      <c r="H182" s="446"/>
      <c r="I182" s="488"/>
      <c r="J182" s="444"/>
      <c r="K182" s="858"/>
      <c r="L182" s="407"/>
      <c r="M182" s="476"/>
      <c r="N182" s="476"/>
      <c r="O182" s="476"/>
      <c r="P182" s="476"/>
      <c r="Q182" s="476"/>
      <c r="R182" s="476"/>
      <c r="S182" s="476"/>
      <c r="T182" s="476"/>
      <c r="U182" s="476"/>
      <c r="V182" s="476"/>
      <c r="W182" s="476"/>
      <c r="X182" s="476"/>
      <c r="Y182" s="476"/>
      <c r="Z182" s="476"/>
      <c r="AA182" s="476"/>
      <c r="AB182" s="476"/>
      <c r="AC182" s="476"/>
      <c r="AD182" s="476"/>
      <c r="AE182" s="476"/>
      <c r="AF182" s="476"/>
      <c r="AG182" s="476"/>
      <c r="AH182" s="476"/>
      <c r="AI182" s="476"/>
      <c r="AJ182" s="476"/>
      <c r="AK182" s="476"/>
      <c r="AL182" s="476"/>
      <c r="AM182" s="476"/>
      <c r="AN182" s="476"/>
      <c r="AO182" s="476"/>
      <c r="AP182" s="476"/>
      <c r="AQ182" s="476"/>
      <c r="AR182" s="476"/>
      <c r="AS182" s="476"/>
      <c r="AT182" s="476"/>
      <c r="AU182" s="476"/>
      <c r="AV182" s="476"/>
      <c r="AW182" s="476"/>
      <c r="AX182" s="476"/>
      <c r="AY182" s="476"/>
      <c r="AZ182" s="476"/>
      <c r="BA182" s="476"/>
      <c r="BB182" s="476"/>
      <c r="BC182" s="476"/>
      <c r="BD182" s="476"/>
      <c r="BE182" s="476"/>
      <c r="BF182" s="476"/>
      <c r="BG182" s="476"/>
      <c r="BH182" s="476"/>
      <c r="BI182" s="476"/>
      <c r="BJ182" s="476"/>
      <c r="BK182" s="476"/>
      <c r="BL182" s="476"/>
      <c r="BM182" s="476"/>
      <c r="BN182" s="476"/>
      <c r="BO182" s="476"/>
      <c r="BP182" s="476"/>
      <c r="BQ182" s="476"/>
      <c r="BR182" s="476"/>
      <c r="BS182" s="476"/>
      <c r="BT182" s="476"/>
      <c r="BU182" s="476"/>
      <c r="BV182" s="476"/>
      <c r="BW182" s="476"/>
      <c r="BX182" s="476"/>
      <c r="BY182" s="476"/>
      <c r="BZ182" s="476"/>
      <c r="CA182" s="476"/>
      <c r="CB182" s="476"/>
      <c r="CC182" s="476"/>
      <c r="CD182" s="476"/>
      <c r="CE182" s="476"/>
      <c r="CF182" s="476"/>
      <c r="CG182" s="476"/>
      <c r="CH182" s="476"/>
      <c r="CI182" s="476"/>
      <c r="CJ182" s="476"/>
      <c r="CK182" s="476"/>
      <c r="CL182" s="476"/>
      <c r="CM182" s="476"/>
      <c r="CN182" s="476"/>
      <c r="CO182" s="476"/>
      <c r="CP182" s="476"/>
      <c r="CQ182" s="476"/>
      <c r="CR182" s="476"/>
      <c r="CS182" s="476"/>
      <c r="CT182" s="476"/>
      <c r="CU182" s="476"/>
      <c r="CV182" s="476"/>
      <c r="CW182" s="476"/>
      <c r="CX182" s="476"/>
      <c r="CY182" s="476"/>
      <c r="CZ182" s="476"/>
      <c r="DA182" s="476"/>
      <c r="DB182" s="476"/>
      <c r="DC182" s="476"/>
      <c r="DD182" s="476"/>
      <c r="DE182" s="476"/>
      <c r="DF182" s="476"/>
      <c r="DG182" s="476"/>
      <c r="DH182" s="476"/>
      <c r="DI182" s="476"/>
      <c r="DJ182" s="476"/>
      <c r="DK182" s="476"/>
      <c r="DL182" s="476"/>
      <c r="DM182" s="476"/>
      <c r="DN182" s="476"/>
      <c r="DO182" s="476"/>
      <c r="DP182" s="476"/>
      <c r="DQ182" s="476"/>
      <c r="DR182" s="476"/>
      <c r="DS182" s="476"/>
      <c r="DT182" s="476"/>
      <c r="DU182" s="476"/>
      <c r="DV182" s="476"/>
      <c r="DW182" s="476"/>
      <c r="DX182" s="476"/>
      <c r="DY182" s="476"/>
      <c r="DZ182" s="476"/>
      <c r="EA182" s="476"/>
      <c r="EB182" s="476"/>
      <c r="EC182" s="476"/>
      <c r="ED182" s="476"/>
      <c r="EE182" s="476"/>
      <c r="EF182" s="476"/>
      <c r="EG182" s="476"/>
      <c r="EH182" s="476"/>
      <c r="EI182" s="476"/>
      <c r="EJ182" s="476"/>
      <c r="EK182" s="476"/>
      <c r="EL182" s="476"/>
      <c r="EM182" s="476"/>
      <c r="EN182" s="476"/>
      <c r="EO182" s="476"/>
      <c r="EP182" s="476"/>
      <c r="EQ182" s="476"/>
      <c r="ER182" s="476"/>
      <c r="ES182" s="476"/>
      <c r="ET182" s="476"/>
      <c r="EU182" s="476"/>
      <c r="EV182" s="476"/>
      <c r="EW182" s="476"/>
      <c r="EX182" s="476"/>
      <c r="EY182" s="476"/>
      <c r="EZ182" s="476"/>
      <c r="FA182" s="476"/>
      <c r="FB182" s="476"/>
      <c r="FC182" s="476"/>
      <c r="FD182" s="476"/>
      <c r="FE182" s="476"/>
      <c r="FF182" s="476"/>
      <c r="FG182" s="476"/>
      <c r="FH182" s="476"/>
      <c r="FI182" s="476"/>
      <c r="FJ182" s="476"/>
      <c r="FK182" s="476"/>
      <c r="FL182" s="476"/>
      <c r="FM182" s="476"/>
      <c r="FN182" s="476"/>
      <c r="FO182" s="476"/>
      <c r="FP182" s="476"/>
      <c r="FQ182" s="476"/>
      <c r="FR182" s="476"/>
      <c r="FS182" s="476"/>
      <c r="FT182" s="476"/>
      <c r="FU182" s="476"/>
      <c r="FV182" s="476"/>
      <c r="FW182" s="476"/>
      <c r="FX182" s="476"/>
      <c r="FY182" s="476"/>
      <c r="FZ182" s="476"/>
      <c r="GA182" s="476"/>
      <c r="GB182" s="476"/>
      <c r="GC182" s="476"/>
      <c r="GD182" s="476"/>
      <c r="GE182" s="476"/>
      <c r="GF182" s="476"/>
      <c r="GG182" s="476"/>
      <c r="GH182" s="476"/>
      <c r="GI182" s="476"/>
      <c r="GJ182" s="476"/>
      <c r="GK182" s="476"/>
      <c r="GL182" s="476"/>
      <c r="GM182" s="476"/>
      <c r="GN182" s="476"/>
      <c r="GO182" s="476"/>
      <c r="GP182" s="476"/>
      <c r="GQ182" s="476"/>
      <c r="GR182" s="476"/>
      <c r="GS182" s="476"/>
      <c r="GT182" s="476"/>
      <c r="GU182" s="476"/>
      <c r="GV182" s="476"/>
      <c r="GW182" s="476"/>
      <c r="GX182" s="476"/>
      <c r="GY182" s="476"/>
      <c r="GZ182" s="476"/>
      <c r="HA182" s="476"/>
      <c r="HB182" s="476"/>
      <c r="HC182" s="476"/>
      <c r="HD182" s="476"/>
      <c r="HE182" s="476"/>
      <c r="HF182" s="476"/>
      <c r="HG182" s="476"/>
      <c r="HH182" s="476"/>
      <c r="HI182" s="476"/>
      <c r="HJ182" s="476"/>
      <c r="HK182" s="476"/>
      <c r="HL182" s="476"/>
      <c r="HM182" s="476"/>
      <c r="HN182" s="476"/>
      <c r="HO182" s="476"/>
      <c r="HP182" s="476"/>
      <c r="HQ182" s="476"/>
      <c r="HR182" s="476"/>
      <c r="HS182" s="476"/>
      <c r="HT182" s="476"/>
      <c r="HU182" s="476"/>
      <c r="HV182" s="476"/>
      <c r="HW182" s="476"/>
      <c r="HX182" s="476"/>
      <c r="HY182" s="476"/>
      <c r="HZ182" s="476"/>
      <c r="IA182" s="476"/>
      <c r="IB182" s="476"/>
      <c r="IC182" s="476"/>
      <c r="ID182" s="476"/>
      <c r="IE182" s="476"/>
      <c r="IF182" s="476"/>
      <c r="IG182" s="476"/>
      <c r="IH182" s="476"/>
      <c r="II182" s="476"/>
      <c r="IJ182" s="476"/>
      <c r="IK182" s="476"/>
      <c r="IL182" s="476"/>
      <c r="IM182" s="476"/>
      <c r="IN182" s="476"/>
      <c r="IO182" s="476"/>
      <c r="IP182" s="476"/>
      <c r="IQ182" s="476"/>
      <c r="IR182" s="476"/>
      <c r="IS182" s="476"/>
    </row>
    <row r="183" spans="1:12" ht="115.5">
      <c r="A183" s="606">
        <v>170</v>
      </c>
      <c r="B183" s="923"/>
      <c r="C183" s="913">
        <v>1</v>
      </c>
      <c r="D183" s="419" t="s">
        <v>1347</v>
      </c>
      <c r="E183" s="420" t="s">
        <v>781</v>
      </c>
      <c r="F183" s="444">
        <f t="shared" si="3"/>
        <v>4138</v>
      </c>
      <c r="G183" s="444"/>
      <c r="H183" s="447"/>
      <c r="I183" s="489">
        <v>393</v>
      </c>
      <c r="J183" s="444">
        <v>4138</v>
      </c>
      <c r="K183" s="859">
        <v>1154</v>
      </c>
      <c r="L183" s="407"/>
    </row>
    <row r="184" spans="1:12" ht="33">
      <c r="A184" s="606">
        <v>171</v>
      </c>
      <c r="B184" s="923"/>
      <c r="C184" s="913">
        <v>2</v>
      </c>
      <c r="D184" s="419" t="s">
        <v>1348</v>
      </c>
      <c r="E184" s="420" t="s">
        <v>781</v>
      </c>
      <c r="F184" s="444">
        <f t="shared" si="3"/>
        <v>804</v>
      </c>
      <c r="G184" s="444"/>
      <c r="H184" s="447"/>
      <c r="I184" s="489"/>
      <c r="J184" s="444">
        <v>804</v>
      </c>
      <c r="K184" s="859">
        <v>557</v>
      </c>
      <c r="L184" s="407"/>
    </row>
    <row r="185" spans="1:12" ht="17.25">
      <c r="A185" s="606">
        <v>172</v>
      </c>
      <c r="B185" s="923"/>
      <c r="C185" s="913">
        <v>3</v>
      </c>
      <c r="D185" s="419" t="s">
        <v>119</v>
      </c>
      <c r="E185" s="420" t="s">
        <v>781</v>
      </c>
      <c r="F185" s="444">
        <f t="shared" si="3"/>
        <v>250</v>
      </c>
      <c r="G185" s="444"/>
      <c r="H185" s="447"/>
      <c r="I185" s="489"/>
      <c r="J185" s="444">
        <v>250</v>
      </c>
      <c r="K185" s="859">
        <v>250</v>
      </c>
      <c r="L185" s="407"/>
    </row>
    <row r="186" spans="1:12" ht="17.25">
      <c r="A186" s="606">
        <v>173</v>
      </c>
      <c r="B186" s="923"/>
      <c r="C186" s="913">
        <v>4</v>
      </c>
      <c r="D186" s="419" t="s">
        <v>120</v>
      </c>
      <c r="E186" s="420" t="s">
        <v>781</v>
      </c>
      <c r="F186" s="444">
        <f t="shared" si="3"/>
        <v>250</v>
      </c>
      <c r="G186" s="444"/>
      <c r="H186" s="447"/>
      <c r="I186" s="489"/>
      <c r="J186" s="444">
        <v>250</v>
      </c>
      <c r="K186" s="859">
        <v>248</v>
      </c>
      <c r="L186" s="407"/>
    </row>
    <row r="187" spans="1:12" ht="17.25">
      <c r="A187" s="606">
        <v>174</v>
      </c>
      <c r="B187" s="923"/>
      <c r="C187" s="913">
        <v>5</v>
      </c>
      <c r="D187" s="419" t="s">
        <v>121</v>
      </c>
      <c r="E187" s="420" t="s">
        <v>781</v>
      </c>
      <c r="F187" s="444">
        <f t="shared" si="3"/>
        <v>600</v>
      </c>
      <c r="G187" s="444"/>
      <c r="H187" s="447"/>
      <c r="I187" s="489"/>
      <c r="J187" s="444">
        <v>600</v>
      </c>
      <c r="K187" s="859">
        <v>500</v>
      </c>
      <c r="L187" s="407"/>
    </row>
    <row r="188" spans="1:12" ht="17.25">
      <c r="A188" s="606">
        <v>175</v>
      </c>
      <c r="B188" s="923"/>
      <c r="C188" s="913">
        <v>6</v>
      </c>
      <c r="D188" s="419" t="s">
        <v>122</v>
      </c>
      <c r="E188" s="420" t="s">
        <v>781</v>
      </c>
      <c r="F188" s="444">
        <f t="shared" si="3"/>
        <v>420</v>
      </c>
      <c r="G188" s="444"/>
      <c r="H188" s="447"/>
      <c r="I188" s="489"/>
      <c r="J188" s="444">
        <v>420</v>
      </c>
      <c r="K188" s="859"/>
      <c r="L188" s="407"/>
    </row>
    <row r="189" spans="1:253" ht="17.25">
      <c r="A189" s="606">
        <v>176</v>
      </c>
      <c r="B189" s="923">
        <v>6</v>
      </c>
      <c r="C189" s="913"/>
      <c r="D189" s="442" t="s">
        <v>1349</v>
      </c>
      <c r="E189" s="443"/>
      <c r="F189" s="444"/>
      <c r="G189" s="445"/>
      <c r="H189" s="446"/>
      <c r="I189" s="488"/>
      <c r="J189" s="444"/>
      <c r="K189" s="858"/>
      <c r="L189" s="407"/>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476"/>
      <c r="AJ189" s="476"/>
      <c r="AK189" s="476"/>
      <c r="AL189" s="476"/>
      <c r="AM189" s="476"/>
      <c r="AN189" s="476"/>
      <c r="AO189" s="476"/>
      <c r="AP189" s="476"/>
      <c r="AQ189" s="476"/>
      <c r="AR189" s="476"/>
      <c r="AS189" s="476"/>
      <c r="AT189" s="476"/>
      <c r="AU189" s="476"/>
      <c r="AV189" s="476"/>
      <c r="AW189" s="476"/>
      <c r="AX189" s="476"/>
      <c r="AY189" s="476"/>
      <c r="AZ189" s="476"/>
      <c r="BA189" s="476"/>
      <c r="BB189" s="476"/>
      <c r="BC189" s="476"/>
      <c r="BD189" s="476"/>
      <c r="BE189" s="476"/>
      <c r="BF189" s="476"/>
      <c r="BG189" s="476"/>
      <c r="BH189" s="476"/>
      <c r="BI189" s="476"/>
      <c r="BJ189" s="476"/>
      <c r="BK189" s="476"/>
      <c r="BL189" s="476"/>
      <c r="BM189" s="476"/>
      <c r="BN189" s="476"/>
      <c r="BO189" s="476"/>
      <c r="BP189" s="476"/>
      <c r="BQ189" s="476"/>
      <c r="BR189" s="476"/>
      <c r="BS189" s="476"/>
      <c r="BT189" s="476"/>
      <c r="BU189" s="476"/>
      <c r="BV189" s="476"/>
      <c r="BW189" s="476"/>
      <c r="BX189" s="476"/>
      <c r="BY189" s="476"/>
      <c r="BZ189" s="476"/>
      <c r="CA189" s="476"/>
      <c r="CB189" s="476"/>
      <c r="CC189" s="476"/>
      <c r="CD189" s="476"/>
      <c r="CE189" s="476"/>
      <c r="CF189" s="476"/>
      <c r="CG189" s="476"/>
      <c r="CH189" s="476"/>
      <c r="CI189" s="476"/>
      <c r="CJ189" s="476"/>
      <c r="CK189" s="476"/>
      <c r="CL189" s="476"/>
      <c r="CM189" s="476"/>
      <c r="CN189" s="476"/>
      <c r="CO189" s="476"/>
      <c r="CP189" s="476"/>
      <c r="CQ189" s="476"/>
      <c r="CR189" s="476"/>
      <c r="CS189" s="476"/>
      <c r="CT189" s="476"/>
      <c r="CU189" s="476"/>
      <c r="CV189" s="476"/>
      <c r="CW189" s="476"/>
      <c r="CX189" s="476"/>
      <c r="CY189" s="476"/>
      <c r="CZ189" s="476"/>
      <c r="DA189" s="476"/>
      <c r="DB189" s="476"/>
      <c r="DC189" s="476"/>
      <c r="DD189" s="476"/>
      <c r="DE189" s="476"/>
      <c r="DF189" s="476"/>
      <c r="DG189" s="476"/>
      <c r="DH189" s="476"/>
      <c r="DI189" s="476"/>
      <c r="DJ189" s="476"/>
      <c r="DK189" s="476"/>
      <c r="DL189" s="476"/>
      <c r="DM189" s="476"/>
      <c r="DN189" s="476"/>
      <c r="DO189" s="476"/>
      <c r="DP189" s="476"/>
      <c r="DQ189" s="476"/>
      <c r="DR189" s="476"/>
      <c r="DS189" s="476"/>
      <c r="DT189" s="476"/>
      <c r="DU189" s="476"/>
      <c r="DV189" s="476"/>
      <c r="DW189" s="476"/>
      <c r="DX189" s="476"/>
      <c r="DY189" s="476"/>
      <c r="DZ189" s="476"/>
      <c r="EA189" s="476"/>
      <c r="EB189" s="476"/>
      <c r="EC189" s="476"/>
      <c r="ED189" s="476"/>
      <c r="EE189" s="476"/>
      <c r="EF189" s="476"/>
      <c r="EG189" s="476"/>
      <c r="EH189" s="476"/>
      <c r="EI189" s="476"/>
      <c r="EJ189" s="476"/>
      <c r="EK189" s="476"/>
      <c r="EL189" s="476"/>
      <c r="EM189" s="476"/>
      <c r="EN189" s="476"/>
      <c r="EO189" s="476"/>
      <c r="EP189" s="476"/>
      <c r="EQ189" s="476"/>
      <c r="ER189" s="476"/>
      <c r="ES189" s="476"/>
      <c r="ET189" s="476"/>
      <c r="EU189" s="476"/>
      <c r="EV189" s="476"/>
      <c r="EW189" s="476"/>
      <c r="EX189" s="476"/>
      <c r="EY189" s="476"/>
      <c r="EZ189" s="476"/>
      <c r="FA189" s="476"/>
      <c r="FB189" s="476"/>
      <c r="FC189" s="476"/>
      <c r="FD189" s="476"/>
      <c r="FE189" s="476"/>
      <c r="FF189" s="476"/>
      <c r="FG189" s="476"/>
      <c r="FH189" s="476"/>
      <c r="FI189" s="476"/>
      <c r="FJ189" s="476"/>
      <c r="FK189" s="476"/>
      <c r="FL189" s="476"/>
      <c r="FM189" s="476"/>
      <c r="FN189" s="476"/>
      <c r="FO189" s="476"/>
      <c r="FP189" s="476"/>
      <c r="FQ189" s="476"/>
      <c r="FR189" s="476"/>
      <c r="FS189" s="476"/>
      <c r="FT189" s="476"/>
      <c r="FU189" s="476"/>
      <c r="FV189" s="476"/>
      <c r="FW189" s="476"/>
      <c r="FX189" s="476"/>
      <c r="FY189" s="476"/>
      <c r="FZ189" s="476"/>
      <c r="GA189" s="476"/>
      <c r="GB189" s="476"/>
      <c r="GC189" s="476"/>
      <c r="GD189" s="476"/>
      <c r="GE189" s="476"/>
      <c r="GF189" s="476"/>
      <c r="GG189" s="476"/>
      <c r="GH189" s="476"/>
      <c r="GI189" s="476"/>
      <c r="GJ189" s="476"/>
      <c r="GK189" s="476"/>
      <c r="GL189" s="476"/>
      <c r="GM189" s="476"/>
      <c r="GN189" s="476"/>
      <c r="GO189" s="476"/>
      <c r="GP189" s="476"/>
      <c r="GQ189" s="476"/>
      <c r="GR189" s="476"/>
      <c r="GS189" s="476"/>
      <c r="GT189" s="476"/>
      <c r="GU189" s="476"/>
      <c r="GV189" s="476"/>
      <c r="GW189" s="476"/>
      <c r="GX189" s="476"/>
      <c r="GY189" s="476"/>
      <c r="GZ189" s="476"/>
      <c r="HA189" s="476"/>
      <c r="HB189" s="476"/>
      <c r="HC189" s="476"/>
      <c r="HD189" s="476"/>
      <c r="HE189" s="476"/>
      <c r="HF189" s="476"/>
      <c r="HG189" s="476"/>
      <c r="HH189" s="476"/>
      <c r="HI189" s="476"/>
      <c r="HJ189" s="476"/>
      <c r="HK189" s="476"/>
      <c r="HL189" s="476"/>
      <c r="HM189" s="476"/>
      <c r="HN189" s="476"/>
      <c r="HO189" s="476"/>
      <c r="HP189" s="476"/>
      <c r="HQ189" s="476"/>
      <c r="HR189" s="476"/>
      <c r="HS189" s="476"/>
      <c r="HT189" s="476"/>
      <c r="HU189" s="476"/>
      <c r="HV189" s="476"/>
      <c r="HW189" s="476"/>
      <c r="HX189" s="476"/>
      <c r="HY189" s="476"/>
      <c r="HZ189" s="476"/>
      <c r="IA189" s="476"/>
      <c r="IB189" s="476"/>
      <c r="IC189" s="476"/>
      <c r="ID189" s="476"/>
      <c r="IE189" s="476"/>
      <c r="IF189" s="476"/>
      <c r="IG189" s="476"/>
      <c r="IH189" s="476"/>
      <c r="II189" s="476"/>
      <c r="IJ189" s="476"/>
      <c r="IK189" s="476"/>
      <c r="IL189" s="476"/>
      <c r="IM189" s="476"/>
      <c r="IN189" s="476"/>
      <c r="IO189" s="476"/>
      <c r="IP189" s="476"/>
      <c r="IQ189" s="476"/>
      <c r="IR189" s="476"/>
      <c r="IS189" s="476"/>
    </row>
    <row r="190" spans="1:12" ht="66">
      <c r="A190" s="606">
        <v>177</v>
      </c>
      <c r="B190" s="923"/>
      <c r="C190" s="913">
        <v>1</v>
      </c>
      <c r="D190" s="419" t="s">
        <v>1350</v>
      </c>
      <c r="E190" s="420" t="s">
        <v>781</v>
      </c>
      <c r="F190" s="444">
        <f t="shared" si="3"/>
        <v>771</v>
      </c>
      <c r="G190" s="444"/>
      <c r="H190" s="447"/>
      <c r="I190" s="489">
        <v>100</v>
      </c>
      <c r="J190" s="444">
        <v>771</v>
      </c>
      <c r="K190" s="859">
        <v>439</v>
      </c>
      <c r="L190" s="407"/>
    </row>
    <row r="191" spans="1:12" ht="17.25">
      <c r="A191" s="606"/>
      <c r="B191" s="923"/>
      <c r="C191" s="913">
        <v>2</v>
      </c>
      <c r="D191" s="419" t="s">
        <v>1139</v>
      </c>
      <c r="E191" s="420" t="s">
        <v>781</v>
      </c>
      <c r="F191" s="444">
        <f>SUM(G191:H191,K191)</f>
        <v>102</v>
      </c>
      <c r="G191" s="444"/>
      <c r="H191" s="447"/>
      <c r="I191" s="489"/>
      <c r="J191" s="444"/>
      <c r="K191" s="859">
        <v>102</v>
      </c>
      <c r="L191" s="407"/>
    </row>
    <row r="192" spans="1:253" ht="17.25">
      <c r="A192" s="606">
        <v>178</v>
      </c>
      <c r="B192" s="923">
        <v>7</v>
      </c>
      <c r="C192" s="913"/>
      <c r="D192" s="442" t="s">
        <v>123</v>
      </c>
      <c r="E192" s="443"/>
      <c r="F192" s="444"/>
      <c r="G192" s="445"/>
      <c r="H192" s="446"/>
      <c r="I192" s="488"/>
      <c r="J192" s="444"/>
      <c r="K192" s="858"/>
      <c r="L192" s="407"/>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476"/>
      <c r="AJ192" s="476"/>
      <c r="AK192" s="476"/>
      <c r="AL192" s="476"/>
      <c r="AM192" s="476"/>
      <c r="AN192" s="476"/>
      <c r="AO192" s="476"/>
      <c r="AP192" s="476"/>
      <c r="AQ192" s="476"/>
      <c r="AR192" s="476"/>
      <c r="AS192" s="476"/>
      <c r="AT192" s="476"/>
      <c r="AU192" s="476"/>
      <c r="AV192" s="476"/>
      <c r="AW192" s="476"/>
      <c r="AX192" s="476"/>
      <c r="AY192" s="476"/>
      <c r="AZ192" s="476"/>
      <c r="BA192" s="476"/>
      <c r="BB192" s="476"/>
      <c r="BC192" s="476"/>
      <c r="BD192" s="476"/>
      <c r="BE192" s="476"/>
      <c r="BF192" s="476"/>
      <c r="BG192" s="476"/>
      <c r="BH192" s="476"/>
      <c r="BI192" s="476"/>
      <c r="BJ192" s="476"/>
      <c r="BK192" s="476"/>
      <c r="BL192" s="476"/>
      <c r="BM192" s="476"/>
      <c r="BN192" s="476"/>
      <c r="BO192" s="476"/>
      <c r="BP192" s="476"/>
      <c r="BQ192" s="476"/>
      <c r="BR192" s="476"/>
      <c r="BS192" s="476"/>
      <c r="BT192" s="476"/>
      <c r="BU192" s="476"/>
      <c r="BV192" s="476"/>
      <c r="BW192" s="476"/>
      <c r="BX192" s="476"/>
      <c r="BY192" s="476"/>
      <c r="BZ192" s="476"/>
      <c r="CA192" s="476"/>
      <c r="CB192" s="476"/>
      <c r="CC192" s="476"/>
      <c r="CD192" s="476"/>
      <c r="CE192" s="476"/>
      <c r="CF192" s="476"/>
      <c r="CG192" s="476"/>
      <c r="CH192" s="476"/>
      <c r="CI192" s="476"/>
      <c r="CJ192" s="476"/>
      <c r="CK192" s="476"/>
      <c r="CL192" s="476"/>
      <c r="CM192" s="476"/>
      <c r="CN192" s="476"/>
      <c r="CO192" s="476"/>
      <c r="CP192" s="476"/>
      <c r="CQ192" s="476"/>
      <c r="CR192" s="476"/>
      <c r="CS192" s="476"/>
      <c r="CT192" s="476"/>
      <c r="CU192" s="476"/>
      <c r="CV192" s="476"/>
      <c r="CW192" s="476"/>
      <c r="CX192" s="476"/>
      <c r="CY192" s="476"/>
      <c r="CZ192" s="476"/>
      <c r="DA192" s="476"/>
      <c r="DB192" s="476"/>
      <c r="DC192" s="476"/>
      <c r="DD192" s="476"/>
      <c r="DE192" s="476"/>
      <c r="DF192" s="476"/>
      <c r="DG192" s="476"/>
      <c r="DH192" s="476"/>
      <c r="DI192" s="476"/>
      <c r="DJ192" s="476"/>
      <c r="DK192" s="476"/>
      <c r="DL192" s="476"/>
      <c r="DM192" s="476"/>
      <c r="DN192" s="476"/>
      <c r="DO192" s="476"/>
      <c r="DP192" s="476"/>
      <c r="DQ192" s="476"/>
      <c r="DR192" s="476"/>
      <c r="DS192" s="476"/>
      <c r="DT192" s="476"/>
      <c r="DU192" s="476"/>
      <c r="DV192" s="476"/>
      <c r="DW192" s="476"/>
      <c r="DX192" s="476"/>
      <c r="DY192" s="476"/>
      <c r="DZ192" s="476"/>
      <c r="EA192" s="476"/>
      <c r="EB192" s="476"/>
      <c r="EC192" s="476"/>
      <c r="ED192" s="476"/>
      <c r="EE192" s="476"/>
      <c r="EF192" s="476"/>
      <c r="EG192" s="476"/>
      <c r="EH192" s="476"/>
      <c r="EI192" s="476"/>
      <c r="EJ192" s="476"/>
      <c r="EK192" s="476"/>
      <c r="EL192" s="476"/>
      <c r="EM192" s="476"/>
      <c r="EN192" s="476"/>
      <c r="EO192" s="476"/>
      <c r="EP192" s="476"/>
      <c r="EQ192" s="476"/>
      <c r="ER192" s="476"/>
      <c r="ES192" s="476"/>
      <c r="ET192" s="476"/>
      <c r="EU192" s="476"/>
      <c r="EV192" s="476"/>
      <c r="EW192" s="476"/>
      <c r="EX192" s="476"/>
      <c r="EY192" s="476"/>
      <c r="EZ192" s="476"/>
      <c r="FA192" s="476"/>
      <c r="FB192" s="476"/>
      <c r="FC192" s="476"/>
      <c r="FD192" s="476"/>
      <c r="FE192" s="476"/>
      <c r="FF192" s="476"/>
      <c r="FG192" s="476"/>
      <c r="FH192" s="476"/>
      <c r="FI192" s="476"/>
      <c r="FJ192" s="476"/>
      <c r="FK192" s="476"/>
      <c r="FL192" s="476"/>
      <c r="FM192" s="476"/>
      <c r="FN192" s="476"/>
      <c r="FO192" s="476"/>
      <c r="FP192" s="476"/>
      <c r="FQ192" s="476"/>
      <c r="FR192" s="476"/>
      <c r="FS192" s="476"/>
      <c r="FT192" s="476"/>
      <c r="FU192" s="476"/>
      <c r="FV192" s="476"/>
      <c r="FW192" s="476"/>
      <c r="FX192" s="476"/>
      <c r="FY192" s="476"/>
      <c r="FZ192" s="476"/>
      <c r="GA192" s="476"/>
      <c r="GB192" s="476"/>
      <c r="GC192" s="476"/>
      <c r="GD192" s="476"/>
      <c r="GE192" s="476"/>
      <c r="GF192" s="476"/>
      <c r="GG192" s="476"/>
      <c r="GH192" s="476"/>
      <c r="GI192" s="476"/>
      <c r="GJ192" s="476"/>
      <c r="GK192" s="476"/>
      <c r="GL192" s="476"/>
      <c r="GM192" s="476"/>
      <c r="GN192" s="476"/>
      <c r="GO192" s="476"/>
      <c r="GP192" s="476"/>
      <c r="GQ192" s="476"/>
      <c r="GR192" s="476"/>
      <c r="GS192" s="476"/>
      <c r="GT192" s="476"/>
      <c r="GU192" s="476"/>
      <c r="GV192" s="476"/>
      <c r="GW192" s="476"/>
      <c r="GX192" s="476"/>
      <c r="GY192" s="476"/>
      <c r="GZ192" s="476"/>
      <c r="HA192" s="476"/>
      <c r="HB192" s="476"/>
      <c r="HC192" s="476"/>
      <c r="HD192" s="476"/>
      <c r="HE192" s="476"/>
      <c r="HF192" s="476"/>
      <c r="HG192" s="476"/>
      <c r="HH192" s="476"/>
      <c r="HI192" s="476"/>
      <c r="HJ192" s="476"/>
      <c r="HK192" s="476"/>
      <c r="HL192" s="476"/>
      <c r="HM192" s="476"/>
      <c r="HN192" s="476"/>
      <c r="HO192" s="476"/>
      <c r="HP192" s="476"/>
      <c r="HQ192" s="476"/>
      <c r="HR192" s="476"/>
      <c r="HS192" s="476"/>
      <c r="HT192" s="476"/>
      <c r="HU192" s="476"/>
      <c r="HV192" s="476"/>
      <c r="HW192" s="476"/>
      <c r="HX192" s="476"/>
      <c r="HY192" s="476"/>
      <c r="HZ192" s="476"/>
      <c r="IA192" s="476"/>
      <c r="IB192" s="476"/>
      <c r="IC192" s="476"/>
      <c r="ID192" s="476"/>
      <c r="IE192" s="476"/>
      <c r="IF192" s="476"/>
      <c r="IG192" s="476"/>
      <c r="IH192" s="476"/>
      <c r="II192" s="476"/>
      <c r="IJ192" s="476"/>
      <c r="IK192" s="476"/>
      <c r="IL192" s="476"/>
      <c r="IM192" s="476"/>
      <c r="IN192" s="476"/>
      <c r="IO192" s="476"/>
      <c r="IP192" s="476"/>
      <c r="IQ192" s="476"/>
      <c r="IR192" s="476"/>
      <c r="IS192" s="476"/>
    </row>
    <row r="193" spans="1:12" ht="66">
      <c r="A193" s="606">
        <v>179</v>
      </c>
      <c r="B193" s="923"/>
      <c r="C193" s="913">
        <v>1</v>
      </c>
      <c r="D193" s="419" t="s">
        <v>1351</v>
      </c>
      <c r="E193" s="420" t="s">
        <v>781</v>
      </c>
      <c r="F193" s="444">
        <f t="shared" si="3"/>
        <v>460</v>
      </c>
      <c r="G193" s="444"/>
      <c r="H193" s="447"/>
      <c r="I193" s="489">
        <v>345</v>
      </c>
      <c r="J193" s="444">
        <v>460</v>
      </c>
      <c r="K193" s="859">
        <v>291</v>
      </c>
      <c r="L193" s="407"/>
    </row>
    <row r="194" spans="1:12" ht="17.25">
      <c r="A194" s="606">
        <v>180</v>
      </c>
      <c r="B194" s="923"/>
      <c r="C194" s="913">
        <v>2</v>
      </c>
      <c r="D194" s="450" t="s">
        <v>124</v>
      </c>
      <c r="E194" s="420" t="s">
        <v>781</v>
      </c>
      <c r="F194" s="444">
        <f t="shared" si="3"/>
        <v>950</v>
      </c>
      <c r="G194" s="444"/>
      <c r="H194" s="447"/>
      <c r="I194" s="489">
        <v>950</v>
      </c>
      <c r="J194" s="444">
        <v>950</v>
      </c>
      <c r="K194" s="859">
        <v>1029</v>
      </c>
      <c r="L194" s="407"/>
    </row>
    <row r="195" spans="1:12" ht="17.25">
      <c r="A195" s="606">
        <v>181</v>
      </c>
      <c r="B195" s="923"/>
      <c r="C195" s="913">
        <v>3</v>
      </c>
      <c r="D195" s="450" t="s">
        <v>125</v>
      </c>
      <c r="E195" s="420" t="s">
        <v>781</v>
      </c>
      <c r="F195" s="444">
        <f t="shared" si="3"/>
        <v>370</v>
      </c>
      <c r="G195" s="444"/>
      <c r="H195" s="447"/>
      <c r="I195" s="489">
        <v>370</v>
      </c>
      <c r="J195" s="444">
        <v>370</v>
      </c>
      <c r="K195" s="859">
        <v>60</v>
      </c>
      <c r="L195" s="407"/>
    </row>
    <row r="196" spans="1:12" ht="17.25">
      <c r="A196" s="606">
        <v>182</v>
      </c>
      <c r="B196" s="923"/>
      <c r="C196" s="913">
        <v>4</v>
      </c>
      <c r="D196" s="450" t="s">
        <v>126</v>
      </c>
      <c r="E196" s="420" t="s">
        <v>781</v>
      </c>
      <c r="F196" s="444">
        <f t="shared" si="3"/>
        <v>770</v>
      </c>
      <c r="G196" s="444"/>
      <c r="H196" s="447"/>
      <c r="I196" s="489"/>
      <c r="J196" s="444">
        <v>770</v>
      </c>
      <c r="K196" s="859">
        <v>440</v>
      </c>
      <c r="L196" s="407"/>
    </row>
    <row r="197" spans="1:12" ht="17.25">
      <c r="A197" s="606">
        <v>183</v>
      </c>
      <c r="B197" s="923"/>
      <c r="C197" s="913">
        <v>5</v>
      </c>
      <c r="D197" s="450" t="s">
        <v>1352</v>
      </c>
      <c r="E197" s="420" t="s">
        <v>781</v>
      </c>
      <c r="F197" s="444">
        <f t="shared" si="3"/>
        <v>230</v>
      </c>
      <c r="G197" s="444"/>
      <c r="H197" s="447"/>
      <c r="I197" s="489"/>
      <c r="J197" s="444">
        <v>230</v>
      </c>
      <c r="K197" s="859">
        <v>375</v>
      </c>
      <c r="L197" s="407"/>
    </row>
    <row r="198" spans="1:253" ht="17.25">
      <c r="A198" s="606">
        <v>184</v>
      </c>
      <c r="B198" s="923">
        <v>8</v>
      </c>
      <c r="C198" s="913"/>
      <c r="D198" s="442" t="s">
        <v>729</v>
      </c>
      <c r="E198" s="443"/>
      <c r="F198" s="444"/>
      <c r="G198" s="445"/>
      <c r="H198" s="446"/>
      <c r="I198" s="488"/>
      <c r="J198" s="444"/>
      <c r="K198" s="858"/>
      <c r="L198" s="407"/>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476"/>
      <c r="AJ198" s="476"/>
      <c r="AK198" s="476"/>
      <c r="AL198" s="476"/>
      <c r="AM198" s="476"/>
      <c r="AN198" s="476"/>
      <c r="AO198" s="476"/>
      <c r="AP198" s="476"/>
      <c r="AQ198" s="476"/>
      <c r="AR198" s="476"/>
      <c r="AS198" s="476"/>
      <c r="AT198" s="476"/>
      <c r="AU198" s="476"/>
      <c r="AV198" s="476"/>
      <c r="AW198" s="476"/>
      <c r="AX198" s="476"/>
      <c r="AY198" s="476"/>
      <c r="AZ198" s="476"/>
      <c r="BA198" s="476"/>
      <c r="BB198" s="476"/>
      <c r="BC198" s="476"/>
      <c r="BD198" s="476"/>
      <c r="BE198" s="476"/>
      <c r="BF198" s="476"/>
      <c r="BG198" s="476"/>
      <c r="BH198" s="476"/>
      <c r="BI198" s="476"/>
      <c r="BJ198" s="476"/>
      <c r="BK198" s="476"/>
      <c r="BL198" s="476"/>
      <c r="BM198" s="476"/>
      <c r="BN198" s="476"/>
      <c r="BO198" s="476"/>
      <c r="BP198" s="476"/>
      <c r="BQ198" s="476"/>
      <c r="BR198" s="476"/>
      <c r="BS198" s="476"/>
      <c r="BT198" s="476"/>
      <c r="BU198" s="476"/>
      <c r="BV198" s="476"/>
      <c r="BW198" s="476"/>
      <c r="BX198" s="476"/>
      <c r="BY198" s="476"/>
      <c r="BZ198" s="476"/>
      <c r="CA198" s="476"/>
      <c r="CB198" s="476"/>
      <c r="CC198" s="476"/>
      <c r="CD198" s="476"/>
      <c r="CE198" s="476"/>
      <c r="CF198" s="476"/>
      <c r="CG198" s="476"/>
      <c r="CH198" s="476"/>
      <c r="CI198" s="476"/>
      <c r="CJ198" s="476"/>
      <c r="CK198" s="476"/>
      <c r="CL198" s="476"/>
      <c r="CM198" s="476"/>
      <c r="CN198" s="476"/>
      <c r="CO198" s="476"/>
      <c r="CP198" s="476"/>
      <c r="CQ198" s="476"/>
      <c r="CR198" s="476"/>
      <c r="CS198" s="476"/>
      <c r="CT198" s="476"/>
      <c r="CU198" s="476"/>
      <c r="CV198" s="476"/>
      <c r="CW198" s="476"/>
      <c r="CX198" s="476"/>
      <c r="CY198" s="476"/>
      <c r="CZ198" s="476"/>
      <c r="DA198" s="476"/>
      <c r="DB198" s="476"/>
      <c r="DC198" s="476"/>
      <c r="DD198" s="476"/>
      <c r="DE198" s="476"/>
      <c r="DF198" s="476"/>
      <c r="DG198" s="476"/>
      <c r="DH198" s="476"/>
      <c r="DI198" s="476"/>
      <c r="DJ198" s="476"/>
      <c r="DK198" s="476"/>
      <c r="DL198" s="476"/>
      <c r="DM198" s="476"/>
      <c r="DN198" s="476"/>
      <c r="DO198" s="476"/>
      <c r="DP198" s="476"/>
      <c r="DQ198" s="476"/>
      <c r="DR198" s="476"/>
      <c r="DS198" s="476"/>
      <c r="DT198" s="476"/>
      <c r="DU198" s="476"/>
      <c r="DV198" s="476"/>
      <c r="DW198" s="476"/>
      <c r="DX198" s="476"/>
      <c r="DY198" s="476"/>
      <c r="DZ198" s="476"/>
      <c r="EA198" s="476"/>
      <c r="EB198" s="476"/>
      <c r="EC198" s="476"/>
      <c r="ED198" s="476"/>
      <c r="EE198" s="476"/>
      <c r="EF198" s="476"/>
      <c r="EG198" s="476"/>
      <c r="EH198" s="476"/>
      <c r="EI198" s="476"/>
      <c r="EJ198" s="476"/>
      <c r="EK198" s="476"/>
      <c r="EL198" s="476"/>
      <c r="EM198" s="476"/>
      <c r="EN198" s="476"/>
      <c r="EO198" s="476"/>
      <c r="EP198" s="476"/>
      <c r="EQ198" s="476"/>
      <c r="ER198" s="476"/>
      <c r="ES198" s="476"/>
      <c r="ET198" s="476"/>
      <c r="EU198" s="476"/>
      <c r="EV198" s="476"/>
      <c r="EW198" s="476"/>
      <c r="EX198" s="476"/>
      <c r="EY198" s="476"/>
      <c r="EZ198" s="476"/>
      <c r="FA198" s="476"/>
      <c r="FB198" s="476"/>
      <c r="FC198" s="476"/>
      <c r="FD198" s="476"/>
      <c r="FE198" s="476"/>
      <c r="FF198" s="476"/>
      <c r="FG198" s="476"/>
      <c r="FH198" s="476"/>
      <c r="FI198" s="476"/>
      <c r="FJ198" s="476"/>
      <c r="FK198" s="476"/>
      <c r="FL198" s="476"/>
      <c r="FM198" s="476"/>
      <c r="FN198" s="476"/>
      <c r="FO198" s="476"/>
      <c r="FP198" s="476"/>
      <c r="FQ198" s="476"/>
      <c r="FR198" s="476"/>
      <c r="FS198" s="476"/>
      <c r="FT198" s="476"/>
      <c r="FU198" s="476"/>
      <c r="FV198" s="476"/>
      <c r="FW198" s="476"/>
      <c r="FX198" s="476"/>
      <c r="FY198" s="476"/>
      <c r="FZ198" s="476"/>
      <c r="GA198" s="476"/>
      <c r="GB198" s="476"/>
      <c r="GC198" s="476"/>
      <c r="GD198" s="476"/>
      <c r="GE198" s="476"/>
      <c r="GF198" s="476"/>
      <c r="GG198" s="476"/>
      <c r="GH198" s="476"/>
      <c r="GI198" s="476"/>
      <c r="GJ198" s="476"/>
      <c r="GK198" s="476"/>
      <c r="GL198" s="476"/>
      <c r="GM198" s="476"/>
      <c r="GN198" s="476"/>
      <c r="GO198" s="476"/>
      <c r="GP198" s="476"/>
      <c r="GQ198" s="476"/>
      <c r="GR198" s="476"/>
      <c r="GS198" s="476"/>
      <c r="GT198" s="476"/>
      <c r="GU198" s="476"/>
      <c r="GV198" s="476"/>
      <c r="GW198" s="476"/>
      <c r="GX198" s="476"/>
      <c r="GY198" s="476"/>
      <c r="GZ198" s="476"/>
      <c r="HA198" s="476"/>
      <c r="HB198" s="476"/>
      <c r="HC198" s="476"/>
      <c r="HD198" s="476"/>
      <c r="HE198" s="476"/>
      <c r="HF198" s="476"/>
      <c r="HG198" s="476"/>
      <c r="HH198" s="476"/>
      <c r="HI198" s="476"/>
      <c r="HJ198" s="476"/>
      <c r="HK198" s="476"/>
      <c r="HL198" s="476"/>
      <c r="HM198" s="476"/>
      <c r="HN198" s="476"/>
      <c r="HO198" s="476"/>
      <c r="HP198" s="476"/>
      <c r="HQ198" s="476"/>
      <c r="HR198" s="476"/>
      <c r="HS198" s="476"/>
      <c r="HT198" s="476"/>
      <c r="HU198" s="476"/>
      <c r="HV198" s="476"/>
      <c r="HW198" s="476"/>
      <c r="HX198" s="476"/>
      <c r="HY198" s="476"/>
      <c r="HZ198" s="476"/>
      <c r="IA198" s="476"/>
      <c r="IB198" s="476"/>
      <c r="IC198" s="476"/>
      <c r="ID198" s="476"/>
      <c r="IE198" s="476"/>
      <c r="IF198" s="476"/>
      <c r="IG198" s="476"/>
      <c r="IH198" s="476"/>
      <c r="II198" s="476"/>
      <c r="IJ198" s="476"/>
      <c r="IK198" s="476"/>
      <c r="IL198" s="476"/>
      <c r="IM198" s="476"/>
      <c r="IN198" s="476"/>
      <c r="IO198" s="476"/>
      <c r="IP198" s="476"/>
      <c r="IQ198" s="476"/>
      <c r="IR198" s="476"/>
      <c r="IS198" s="476"/>
    </row>
    <row r="199" spans="1:253" ht="17.25">
      <c r="A199" s="606">
        <v>185</v>
      </c>
      <c r="B199" s="923"/>
      <c r="C199" s="913"/>
      <c r="D199" s="442" t="s">
        <v>696</v>
      </c>
      <c r="E199" s="443"/>
      <c r="F199" s="444"/>
      <c r="G199" s="451"/>
      <c r="H199" s="452"/>
      <c r="I199" s="491"/>
      <c r="J199" s="444"/>
      <c r="K199" s="858"/>
      <c r="L199" s="407"/>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476"/>
      <c r="AK199" s="476"/>
      <c r="AL199" s="476"/>
      <c r="AM199" s="476"/>
      <c r="AN199" s="476"/>
      <c r="AO199" s="476"/>
      <c r="AP199" s="476"/>
      <c r="AQ199" s="476"/>
      <c r="AR199" s="476"/>
      <c r="AS199" s="476"/>
      <c r="AT199" s="476"/>
      <c r="AU199" s="476"/>
      <c r="AV199" s="476"/>
      <c r="AW199" s="476"/>
      <c r="AX199" s="476"/>
      <c r="AY199" s="476"/>
      <c r="AZ199" s="476"/>
      <c r="BA199" s="476"/>
      <c r="BB199" s="476"/>
      <c r="BC199" s="476"/>
      <c r="BD199" s="476"/>
      <c r="BE199" s="476"/>
      <c r="BF199" s="476"/>
      <c r="BG199" s="476"/>
      <c r="BH199" s="476"/>
      <c r="BI199" s="476"/>
      <c r="BJ199" s="476"/>
      <c r="BK199" s="476"/>
      <c r="BL199" s="476"/>
      <c r="BM199" s="476"/>
      <c r="BN199" s="476"/>
      <c r="BO199" s="476"/>
      <c r="BP199" s="476"/>
      <c r="BQ199" s="476"/>
      <c r="BR199" s="476"/>
      <c r="BS199" s="476"/>
      <c r="BT199" s="476"/>
      <c r="BU199" s="476"/>
      <c r="BV199" s="476"/>
      <c r="BW199" s="476"/>
      <c r="BX199" s="476"/>
      <c r="BY199" s="476"/>
      <c r="BZ199" s="476"/>
      <c r="CA199" s="476"/>
      <c r="CB199" s="476"/>
      <c r="CC199" s="476"/>
      <c r="CD199" s="476"/>
      <c r="CE199" s="476"/>
      <c r="CF199" s="476"/>
      <c r="CG199" s="476"/>
      <c r="CH199" s="476"/>
      <c r="CI199" s="476"/>
      <c r="CJ199" s="476"/>
      <c r="CK199" s="476"/>
      <c r="CL199" s="476"/>
      <c r="CM199" s="476"/>
      <c r="CN199" s="476"/>
      <c r="CO199" s="476"/>
      <c r="CP199" s="476"/>
      <c r="CQ199" s="476"/>
      <c r="CR199" s="476"/>
      <c r="CS199" s="476"/>
      <c r="CT199" s="476"/>
      <c r="CU199" s="476"/>
      <c r="CV199" s="476"/>
      <c r="CW199" s="476"/>
      <c r="CX199" s="476"/>
      <c r="CY199" s="476"/>
      <c r="CZ199" s="476"/>
      <c r="DA199" s="476"/>
      <c r="DB199" s="476"/>
      <c r="DC199" s="476"/>
      <c r="DD199" s="476"/>
      <c r="DE199" s="476"/>
      <c r="DF199" s="476"/>
      <c r="DG199" s="476"/>
      <c r="DH199" s="476"/>
      <c r="DI199" s="476"/>
      <c r="DJ199" s="476"/>
      <c r="DK199" s="476"/>
      <c r="DL199" s="476"/>
      <c r="DM199" s="476"/>
      <c r="DN199" s="476"/>
      <c r="DO199" s="476"/>
      <c r="DP199" s="476"/>
      <c r="DQ199" s="476"/>
      <c r="DR199" s="476"/>
      <c r="DS199" s="476"/>
      <c r="DT199" s="476"/>
      <c r="DU199" s="476"/>
      <c r="DV199" s="476"/>
      <c r="DW199" s="476"/>
      <c r="DX199" s="476"/>
      <c r="DY199" s="476"/>
      <c r="DZ199" s="476"/>
      <c r="EA199" s="476"/>
      <c r="EB199" s="476"/>
      <c r="EC199" s="476"/>
      <c r="ED199" s="476"/>
      <c r="EE199" s="476"/>
      <c r="EF199" s="476"/>
      <c r="EG199" s="476"/>
      <c r="EH199" s="476"/>
      <c r="EI199" s="476"/>
      <c r="EJ199" s="476"/>
      <c r="EK199" s="476"/>
      <c r="EL199" s="476"/>
      <c r="EM199" s="476"/>
      <c r="EN199" s="476"/>
      <c r="EO199" s="476"/>
      <c r="EP199" s="476"/>
      <c r="EQ199" s="476"/>
      <c r="ER199" s="476"/>
      <c r="ES199" s="476"/>
      <c r="ET199" s="476"/>
      <c r="EU199" s="476"/>
      <c r="EV199" s="476"/>
      <c r="EW199" s="476"/>
      <c r="EX199" s="476"/>
      <c r="EY199" s="476"/>
      <c r="EZ199" s="476"/>
      <c r="FA199" s="476"/>
      <c r="FB199" s="476"/>
      <c r="FC199" s="476"/>
      <c r="FD199" s="476"/>
      <c r="FE199" s="476"/>
      <c r="FF199" s="476"/>
      <c r="FG199" s="476"/>
      <c r="FH199" s="476"/>
      <c r="FI199" s="476"/>
      <c r="FJ199" s="476"/>
      <c r="FK199" s="476"/>
      <c r="FL199" s="476"/>
      <c r="FM199" s="476"/>
      <c r="FN199" s="476"/>
      <c r="FO199" s="476"/>
      <c r="FP199" s="476"/>
      <c r="FQ199" s="476"/>
      <c r="FR199" s="476"/>
      <c r="FS199" s="476"/>
      <c r="FT199" s="476"/>
      <c r="FU199" s="476"/>
      <c r="FV199" s="476"/>
      <c r="FW199" s="476"/>
      <c r="FX199" s="476"/>
      <c r="FY199" s="476"/>
      <c r="FZ199" s="476"/>
      <c r="GA199" s="476"/>
      <c r="GB199" s="476"/>
      <c r="GC199" s="476"/>
      <c r="GD199" s="476"/>
      <c r="GE199" s="476"/>
      <c r="GF199" s="476"/>
      <c r="GG199" s="476"/>
      <c r="GH199" s="476"/>
      <c r="GI199" s="476"/>
      <c r="GJ199" s="476"/>
      <c r="GK199" s="476"/>
      <c r="GL199" s="476"/>
      <c r="GM199" s="476"/>
      <c r="GN199" s="476"/>
      <c r="GO199" s="476"/>
      <c r="GP199" s="476"/>
      <c r="GQ199" s="476"/>
      <c r="GR199" s="476"/>
      <c r="GS199" s="476"/>
      <c r="GT199" s="476"/>
      <c r="GU199" s="476"/>
      <c r="GV199" s="476"/>
      <c r="GW199" s="476"/>
      <c r="GX199" s="476"/>
      <c r="GY199" s="476"/>
      <c r="GZ199" s="476"/>
      <c r="HA199" s="476"/>
      <c r="HB199" s="476"/>
      <c r="HC199" s="476"/>
      <c r="HD199" s="476"/>
      <c r="HE199" s="476"/>
      <c r="HF199" s="476"/>
      <c r="HG199" s="476"/>
      <c r="HH199" s="476"/>
      <c r="HI199" s="476"/>
      <c r="HJ199" s="476"/>
      <c r="HK199" s="476"/>
      <c r="HL199" s="476"/>
      <c r="HM199" s="476"/>
      <c r="HN199" s="476"/>
      <c r="HO199" s="476"/>
      <c r="HP199" s="476"/>
      <c r="HQ199" s="476"/>
      <c r="HR199" s="476"/>
      <c r="HS199" s="476"/>
      <c r="HT199" s="476"/>
      <c r="HU199" s="476"/>
      <c r="HV199" s="476"/>
      <c r="HW199" s="476"/>
      <c r="HX199" s="476"/>
      <c r="HY199" s="476"/>
      <c r="HZ199" s="476"/>
      <c r="IA199" s="476"/>
      <c r="IB199" s="476"/>
      <c r="IC199" s="476"/>
      <c r="ID199" s="476"/>
      <c r="IE199" s="476"/>
      <c r="IF199" s="476"/>
      <c r="IG199" s="476"/>
      <c r="IH199" s="476"/>
      <c r="II199" s="476"/>
      <c r="IJ199" s="476"/>
      <c r="IK199" s="476"/>
      <c r="IL199" s="476"/>
      <c r="IM199" s="476"/>
      <c r="IN199" s="476"/>
      <c r="IO199" s="476"/>
      <c r="IP199" s="476"/>
      <c r="IQ199" s="476"/>
      <c r="IR199" s="476"/>
      <c r="IS199" s="476"/>
    </row>
    <row r="200" spans="1:12" ht="17.25">
      <c r="A200" s="606">
        <v>186</v>
      </c>
      <c r="B200" s="923"/>
      <c r="C200" s="913">
        <v>1</v>
      </c>
      <c r="D200" s="419" t="s">
        <v>127</v>
      </c>
      <c r="E200" s="420" t="s">
        <v>781</v>
      </c>
      <c r="F200" s="444">
        <f t="shared" si="3"/>
        <v>201</v>
      </c>
      <c r="G200" s="444"/>
      <c r="H200" s="447"/>
      <c r="I200" s="489">
        <v>180</v>
      </c>
      <c r="J200" s="444">
        <v>201</v>
      </c>
      <c r="K200" s="859">
        <v>201</v>
      </c>
      <c r="L200" s="407"/>
    </row>
    <row r="201" spans="1:12" ht="17.25">
      <c r="A201" s="606">
        <v>187</v>
      </c>
      <c r="B201" s="923"/>
      <c r="C201" s="913">
        <v>2</v>
      </c>
      <c r="D201" s="419" t="s">
        <v>128</v>
      </c>
      <c r="E201" s="420" t="s">
        <v>781</v>
      </c>
      <c r="F201" s="444">
        <f t="shared" si="3"/>
        <v>148</v>
      </c>
      <c r="G201" s="444"/>
      <c r="H201" s="447"/>
      <c r="I201" s="489"/>
      <c r="J201" s="444">
        <v>148</v>
      </c>
      <c r="K201" s="859">
        <v>148</v>
      </c>
      <c r="L201" s="407"/>
    </row>
    <row r="202" spans="1:12" ht="17.25">
      <c r="A202" s="606">
        <v>188</v>
      </c>
      <c r="B202" s="923"/>
      <c r="C202" s="913">
        <v>3</v>
      </c>
      <c r="D202" s="419" t="s">
        <v>1126</v>
      </c>
      <c r="E202" s="420" t="s">
        <v>781</v>
      </c>
      <c r="F202" s="444">
        <f t="shared" si="3"/>
        <v>1499</v>
      </c>
      <c r="G202" s="444"/>
      <c r="H202" s="447"/>
      <c r="I202" s="489"/>
      <c r="J202" s="444">
        <v>1499</v>
      </c>
      <c r="K202" s="859">
        <v>1499</v>
      </c>
      <c r="L202" s="407"/>
    </row>
    <row r="203" spans="1:253" ht="17.25">
      <c r="A203" s="606">
        <v>189</v>
      </c>
      <c r="B203" s="923"/>
      <c r="C203" s="913"/>
      <c r="D203" s="442" t="s">
        <v>697</v>
      </c>
      <c r="E203" s="443"/>
      <c r="F203" s="444"/>
      <c r="G203" s="451"/>
      <c r="H203" s="452"/>
      <c r="I203" s="491"/>
      <c r="J203" s="444"/>
      <c r="K203" s="858"/>
      <c r="L203" s="407"/>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476"/>
      <c r="AJ203" s="476"/>
      <c r="AK203" s="476"/>
      <c r="AL203" s="476"/>
      <c r="AM203" s="476"/>
      <c r="AN203" s="476"/>
      <c r="AO203" s="476"/>
      <c r="AP203" s="476"/>
      <c r="AQ203" s="476"/>
      <c r="AR203" s="476"/>
      <c r="AS203" s="476"/>
      <c r="AT203" s="476"/>
      <c r="AU203" s="476"/>
      <c r="AV203" s="476"/>
      <c r="AW203" s="476"/>
      <c r="AX203" s="476"/>
      <c r="AY203" s="476"/>
      <c r="AZ203" s="476"/>
      <c r="BA203" s="476"/>
      <c r="BB203" s="476"/>
      <c r="BC203" s="476"/>
      <c r="BD203" s="476"/>
      <c r="BE203" s="476"/>
      <c r="BF203" s="476"/>
      <c r="BG203" s="476"/>
      <c r="BH203" s="476"/>
      <c r="BI203" s="476"/>
      <c r="BJ203" s="476"/>
      <c r="BK203" s="476"/>
      <c r="BL203" s="476"/>
      <c r="BM203" s="476"/>
      <c r="BN203" s="476"/>
      <c r="BO203" s="476"/>
      <c r="BP203" s="476"/>
      <c r="BQ203" s="476"/>
      <c r="BR203" s="476"/>
      <c r="BS203" s="476"/>
      <c r="BT203" s="476"/>
      <c r="BU203" s="476"/>
      <c r="BV203" s="476"/>
      <c r="BW203" s="476"/>
      <c r="BX203" s="476"/>
      <c r="BY203" s="476"/>
      <c r="BZ203" s="476"/>
      <c r="CA203" s="476"/>
      <c r="CB203" s="476"/>
      <c r="CC203" s="476"/>
      <c r="CD203" s="476"/>
      <c r="CE203" s="476"/>
      <c r="CF203" s="476"/>
      <c r="CG203" s="476"/>
      <c r="CH203" s="476"/>
      <c r="CI203" s="476"/>
      <c r="CJ203" s="476"/>
      <c r="CK203" s="476"/>
      <c r="CL203" s="476"/>
      <c r="CM203" s="476"/>
      <c r="CN203" s="476"/>
      <c r="CO203" s="476"/>
      <c r="CP203" s="476"/>
      <c r="CQ203" s="476"/>
      <c r="CR203" s="476"/>
      <c r="CS203" s="476"/>
      <c r="CT203" s="476"/>
      <c r="CU203" s="476"/>
      <c r="CV203" s="476"/>
      <c r="CW203" s="476"/>
      <c r="CX203" s="476"/>
      <c r="CY203" s="476"/>
      <c r="CZ203" s="476"/>
      <c r="DA203" s="476"/>
      <c r="DB203" s="476"/>
      <c r="DC203" s="476"/>
      <c r="DD203" s="476"/>
      <c r="DE203" s="476"/>
      <c r="DF203" s="476"/>
      <c r="DG203" s="476"/>
      <c r="DH203" s="476"/>
      <c r="DI203" s="476"/>
      <c r="DJ203" s="476"/>
      <c r="DK203" s="476"/>
      <c r="DL203" s="476"/>
      <c r="DM203" s="476"/>
      <c r="DN203" s="476"/>
      <c r="DO203" s="476"/>
      <c r="DP203" s="476"/>
      <c r="DQ203" s="476"/>
      <c r="DR203" s="476"/>
      <c r="DS203" s="476"/>
      <c r="DT203" s="476"/>
      <c r="DU203" s="476"/>
      <c r="DV203" s="476"/>
      <c r="DW203" s="476"/>
      <c r="DX203" s="476"/>
      <c r="DY203" s="476"/>
      <c r="DZ203" s="476"/>
      <c r="EA203" s="476"/>
      <c r="EB203" s="476"/>
      <c r="EC203" s="476"/>
      <c r="ED203" s="476"/>
      <c r="EE203" s="476"/>
      <c r="EF203" s="476"/>
      <c r="EG203" s="476"/>
      <c r="EH203" s="476"/>
      <c r="EI203" s="476"/>
      <c r="EJ203" s="476"/>
      <c r="EK203" s="476"/>
      <c r="EL203" s="476"/>
      <c r="EM203" s="476"/>
      <c r="EN203" s="476"/>
      <c r="EO203" s="476"/>
      <c r="EP203" s="476"/>
      <c r="EQ203" s="476"/>
      <c r="ER203" s="476"/>
      <c r="ES203" s="476"/>
      <c r="ET203" s="476"/>
      <c r="EU203" s="476"/>
      <c r="EV203" s="476"/>
      <c r="EW203" s="476"/>
      <c r="EX203" s="476"/>
      <c r="EY203" s="476"/>
      <c r="EZ203" s="476"/>
      <c r="FA203" s="476"/>
      <c r="FB203" s="476"/>
      <c r="FC203" s="476"/>
      <c r="FD203" s="476"/>
      <c r="FE203" s="476"/>
      <c r="FF203" s="476"/>
      <c r="FG203" s="476"/>
      <c r="FH203" s="476"/>
      <c r="FI203" s="476"/>
      <c r="FJ203" s="476"/>
      <c r="FK203" s="476"/>
      <c r="FL203" s="476"/>
      <c r="FM203" s="476"/>
      <c r="FN203" s="476"/>
      <c r="FO203" s="476"/>
      <c r="FP203" s="476"/>
      <c r="FQ203" s="476"/>
      <c r="FR203" s="476"/>
      <c r="FS203" s="476"/>
      <c r="FT203" s="476"/>
      <c r="FU203" s="476"/>
      <c r="FV203" s="476"/>
      <c r="FW203" s="476"/>
      <c r="FX203" s="476"/>
      <c r="FY203" s="476"/>
      <c r="FZ203" s="476"/>
      <c r="GA203" s="476"/>
      <c r="GB203" s="476"/>
      <c r="GC203" s="476"/>
      <c r="GD203" s="476"/>
      <c r="GE203" s="476"/>
      <c r="GF203" s="476"/>
      <c r="GG203" s="476"/>
      <c r="GH203" s="476"/>
      <c r="GI203" s="476"/>
      <c r="GJ203" s="476"/>
      <c r="GK203" s="476"/>
      <c r="GL203" s="476"/>
      <c r="GM203" s="476"/>
      <c r="GN203" s="476"/>
      <c r="GO203" s="476"/>
      <c r="GP203" s="476"/>
      <c r="GQ203" s="476"/>
      <c r="GR203" s="476"/>
      <c r="GS203" s="476"/>
      <c r="GT203" s="476"/>
      <c r="GU203" s="476"/>
      <c r="GV203" s="476"/>
      <c r="GW203" s="476"/>
      <c r="GX203" s="476"/>
      <c r="GY203" s="476"/>
      <c r="GZ203" s="476"/>
      <c r="HA203" s="476"/>
      <c r="HB203" s="476"/>
      <c r="HC203" s="476"/>
      <c r="HD203" s="476"/>
      <c r="HE203" s="476"/>
      <c r="HF203" s="476"/>
      <c r="HG203" s="476"/>
      <c r="HH203" s="476"/>
      <c r="HI203" s="476"/>
      <c r="HJ203" s="476"/>
      <c r="HK203" s="476"/>
      <c r="HL203" s="476"/>
      <c r="HM203" s="476"/>
      <c r="HN203" s="476"/>
      <c r="HO203" s="476"/>
      <c r="HP203" s="476"/>
      <c r="HQ203" s="476"/>
      <c r="HR203" s="476"/>
      <c r="HS203" s="476"/>
      <c r="HT203" s="476"/>
      <c r="HU203" s="476"/>
      <c r="HV203" s="476"/>
      <c r="HW203" s="476"/>
      <c r="HX203" s="476"/>
      <c r="HY203" s="476"/>
      <c r="HZ203" s="476"/>
      <c r="IA203" s="476"/>
      <c r="IB203" s="476"/>
      <c r="IC203" s="476"/>
      <c r="ID203" s="476"/>
      <c r="IE203" s="476"/>
      <c r="IF203" s="476"/>
      <c r="IG203" s="476"/>
      <c r="IH203" s="476"/>
      <c r="II203" s="476"/>
      <c r="IJ203" s="476"/>
      <c r="IK203" s="476"/>
      <c r="IL203" s="476"/>
      <c r="IM203" s="476"/>
      <c r="IN203" s="476"/>
      <c r="IO203" s="476"/>
      <c r="IP203" s="476"/>
      <c r="IQ203" s="476"/>
      <c r="IR203" s="476"/>
      <c r="IS203" s="476"/>
    </row>
    <row r="204" spans="1:12" ht="17.25">
      <c r="A204" s="606">
        <v>190</v>
      </c>
      <c r="B204" s="923"/>
      <c r="C204" s="913">
        <v>1</v>
      </c>
      <c r="D204" s="419" t="s">
        <v>129</v>
      </c>
      <c r="E204" s="420" t="s">
        <v>781</v>
      </c>
      <c r="F204" s="444">
        <f t="shared" si="3"/>
        <v>38</v>
      </c>
      <c r="G204" s="444"/>
      <c r="H204" s="447"/>
      <c r="I204" s="489">
        <v>110</v>
      </c>
      <c r="J204" s="444">
        <v>38</v>
      </c>
      <c r="K204" s="859">
        <v>38</v>
      </c>
      <c r="L204" s="407"/>
    </row>
    <row r="205" spans="1:12" ht="17.25">
      <c r="A205" s="606">
        <v>191</v>
      </c>
      <c r="B205" s="923"/>
      <c r="C205" s="913">
        <v>2</v>
      </c>
      <c r="D205" s="419" t="s">
        <v>128</v>
      </c>
      <c r="E205" s="420" t="s">
        <v>781</v>
      </c>
      <c r="F205" s="444">
        <f t="shared" si="3"/>
        <v>148</v>
      </c>
      <c r="G205" s="444"/>
      <c r="H205" s="447"/>
      <c r="I205" s="489"/>
      <c r="J205" s="444">
        <v>148</v>
      </c>
      <c r="K205" s="859">
        <v>148</v>
      </c>
      <c r="L205" s="407"/>
    </row>
    <row r="206" spans="1:12" ht="17.25">
      <c r="A206" s="606">
        <v>192</v>
      </c>
      <c r="B206" s="923"/>
      <c r="C206" s="913">
        <v>3</v>
      </c>
      <c r="D206" s="419" t="s">
        <v>1126</v>
      </c>
      <c r="E206" s="420" t="s">
        <v>781</v>
      </c>
      <c r="F206" s="444">
        <f t="shared" si="3"/>
        <v>1499</v>
      </c>
      <c r="G206" s="444"/>
      <c r="H206" s="447"/>
      <c r="I206" s="489"/>
      <c r="J206" s="444">
        <v>1499</v>
      </c>
      <c r="K206" s="859">
        <v>1499</v>
      </c>
      <c r="L206" s="407"/>
    </row>
    <row r="207" spans="1:253" ht="17.25">
      <c r="A207" s="606">
        <v>193</v>
      </c>
      <c r="B207" s="923"/>
      <c r="C207" s="913"/>
      <c r="D207" s="442" t="s">
        <v>698</v>
      </c>
      <c r="E207" s="443"/>
      <c r="F207" s="444"/>
      <c r="G207" s="451"/>
      <c r="H207" s="452"/>
      <c r="I207" s="491"/>
      <c r="J207" s="444"/>
      <c r="K207" s="858"/>
      <c r="L207" s="407"/>
      <c r="M207" s="476"/>
      <c r="N207" s="476"/>
      <c r="O207" s="476"/>
      <c r="P207" s="476"/>
      <c r="Q207" s="476"/>
      <c r="R207" s="476"/>
      <c r="S207" s="476"/>
      <c r="T207" s="476"/>
      <c r="U207" s="476"/>
      <c r="V207" s="476"/>
      <c r="W207" s="476"/>
      <c r="X207" s="476"/>
      <c r="Y207" s="476"/>
      <c r="Z207" s="476"/>
      <c r="AA207" s="476"/>
      <c r="AB207" s="476"/>
      <c r="AC207" s="476"/>
      <c r="AD207" s="476"/>
      <c r="AE207" s="476"/>
      <c r="AF207" s="476"/>
      <c r="AG207" s="476"/>
      <c r="AH207" s="476"/>
      <c r="AI207" s="476"/>
      <c r="AJ207" s="476"/>
      <c r="AK207" s="476"/>
      <c r="AL207" s="476"/>
      <c r="AM207" s="476"/>
      <c r="AN207" s="476"/>
      <c r="AO207" s="476"/>
      <c r="AP207" s="476"/>
      <c r="AQ207" s="476"/>
      <c r="AR207" s="476"/>
      <c r="AS207" s="476"/>
      <c r="AT207" s="476"/>
      <c r="AU207" s="476"/>
      <c r="AV207" s="476"/>
      <c r="AW207" s="476"/>
      <c r="AX207" s="476"/>
      <c r="AY207" s="476"/>
      <c r="AZ207" s="476"/>
      <c r="BA207" s="476"/>
      <c r="BB207" s="476"/>
      <c r="BC207" s="476"/>
      <c r="BD207" s="476"/>
      <c r="BE207" s="476"/>
      <c r="BF207" s="476"/>
      <c r="BG207" s="476"/>
      <c r="BH207" s="476"/>
      <c r="BI207" s="476"/>
      <c r="BJ207" s="476"/>
      <c r="BK207" s="476"/>
      <c r="BL207" s="476"/>
      <c r="BM207" s="476"/>
      <c r="BN207" s="476"/>
      <c r="BO207" s="476"/>
      <c r="BP207" s="476"/>
      <c r="BQ207" s="476"/>
      <c r="BR207" s="476"/>
      <c r="BS207" s="476"/>
      <c r="BT207" s="476"/>
      <c r="BU207" s="476"/>
      <c r="BV207" s="476"/>
      <c r="BW207" s="476"/>
      <c r="BX207" s="476"/>
      <c r="BY207" s="476"/>
      <c r="BZ207" s="476"/>
      <c r="CA207" s="476"/>
      <c r="CB207" s="476"/>
      <c r="CC207" s="476"/>
      <c r="CD207" s="476"/>
      <c r="CE207" s="476"/>
      <c r="CF207" s="476"/>
      <c r="CG207" s="476"/>
      <c r="CH207" s="476"/>
      <c r="CI207" s="476"/>
      <c r="CJ207" s="476"/>
      <c r="CK207" s="476"/>
      <c r="CL207" s="476"/>
      <c r="CM207" s="476"/>
      <c r="CN207" s="476"/>
      <c r="CO207" s="476"/>
      <c r="CP207" s="476"/>
      <c r="CQ207" s="476"/>
      <c r="CR207" s="476"/>
      <c r="CS207" s="476"/>
      <c r="CT207" s="476"/>
      <c r="CU207" s="476"/>
      <c r="CV207" s="476"/>
      <c r="CW207" s="476"/>
      <c r="CX207" s="476"/>
      <c r="CY207" s="476"/>
      <c r="CZ207" s="476"/>
      <c r="DA207" s="476"/>
      <c r="DB207" s="476"/>
      <c r="DC207" s="476"/>
      <c r="DD207" s="476"/>
      <c r="DE207" s="476"/>
      <c r="DF207" s="476"/>
      <c r="DG207" s="476"/>
      <c r="DH207" s="476"/>
      <c r="DI207" s="476"/>
      <c r="DJ207" s="476"/>
      <c r="DK207" s="476"/>
      <c r="DL207" s="476"/>
      <c r="DM207" s="476"/>
      <c r="DN207" s="476"/>
      <c r="DO207" s="476"/>
      <c r="DP207" s="476"/>
      <c r="DQ207" s="476"/>
      <c r="DR207" s="476"/>
      <c r="DS207" s="476"/>
      <c r="DT207" s="476"/>
      <c r="DU207" s="476"/>
      <c r="DV207" s="476"/>
      <c r="DW207" s="476"/>
      <c r="DX207" s="476"/>
      <c r="DY207" s="476"/>
      <c r="DZ207" s="476"/>
      <c r="EA207" s="476"/>
      <c r="EB207" s="476"/>
      <c r="EC207" s="476"/>
      <c r="ED207" s="476"/>
      <c r="EE207" s="476"/>
      <c r="EF207" s="476"/>
      <c r="EG207" s="476"/>
      <c r="EH207" s="476"/>
      <c r="EI207" s="476"/>
      <c r="EJ207" s="476"/>
      <c r="EK207" s="476"/>
      <c r="EL207" s="476"/>
      <c r="EM207" s="476"/>
      <c r="EN207" s="476"/>
      <c r="EO207" s="476"/>
      <c r="EP207" s="476"/>
      <c r="EQ207" s="476"/>
      <c r="ER207" s="476"/>
      <c r="ES207" s="476"/>
      <c r="ET207" s="476"/>
      <c r="EU207" s="476"/>
      <c r="EV207" s="476"/>
      <c r="EW207" s="476"/>
      <c r="EX207" s="476"/>
      <c r="EY207" s="476"/>
      <c r="EZ207" s="476"/>
      <c r="FA207" s="476"/>
      <c r="FB207" s="476"/>
      <c r="FC207" s="476"/>
      <c r="FD207" s="476"/>
      <c r="FE207" s="476"/>
      <c r="FF207" s="476"/>
      <c r="FG207" s="476"/>
      <c r="FH207" s="476"/>
      <c r="FI207" s="476"/>
      <c r="FJ207" s="476"/>
      <c r="FK207" s="476"/>
      <c r="FL207" s="476"/>
      <c r="FM207" s="476"/>
      <c r="FN207" s="476"/>
      <c r="FO207" s="476"/>
      <c r="FP207" s="476"/>
      <c r="FQ207" s="476"/>
      <c r="FR207" s="476"/>
      <c r="FS207" s="476"/>
      <c r="FT207" s="476"/>
      <c r="FU207" s="476"/>
      <c r="FV207" s="476"/>
      <c r="FW207" s="476"/>
      <c r="FX207" s="476"/>
      <c r="FY207" s="476"/>
      <c r="FZ207" s="476"/>
      <c r="GA207" s="476"/>
      <c r="GB207" s="476"/>
      <c r="GC207" s="476"/>
      <c r="GD207" s="476"/>
      <c r="GE207" s="476"/>
      <c r="GF207" s="476"/>
      <c r="GG207" s="476"/>
      <c r="GH207" s="476"/>
      <c r="GI207" s="476"/>
      <c r="GJ207" s="476"/>
      <c r="GK207" s="476"/>
      <c r="GL207" s="476"/>
      <c r="GM207" s="476"/>
      <c r="GN207" s="476"/>
      <c r="GO207" s="476"/>
      <c r="GP207" s="476"/>
      <c r="GQ207" s="476"/>
      <c r="GR207" s="476"/>
      <c r="GS207" s="476"/>
      <c r="GT207" s="476"/>
      <c r="GU207" s="476"/>
      <c r="GV207" s="476"/>
      <c r="GW207" s="476"/>
      <c r="GX207" s="476"/>
      <c r="GY207" s="476"/>
      <c r="GZ207" s="476"/>
      <c r="HA207" s="476"/>
      <c r="HB207" s="476"/>
      <c r="HC207" s="476"/>
      <c r="HD207" s="476"/>
      <c r="HE207" s="476"/>
      <c r="HF207" s="476"/>
      <c r="HG207" s="476"/>
      <c r="HH207" s="476"/>
      <c r="HI207" s="476"/>
      <c r="HJ207" s="476"/>
      <c r="HK207" s="476"/>
      <c r="HL207" s="476"/>
      <c r="HM207" s="476"/>
      <c r="HN207" s="476"/>
      <c r="HO207" s="476"/>
      <c r="HP207" s="476"/>
      <c r="HQ207" s="476"/>
      <c r="HR207" s="476"/>
      <c r="HS207" s="476"/>
      <c r="HT207" s="476"/>
      <c r="HU207" s="476"/>
      <c r="HV207" s="476"/>
      <c r="HW207" s="476"/>
      <c r="HX207" s="476"/>
      <c r="HY207" s="476"/>
      <c r="HZ207" s="476"/>
      <c r="IA207" s="476"/>
      <c r="IB207" s="476"/>
      <c r="IC207" s="476"/>
      <c r="ID207" s="476"/>
      <c r="IE207" s="476"/>
      <c r="IF207" s="476"/>
      <c r="IG207" s="476"/>
      <c r="IH207" s="476"/>
      <c r="II207" s="476"/>
      <c r="IJ207" s="476"/>
      <c r="IK207" s="476"/>
      <c r="IL207" s="476"/>
      <c r="IM207" s="476"/>
      <c r="IN207" s="476"/>
      <c r="IO207" s="476"/>
      <c r="IP207" s="476"/>
      <c r="IQ207" s="476"/>
      <c r="IR207" s="476"/>
      <c r="IS207" s="476"/>
    </row>
    <row r="208" spans="1:12" ht="17.25">
      <c r="A208" s="606">
        <v>194</v>
      </c>
      <c r="B208" s="923"/>
      <c r="C208" s="913">
        <v>1</v>
      </c>
      <c r="D208" s="419" t="s">
        <v>130</v>
      </c>
      <c r="E208" s="420" t="s">
        <v>781</v>
      </c>
      <c r="F208" s="444">
        <f t="shared" si="3"/>
        <v>164</v>
      </c>
      <c r="G208" s="444"/>
      <c r="H208" s="447"/>
      <c r="I208" s="489">
        <v>340</v>
      </c>
      <c r="J208" s="444">
        <v>164</v>
      </c>
      <c r="K208" s="859">
        <v>164</v>
      </c>
      <c r="L208" s="407"/>
    </row>
    <row r="209" spans="1:12" ht="17.25">
      <c r="A209" s="606">
        <v>195</v>
      </c>
      <c r="B209" s="923"/>
      <c r="C209" s="913">
        <v>2</v>
      </c>
      <c r="D209" s="419" t="s">
        <v>131</v>
      </c>
      <c r="E209" s="420" t="s">
        <v>781</v>
      </c>
      <c r="F209" s="444">
        <f t="shared" si="3"/>
        <v>381</v>
      </c>
      <c r="G209" s="444"/>
      <c r="H209" s="447"/>
      <c r="I209" s="489"/>
      <c r="J209" s="444">
        <v>381</v>
      </c>
      <c r="K209" s="859">
        <v>381</v>
      </c>
      <c r="L209" s="407"/>
    </row>
    <row r="210" spans="1:12" ht="17.25">
      <c r="A210" s="606">
        <v>196</v>
      </c>
      <c r="B210" s="923"/>
      <c r="C210" s="913">
        <v>3</v>
      </c>
      <c r="D210" s="419" t="s">
        <v>128</v>
      </c>
      <c r="E210" s="420" t="s">
        <v>781</v>
      </c>
      <c r="F210" s="444">
        <f t="shared" si="3"/>
        <v>148</v>
      </c>
      <c r="G210" s="444"/>
      <c r="H210" s="447"/>
      <c r="I210" s="489"/>
      <c r="J210" s="444">
        <v>148</v>
      </c>
      <c r="K210" s="859">
        <v>148</v>
      </c>
      <c r="L210" s="407"/>
    </row>
    <row r="211" spans="1:12" ht="17.25">
      <c r="A211" s="606">
        <v>197</v>
      </c>
      <c r="B211" s="923"/>
      <c r="C211" s="913">
        <v>4</v>
      </c>
      <c r="D211" s="419" t="s">
        <v>1353</v>
      </c>
      <c r="E211" s="420" t="s">
        <v>781</v>
      </c>
      <c r="F211" s="444">
        <f t="shared" si="3"/>
        <v>3431</v>
      </c>
      <c r="G211" s="444"/>
      <c r="H211" s="447"/>
      <c r="I211" s="489"/>
      <c r="J211" s="444">
        <v>3431</v>
      </c>
      <c r="K211" s="859">
        <v>1770</v>
      </c>
      <c r="L211" s="407"/>
    </row>
    <row r="212" spans="1:253" ht="17.25">
      <c r="A212" s="606">
        <v>198</v>
      </c>
      <c r="B212" s="923"/>
      <c r="C212" s="913"/>
      <c r="D212" s="442" t="s">
        <v>695</v>
      </c>
      <c r="E212" s="443"/>
      <c r="F212" s="444"/>
      <c r="G212" s="451"/>
      <c r="H212" s="452"/>
      <c r="I212" s="491"/>
      <c r="J212" s="444"/>
      <c r="K212" s="858"/>
      <c r="L212" s="407"/>
      <c r="M212" s="476"/>
      <c r="N212" s="476"/>
      <c r="O212" s="476"/>
      <c r="P212" s="476"/>
      <c r="Q212" s="476"/>
      <c r="R212" s="476"/>
      <c r="S212" s="476"/>
      <c r="T212" s="476"/>
      <c r="U212" s="476"/>
      <c r="V212" s="476"/>
      <c r="W212" s="476"/>
      <c r="X212" s="476"/>
      <c r="Y212" s="476"/>
      <c r="Z212" s="476"/>
      <c r="AA212" s="476"/>
      <c r="AB212" s="476"/>
      <c r="AC212" s="476"/>
      <c r="AD212" s="476"/>
      <c r="AE212" s="476"/>
      <c r="AF212" s="476"/>
      <c r="AG212" s="476"/>
      <c r="AH212" s="476"/>
      <c r="AI212" s="476"/>
      <c r="AJ212" s="476"/>
      <c r="AK212" s="476"/>
      <c r="AL212" s="476"/>
      <c r="AM212" s="476"/>
      <c r="AN212" s="476"/>
      <c r="AO212" s="476"/>
      <c r="AP212" s="476"/>
      <c r="AQ212" s="476"/>
      <c r="AR212" s="476"/>
      <c r="AS212" s="476"/>
      <c r="AT212" s="476"/>
      <c r="AU212" s="476"/>
      <c r="AV212" s="476"/>
      <c r="AW212" s="476"/>
      <c r="AX212" s="476"/>
      <c r="AY212" s="476"/>
      <c r="AZ212" s="476"/>
      <c r="BA212" s="476"/>
      <c r="BB212" s="476"/>
      <c r="BC212" s="476"/>
      <c r="BD212" s="476"/>
      <c r="BE212" s="476"/>
      <c r="BF212" s="476"/>
      <c r="BG212" s="476"/>
      <c r="BH212" s="476"/>
      <c r="BI212" s="476"/>
      <c r="BJ212" s="476"/>
      <c r="BK212" s="476"/>
      <c r="BL212" s="476"/>
      <c r="BM212" s="476"/>
      <c r="BN212" s="476"/>
      <c r="BO212" s="476"/>
      <c r="BP212" s="476"/>
      <c r="BQ212" s="476"/>
      <c r="BR212" s="476"/>
      <c r="BS212" s="476"/>
      <c r="BT212" s="476"/>
      <c r="BU212" s="476"/>
      <c r="BV212" s="476"/>
      <c r="BW212" s="476"/>
      <c r="BX212" s="476"/>
      <c r="BY212" s="476"/>
      <c r="BZ212" s="476"/>
      <c r="CA212" s="476"/>
      <c r="CB212" s="476"/>
      <c r="CC212" s="476"/>
      <c r="CD212" s="476"/>
      <c r="CE212" s="476"/>
      <c r="CF212" s="476"/>
      <c r="CG212" s="476"/>
      <c r="CH212" s="476"/>
      <c r="CI212" s="476"/>
      <c r="CJ212" s="476"/>
      <c r="CK212" s="476"/>
      <c r="CL212" s="476"/>
      <c r="CM212" s="476"/>
      <c r="CN212" s="476"/>
      <c r="CO212" s="476"/>
      <c r="CP212" s="476"/>
      <c r="CQ212" s="476"/>
      <c r="CR212" s="476"/>
      <c r="CS212" s="476"/>
      <c r="CT212" s="476"/>
      <c r="CU212" s="476"/>
      <c r="CV212" s="476"/>
      <c r="CW212" s="476"/>
      <c r="CX212" s="476"/>
      <c r="CY212" s="476"/>
      <c r="CZ212" s="476"/>
      <c r="DA212" s="476"/>
      <c r="DB212" s="476"/>
      <c r="DC212" s="476"/>
      <c r="DD212" s="476"/>
      <c r="DE212" s="476"/>
      <c r="DF212" s="476"/>
      <c r="DG212" s="476"/>
      <c r="DH212" s="476"/>
      <c r="DI212" s="476"/>
      <c r="DJ212" s="476"/>
      <c r="DK212" s="476"/>
      <c r="DL212" s="476"/>
      <c r="DM212" s="476"/>
      <c r="DN212" s="476"/>
      <c r="DO212" s="476"/>
      <c r="DP212" s="476"/>
      <c r="DQ212" s="476"/>
      <c r="DR212" s="476"/>
      <c r="DS212" s="476"/>
      <c r="DT212" s="476"/>
      <c r="DU212" s="476"/>
      <c r="DV212" s="476"/>
      <c r="DW212" s="476"/>
      <c r="DX212" s="476"/>
      <c r="DY212" s="476"/>
      <c r="DZ212" s="476"/>
      <c r="EA212" s="476"/>
      <c r="EB212" s="476"/>
      <c r="EC212" s="476"/>
      <c r="ED212" s="476"/>
      <c r="EE212" s="476"/>
      <c r="EF212" s="476"/>
      <c r="EG212" s="476"/>
      <c r="EH212" s="476"/>
      <c r="EI212" s="476"/>
      <c r="EJ212" s="476"/>
      <c r="EK212" s="476"/>
      <c r="EL212" s="476"/>
      <c r="EM212" s="476"/>
      <c r="EN212" s="476"/>
      <c r="EO212" s="476"/>
      <c r="EP212" s="476"/>
      <c r="EQ212" s="476"/>
      <c r="ER212" s="476"/>
      <c r="ES212" s="476"/>
      <c r="ET212" s="476"/>
      <c r="EU212" s="476"/>
      <c r="EV212" s="476"/>
      <c r="EW212" s="476"/>
      <c r="EX212" s="476"/>
      <c r="EY212" s="476"/>
      <c r="EZ212" s="476"/>
      <c r="FA212" s="476"/>
      <c r="FB212" s="476"/>
      <c r="FC212" s="476"/>
      <c r="FD212" s="476"/>
      <c r="FE212" s="476"/>
      <c r="FF212" s="476"/>
      <c r="FG212" s="476"/>
      <c r="FH212" s="476"/>
      <c r="FI212" s="476"/>
      <c r="FJ212" s="476"/>
      <c r="FK212" s="476"/>
      <c r="FL212" s="476"/>
      <c r="FM212" s="476"/>
      <c r="FN212" s="476"/>
      <c r="FO212" s="476"/>
      <c r="FP212" s="476"/>
      <c r="FQ212" s="476"/>
      <c r="FR212" s="476"/>
      <c r="FS212" s="476"/>
      <c r="FT212" s="476"/>
      <c r="FU212" s="476"/>
      <c r="FV212" s="476"/>
      <c r="FW212" s="476"/>
      <c r="FX212" s="476"/>
      <c r="FY212" s="476"/>
      <c r="FZ212" s="476"/>
      <c r="GA212" s="476"/>
      <c r="GB212" s="476"/>
      <c r="GC212" s="476"/>
      <c r="GD212" s="476"/>
      <c r="GE212" s="476"/>
      <c r="GF212" s="476"/>
      <c r="GG212" s="476"/>
      <c r="GH212" s="476"/>
      <c r="GI212" s="476"/>
      <c r="GJ212" s="476"/>
      <c r="GK212" s="476"/>
      <c r="GL212" s="476"/>
      <c r="GM212" s="476"/>
      <c r="GN212" s="476"/>
      <c r="GO212" s="476"/>
      <c r="GP212" s="476"/>
      <c r="GQ212" s="476"/>
      <c r="GR212" s="476"/>
      <c r="GS212" s="476"/>
      <c r="GT212" s="476"/>
      <c r="GU212" s="476"/>
      <c r="GV212" s="476"/>
      <c r="GW212" s="476"/>
      <c r="GX212" s="476"/>
      <c r="GY212" s="476"/>
      <c r="GZ212" s="476"/>
      <c r="HA212" s="476"/>
      <c r="HB212" s="476"/>
      <c r="HC212" s="476"/>
      <c r="HD212" s="476"/>
      <c r="HE212" s="476"/>
      <c r="HF212" s="476"/>
      <c r="HG212" s="476"/>
      <c r="HH212" s="476"/>
      <c r="HI212" s="476"/>
      <c r="HJ212" s="476"/>
      <c r="HK212" s="476"/>
      <c r="HL212" s="476"/>
      <c r="HM212" s="476"/>
      <c r="HN212" s="476"/>
      <c r="HO212" s="476"/>
      <c r="HP212" s="476"/>
      <c r="HQ212" s="476"/>
      <c r="HR212" s="476"/>
      <c r="HS212" s="476"/>
      <c r="HT212" s="476"/>
      <c r="HU212" s="476"/>
      <c r="HV212" s="476"/>
      <c r="HW212" s="476"/>
      <c r="HX212" s="476"/>
      <c r="HY212" s="476"/>
      <c r="HZ212" s="476"/>
      <c r="IA212" s="476"/>
      <c r="IB212" s="476"/>
      <c r="IC212" s="476"/>
      <c r="ID212" s="476"/>
      <c r="IE212" s="476"/>
      <c r="IF212" s="476"/>
      <c r="IG212" s="476"/>
      <c r="IH212" s="476"/>
      <c r="II212" s="476"/>
      <c r="IJ212" s="476"/>
      <c r="IK212" s="476"/>
      <c r="IL212" s="476"/>
      <c r="IM212" s="476"/>
      <c r="IN212" s="476"/>
      <c r="IO212" s="476"/>
      <c r="IP212" s="476"/>
      <c r="IQ212" s="476"/>
      <c r="IR212" s="476"/>
      <c r="IS212" s="476"/>
    </row>
    <row r="213" spans="1:12" ht="17.25">
      <c r="A213" s="606">
        <v>199</v>
      </c>
      <c r="B213" s="923"/>
      <c r="C213" s="913">
        <v>1</v>
      </c>
      <c r="D213" s="419" t="s">
        <v>128</v>
      </c>
      <c r="E213" s="420" t="s">
        <v>781</v>
      </c>
      <c r="F213" s="444">
        <f aca="true" t="shared" si="4" ref="F213:F303">SUM(G213:H213,J213)</f>
        <v>148</v>
      </c>
      <c r="G213" s="444"/>
      <c r="H213" s="447"/>
      <c r="I213" s="489"/>
      <c r="J213" s="444">
        <v>148</v>
      </c>
      <c r="K213" s="859">
        <v>148</v>
      </c>
      <c r="L213" s="407"/>
    </row>
    <row r="214" spans="1:12" ht="17.25">
      <c r="A214" s="606">
        <v>200</v>
      </c>
      <c r="B214" s="923"/>
      <c r="C214" s="913">
        <v>2</v>
      </c>
      <c r="D214" s="419" t="s">
        <v>1127</v>
      </c>
      <c r="E214" s="420" t="s">
        <v>781</v>
      </c>
      <c r="F214" s="444">
        <f t="shared" si="4"/>
        <v>29</v>
      </c>
      <c r="G214" s="444"/>
      <c r="H214" s="447"/>
      <c r="I214" s="489"/>
      <c r="J214" s="444">
        <v>29</v>
      </c>
      <c r="K214" s="859">
        <v>29</v>
      </c>
      <c r="L214" s="407"/>
    </row>
    <row r="215" spans="1:12" ht="17.25">
      <c r="A215" s="606">
        <v>201</v>
      </c>
      <c r="B215" s="923"/>
      <c r="C215" s="913">
        <v>3</v>
      </c>
      <c r="D215" s="419" t="s">
        <v>1126</v>
      </c>
      <c r="E215" s="420" t="s">
        <v>781</v>
      </c>
      <c r="F215" s="444">
        <f t="shared" si="4"/>
        <v>1499</v>
      </c>
      <c r="G215" s="444"/>
      <c r="H215" s="447"/>
      <c r="I215" s="489"/>
      <c r="J215" s="444">
        <v>1499</v>
      </c>
      <c r="K215" s="859">
        <v>1499</v>
      </c>
      <c r="L215" s="407"/>
    </row>
    <row r="216" spans="1:253" ht="17.25">
      <c r="A216" s="606">
        <v>202</v>
      </c>
      <c r="B216" s="923"/>
      <c r="C216" s="913"/>
      <c r="D216" s="442" t="s">
        <v>699</v>
      </c>
      <c r="E216" s="443"/>
      <c r="F216" s="444"/>
      <c r="G216" s="451"/>
      <c r="H216" s="452"/>
      <c r="I216" s="491"/>
      <c r="J216" s="444"/>
      <c r="K216" s="858"/>
      <c r="L216" s="407"/>
      <c r="M216" s="476"/>
      <c r="N216" s="476"/>
      <c r="O216" s="476"/>
      <c r="P216" s="476"/>
      <c r="Q216" s="476"/>
      <c r="R216" s="476"/>
      <c r="S216" s="476"/>
      <c r="T216" s="476"/>
      <c r="U216" s="476"/>
      <c r="V216" s="476"/>
      <c r="W216" s="476"/>
      <c r="X216" s="476"/>
      <c r="Y216" s="476"/>
      <c r="Z216" s="476"/>
      <c r="AA216" s="476"/>
      <c r="AB216" s="476"/>
      <c r="AC216" s="476"/>
      <c r="AD216" s="476"/>
      <c r="AE216" s="476"/>
      <c r="AF216" s="476"/>
      <c r="AG216" s="476"/>
      <c r="AH216" s="476"/>
      <c r="AI216" s="476"/>
      <c r="AJ216" s="476"/>
      <c r="AK216" s="476"/>
      <c r="AL216" s="476"/>
      <c r="AM216" s="476"/>
      <c r="AN216" s="476"/>
      <c r="AO216" s="476"/>
      <c r="AP216" s="476"/>
      <c r="AQ216" s="476"/>
      <c r="AR216" s="476"/>
      <c r="AS216" s="476"/>
      <c r="AT216" s="476"/>
      <c r="AU216" s="476"/>
      <c r="AV216" s="476"/>
      <c r="AW216" s="476"/>
      <c r="AX216" s="476"/>
      <c r="AY216" s="476"/>
      <c r="AZ216" s="476"/>
      <c r="BA216" s="476"/>
      <c r="BB216" s="476"/>
      <c r="BC216" s="476"/>
      <c r="BD216" s="476"/>
      <c r="BE216" s="476"/>
      <c r="BF216" s="476"/>
      <c r="BG216" s="476"/>
      <c r="BH216" s="476"/>
      <c r="BI216" s="476"/>
      <c r="BJ216" s="476"/>
      <c r="BK216" s="476"/>
      <c r="BL216" s="476"/>
      <c r="BM216" s="476"/>
      <c r="BN216" s="476"/>
      <c r="BO216" s="476"/>
      <c r="BP216" s="476"/>
      <c r="BQ216" s="476"/>
      <c r="BR216" s="476"/>
      <c r="BS216" s="476"/>
      <c r="BT216" s="476"/>
      <c r="BU216" s="476"/>
      <c r="BV216" s="476"/>
      <c r="BW216" s="476"/>
      <c r="BX216" s="476"/>
      <c r="BY216" s="476"/>
      <c r="BZ216" s="476"/>
      <c r="CA216" s="476"/>
      <c r="CB216" s="476"/>
      <c r="CC216" s="476"/>
      <c r="CD216" s="476"/>
      <c r="CE216" s="476"/>
      <c r="CF216" s="476"/>
      <c r="CG216" s="476"/>
      <c r="CH216" s="476"/>
      <c r="CI216" s="476"/>
      <c r="CJ216" s="476"/>
      <c r="CK216" s="476"/>
      <c r="CL216" s="476"/>
      <c r="CM216" s="476"/>
      <c r="CN216" s="476"/>
      <c r="CO216" s="476"/>
      <c r="CP216" s="476"/>
      <c r="CQ216" s="476"/>
      <c r="CR216" s="476"/>
      <c r="CS216" s="476"/>
      <c r="CT216" s="476"/>
      <c r="CU216" s="476"/>
      <c r="CV216" s="476"/>
      <c r="CW216" s="476"/>
      <c r="CX216" s="476"/>
      <c r="CY216" s="476"/>
      <c r="CZ216" s="476"/>
      <c r="DA216" s="476"/>
      <c r="DB216" s="476"/>
      <c r="DC216" s="476"/>
      <c r="DD216" s="476"/>
      <c r="DE216" s="476"/>
      <c r="DF216" s="476"/>
      <c r="DG216" s="476"/>
      <c r="DH216" s="476"/>
      <c r="DI216" s="476"/>
      <c r="DJ216" s="476"/>
      <c r="DK216" s="476"/>
      <c r="DL216" s="476"/>
      <c r="DM216" s="476"/>
      <c r="DN216" s="476"/>
      <c r="DO216" s="476"/>
      <c r="DP216" s="476"/>
      <c r="DQ216" s="476"/>
      <c r="DR216" s="476"/>
      <c r="DS216" s="476"/>
      <c r="DT216" s="476"/>
      <c r="DU216" s="476"/>
      <c r="DV216" s="476"/>
      <c r="DW216" s="476"/>
      <c r="DX216" s="476"/>
      <c r="DY216" s="476"/>
      <c r="DZ216" s="476"/>
      <c r="EA216" s="476"/>
      <c r="EB216" s="476"/>
      <c r="EC216" s="476"/>
      <c r="ED216" s="476"/>
      <c r="EE216" s="476"/>
      <c r="EF216" s="476"/>
      <c r="EG216" s="476"/>
      <c r="EH216" s="476"/>
      <c r="EI216" s="476"/>
      <c r="EJ216" s="476"/>
      <c r="EK216" s="476"/>
      <c r="EL216" s="476"/>
      <c r="EM216" s="476"/>
      <c r="EN216" s="476"/>
      <c r="EO216" s="476"/>
      <c r="EP216" s="476"/>
      <c r="EQ216" s="476"/>
      <c r="ER216" s="476"/>
      <c r="ES216" s="476"/>
      <c r="ET216" s="476"/>
      <c r="EU216" s="476"/>
      <c r="EV216" s="476"/>
      <c r="EW216" s="476"/>
      <c r="EX216" s="476"/>
      <c r="EY216" s="476"/>
      <c r="EZ216" s="476"/>
      <c r="FA216" s="476"/>
      <c r="FB216" s="476"/>
      <c r="FC216" s="476"/>
      <c r="FD216" s="476"/>
      <c r="FE216" s="476"/>
      <c r="FF216" s="476"/>
      <c r="FG216" s="476"/>
      <c r="FH216" s="476"/>
      <c r="FI216" s="476"/>
      <c r="FJ216" s="476"/>
      <c r="FK216" s="476"/>
      <c r="FL216" s="476"/>
      <c r="FM216" s="476"/>
      <c r="FN216" s="476"/>
      <c r="FO216" s="476"/>
      <c r="FP216" s="476"/>
      <c r="FQ216" s="476"/>
      <c r="FR216" s="476"/>
      <c r="FS216" s="476"/>
      <c r="FT216" s="476"/>
      <c r="FU216" s="476"/>
      <c r="FV216" s="476"/>
      <c r="FW216" s="476"/>
      <c r="FX216" s="476"/>
      <c r="FY216" s="476"/>
      <c r="FZ216" s="476"/>
      <c r="GA216" s="476"/>
      <c r="GB216" s="476"/>
      <c r="GC216" s="476"/>
      <c r="GD216" s="476"/>
      <c r="GE216" s="476"/>
      <c r="GF216" s="476"/>
      <c r="GG216" s="476"/>
      <c r="GH216" s="476"/>
      <c r="GI216" s="476"/>
      <c r="GJ216" s="476"/>
      <c r="GK216" s="476"/>
      <c r="GL216" s="476"/>
      <c r="GM216" s="476"/>
      <c r="GN216" s="476"/>
      <c r="GO216" s="476"/>
      <c r="GP216" s="476"/>
      <c r="GQ216" s="476"/>
      <c r="GR216" s="476"/>
      <c r="GS216" s="476"/>
      <c r="GT216" s="476"/>
      <c r="GU216" s="476"/>
      <c r="GV216" s="476"/>
      <c r="GW216" s="476"/>
      <c r="GX216" s="476"/>
      <c r="GY216" s="476"/>
      <c r="GZ216" s="476"/>
      <c r="HA216" s="476"/>
      <c r="HB216" s="476"/>
      <c r="HC216" s="476"/>
      <c r="HD216" s="476"/>
      <c r="HE216" s="476"/>
      <c r="HF216" s="476"/>
      <c r="HG216" s="476"/>
      <c r="HH216" s="476"/>
      <c r="HI216" s="476"/>
      <c r="HJ216" s="476"/>
      <c r="HK216" s="476"/>
      <c r="HL216" s="476"/>
      <c r="HM216" s="476"/>
      <c r="HN216" s="476"/>
      <c r="HO216" s="476"/>
      <c r="HP216" s="476"/>
      <c r="HQ216" s="476"/>
      <c r="HR216" s="476"/>
      <c r="HS216" s="476"/>
      <c r="HT216" s="476"/>
      <c r="HU216" s="476"/>
      <c r="HV216" s="476"/>
      <c r="HW216" s="476"/>
      <c r="HX216" s="476"/>
      <c r="HY216" s="476"/>
      <c r="HZ216" s="476"/>
      <c r="IA216" s="476"/>
      <c r="IB216" s="476"/>
      <c r="IC216" s="476"/>
      <c r="ID216" s="476"/>
      <c r="IE216" s="476"/>
      <c r="IF216" s="476"/>
      <c r="IG216" s="476"/>
      <c r="IH216" s="476"/>
      <c r="II216" s="476"/>
      <c r="IJ216" s="476"/>
      <c r="IK216" s="476"/>
      <c r="IL216" s="476"/>
      <c r="IM216" s="476"/>
      <c r="IN216" s="476"/>
      <c r="IO216" s="476"/>
      <c r="IP216" s="476"/>
      <c r="IQ216" s="476"/>
      <c r="IR216" s="476"/>
      <c r="IS216" s="476"/>
    </row>
    <row r="217" spans="1:12" ht="17.25">
      <c r="A217" s="606">
        <v>203</v>
      </c>
      <c r="B217" s="923"/>
      <c r="C217" s="913">
        <v>1</v>
      </c>
      <c r="D217" s="419" t="s">
        <v>128</v>
      </c>
      <c r="E217" s="420" t="s">
        <v>781</v>
      </c>
      <c r="F217" s="444">
        <f t="shared" si="4"/>
        <v>148</v>
      </c>
      <c r="G217" s="444"/>
      <c r="H217" s="447"/>
      <c r="I217" s="489"/>
      <c r="J217" s="444">
        <v>148</v>
      </c>
      <c r="K217" s="859">
        <v>148</v>
      </c>
      <c r="L217" s="407"/>
    </row>
    <row r="218" spans="1:12" ht="17.25">
      <c r="A218" s="606">
        <v>204</v>
      </c>
      <c r="B218" s="923"/>
      <c r="C218" s="913">
        <v>2</v>
      </c>
      <c r="D218" s="419" t="s">
        <v>1127</v>
      </c>
      <c r="E218" s="420" t="s">
        <v>781</v>
      </c>
      <c r="F218" s="444">
        <f t="shared" si="4"/>
        <v>71</v>
      </c>
      <c r="G218" s="444"/>
      <c r="H218" s="447"/>
      <c r="I218" s="489"/>
      <c r="J218" s="444">
        <v>71</v>
      </c>
      <c r="K218" s="859">
        <v>71</v>
      </c>
      <c r="L218" s="407"/>
    </row>
    <row r="219" spans="1:12" ht="17.25">
      <c r="A219" s="606">
        <v>205</v>
      </c>
      <c r="B219" s="923"/>
      <c r="C219" s="913">
        <v>3</v>
      </c>
      <c r="D219" s="419" t="s">
        <v>1126</v>
      </c>
      <c r="E219" s="420" t="s">
        <v>781</v>
      </c>
      <c r="F219" s="444">
        <f t="shared" si="4"/>
        <v>1499</v>
      </c>
      <c r="G219" s="444"/>
      <c r="H219" s="447"/>
      <c r="I219" s="489"/>
      <c r="J219" s="444">
        <v>1499</v>
      </c>
      <c r="K219" s="859">
        <v>1499</v>
      </c>
      <c r="L219" s="407"/>
    </row>
    <row r="220" spans="1:253" ht="17.25">
      <c r="A220" s="606">
        <v>206</v>
      </c>
      <c r="B220" s="923">
        <v>9</v>
      </c>
      <c r="C220" s="913"/>
      <c r="D220" s="442" t="s">
        <v>132</v>
      </c>
      <c r="E220" s="443"/>
      <c r="F220" s="444"/>
      <c r="G220" s="445"/>
      <c r="H220" s="446"/>
      <c r="I220" s="488"/>
      <c r="J220" s="444"/>
      <c r="K220" s="858"/>
      <c r="L220" s="407"/>
      <c r="M220" s="476"/>
      <c r="N220" s="476"/>
      <c r="O220" s="476"/>
      <c r="P220" s="476"/>
      <c r="Q220" s="476"/>
      <c r="R220" s="476"/>
      <c r="S220" s="476"/>
      <c r="T220" s="476"/>
      <c r="U220" s="476"/>
      <c r="V220" s="476"/>
      <c r="W220" s="476"/>
      <c r="X220" s="476"/>
      <c r="Y220" s="476"/>
      <c r="Z220" s="476"/>
      <c r="AA220" s="476"/>
      <c r="AB220" s="476"/>
      <c r="AC220" s="476"/>
      <c r="AD220" s="476"/>
      <c r="AE220" s="476"/>
      <c r="AF220" s="476"/>
      <c r="AG220" s="476"/>
      <c r="AH220" s="476"/>
      <c r="AI220" s="476"/>
      <c r="AJ220" s="476"/>
      <c r="AK220" s="476"/>
      <c r="AL220" s="476"/>
      <c r="AM220" s="476"/>
      <c r="AN220" s="476"/>
      <c r="AO220" s="476"/>
      <c r="AP220" s="476"/>
      <c r="AQ220" s="476"/>
      <c r="AR220" s="476"/>
      <c r="AS220" s="476"/>
      <c r="AT220" s="476"/>
      <c r="AU220" s="476"/>
      <c r="AV220" s="476"/>
      <c r="AW220" s="476"/>
      <c r="AX220" s="476"/>
      <c r="AY220" s="476"/>
      <c r="AZ220" s="476"/>
      <c r="BA220" s="476"/>
      <c r="BB220" s="476"/>
      <c r="BC220" s="476"/>
      <c r="BD220" s="476"/>
      <c r="BE220" s="476"/>
      <c r="BF220" s="476"/>
      <c r="BG220" s="476"/>
      <c r="BH220" s="476"/>
      <c r="BI220" s="476"/>
      <c r="BJ220" s="476"/>
      <c r="BK220" s="476"/>
      <c r="BL220" s="476"/>
      <c r="BM220" s="476"/>
      <c r="BN220" s="476"/>
      <c r="BO220" s="476"/>
      <c r="BP220" s="476"/>
      <c r="BQ220" s="476"/>
      <c r="BR220" s="476"/>
      <c r="BS220" s="476"/>
      <c r="BT220" s="476"/>
      <c r="BU220" s="476"/>
      <c r="BV220" s="476"/>
      <c r="BW220" s="476"/>
      <c r="BX220" s="476"/>
      <c r="BY220" s="476"/>
      <c r="BZ220" s="476"/>
      <c r="CA220" s="476"/>
      <c r="CB220" s="476"/>
      <c r="CC220" s="476"/>
      <c r="CD220" s="476"/>
      <c r="CE220" s="476"/>
      <c r="CF220" s="476"/>
      <c r="CG220" s="476"/>
      <c r="CH220" s="476"/>
      <c r="CI220" s="476"/>
      <c r="CJ220" s="476"/>
      <c r="CK220" s="476"/>
      <c r="CL220" s="476"/>
      <c r="CM220" s="476"/>
      <c r="CN220" s="476"/>
      <c r="CO220" s="476"/>
      <c r="CP220" s="476"/>
      <c r="CQ220" s="476"/>
      <c r="CR220" s="476"/>
      <c r="CS220" s="476"/>
      <c r="CT220" s="476"/>
      <c r="CU220" s="476"/>
      <c r="CV220" s="476"/>
      <c r="CW220" s="476"/>
      <c r="CX220" s="476"/>
      <c r="CY220" s="476"/>
      <c r="CZ220" s="476"/>
      <c r="DA220" s="476"/>
      <c r="DB220" s="476"/>
      <c r="DC220" s="476"/>
      <c r="DD220" s="476"/>
      <c r="DE220" s="476"/>
      <c r="DF220" s="476"/>
      <c r="DG220" s="476"/>
      <c r="DH220" s="476"/>
      <c r="DI220" s="476"/>
      <c r="DJ220" s="476"/>
      <c r="DK220" s="476"/>
      <c r="DL220" s="476"/>
      <c r="DM220" s="476"/>
      <c r="DN220" s="476"/>
      <c r="DO220" s="476"/>
      <c r="DP220" s="476"/>
      <c r="DQ220" s="476"/>
      <c r="DR220" s="476"/>
      <c r="DS220" s="476"/>
      <c r="DT220" s="476"/>
      <c r="DU220" s="476"/>
      <c r="DV220" s="476"/>
      <c r="DW220" s="476"/>
      <c r="DX220" s="476"/>
      <c r="DY220" s="476"/>
      <c r="DZ220" s="476"/>
      <c r="EA220" s="476"/>
      <c r="EB220" s="476"/>
      <c r="EC220" s="476"/>
      <c r="ED220" s="476"/>
      <c r="EE220" s="476"/>
      <c r="EF220" s="476"/>
      <c r="EG220" s="476"/>
      <c r="EH220" s="476"/>
      <c r="EI220" s="476"/>
      <c r="EJ220" s="476"/>
      <c r="EK220" s="476"/>
      <c r="EL220" s="476"/>
      <c r="EM220" s="476"/>
      <c r="EN220" s="476"/>
      <c r="EO220" s="476"/>
      <c r="EP220" s="476"/>
      <c r="EQ220" s="476"/>
      <c r="ER220" s="476"/>
      <c r="ES220" s="476"/>
      <c r="ET220" s="476"/>
      <c r="EU220" s="476"/>
      <c r="EV220" s="476"/>
      <c r="EW220" s="476"/>
      <c r="EX220" s="476"/>
      <c r="EY220" s="476"/>
      <c r="EZ220" s="476"/>
      <c r="FA220" s="476"/>
      <c r="FB220" s="476"/>
      <c r="FC220" s="476"/>
      <c r="FD220" s="476"/>
      <c r="FE220" s="476"/>
      <c r="FF220" s="476"/>
      <c r="FG220" s="476"/>
      <c r="FH220" s="476"/>
      <c r="FI220" s="476"/>
      <c r="FJ220" s="476"/>
      <c r="FK220" s="476"/>
      <c r="FL220" s="476"/>
      <c r="FM220" s="476"/>
      <c r="FN220" s="476"/>
      <c r="FO220" s="476"/>
      <c r="FP220" s="476"/>
      <c r="FQ220" s="476"/>
      <c r="FR220" s="476"/>
      <c r="FS220" s="476"/>
      <c r="FT220" s="476"/>
      <c r="FU220" s="476"/>
      <c r="FV220" s="476"/>
      <c r="FW220" s="476"/>
      <c r="FX220" s="476"/>
      <c r="FY220" s="476"/>
      <c r="FZ220" s="476"/>
      <c r="GA220" s="476"/>
      <c r="GB220" s="476"/>
      <c r="GC220" s="476"/>
      <c r="GD220" s="476"/>
      <c r="GE220" s="476"/>
      <c r="GF220" s="476"/>
      <c r="GG220" s="476"/>
      <c r="GH220" s="476"/>
      <c r="GI220" s="476"/>
      <c r="GJ220" s="476"/>
      <c r="GK220" s="476"/>
      <c r="GL220" s="476"/>
      <c r="GM220" s="476"/>
      <c r="GN220" s="476"/>
      <c r="GO220" s="476"/>
      <c r="GP220" s="476"/>
      <c r="GQ220" s="476"/>
      <c r="GR220" s="476"/>
      <c r="GS220" s="476"/>
      <c r="GT220" s="476"/>
      <c r="GU220" s="476"/>
      <c r="GV220" s="476"/>
      <c r="GW220" s="476"/>
      <c r="GX220" s="476"/>
      <c r="GY220" s="476"/>
      <c r="GZ220" s="476"/>
      <c r="HA220" s="476"/>
      <c r="HB220" s="476"/>
      <c r="HC220" s="476"/>
      <c r="HD220" s="476"/>
      <c r="HE220" s="476"/>
      <c r="HF220" s="476"/>
      <c r="HG220" s="476"/>
      <c r="HH220" s="476"/>
      <c r="HI220" s="476"/>
      <c r="HJ220" s="476"/>
      <c r="HK220" s="476"/>
      <c r="HL220" s="476"/>
      <c r="HM220" s="476"/>
      <c r="HN220" s="476"/>
      <c r="HO220" s="476"/>
      <c r="HP220" s="476"/>
      <c r="HQ220" s="476"/>
      <c r="HR220" s="476"/>
      <c r="HS220" s="476"/>
      <c r="HT220" s="476"/>
      <c r="HU220" s="476"/>
      <c r="HV220" s="476"/>
      <c r="HW220" s="476"/>
      <c r="HX220" s="476"/>
      <c r="HY220" s="476"/>
      <c r="HZ220" s="476"/>
      <c r="IA220" s="476"/>
      <c r="IB220" s="476"/>
      <c r="IC220" s="476"/>
      <c r="ID220" s="476"/>
      <c r="IE220" s="476"/>
      <c r="IF220" s="476"/>
      <c r="IG220" s="476"/>
      <c r="IH220" s="476"/>
      <c r="II220" s="476"/>
      <c r="IJ220" s="476"/>
      <c r="IK220" s="476"/>
      <c r="IL220" s="476"/>
      <c r="IM220" s="476"/>
      <c r="IN220" s="476"/>
      <c r="IO220" s="476"/>
      <c r="IP220" s="476"/>
      <c r="IQ220" s="476"/>
      <c r="IR220" s="476"/>
      <c r="IS220" s="476"/>
    </row>
    <row r="221" spans="1:12" ht="60" customHeight="1">
      <c r="A221" s="606">
        <v>207</v>
      </c>
      <c r="B221" s="923"/>
      <c r="C221" s="913">
        <v>1</v>
      </c>
      <c r="D221" s="419" t="s">
        <v>1354</v>
      </c>
      <c r="E221" s="420" t="s">
        <v>781</v>
      </c>
      <c r="F221" s="444">
        <f t="shared" si="4"/>
        <v>1315</v>
      </c>
      <c r="G221" s="444"/>
      <c r="H221" s="447"/>
      <c r="I221" s="489">
        <v>215</v>
      </c>
      <c r="J221" s="444">
        <v>1315</v>
      </c>
      <c r="K221" s="859">
        <v>970</v>
      </c>
      <c r="L221" s="407"/>
    </row>
    <row r="222" spans="1:12" ht="17.25">
      <c r="A222" s="606">
        <v>208</v>
      </c>
      <c r="B222" s="923"/>
      <c r="C222" s="913">
        <v>2</v>
      </c>
      <c r="D222" s="419" t="s">
        <v>133</v>
      </c>
      <c r="E222" s="420" t="s">
        <v>781</v>
      </c>
      <c r="F222" s="444">
        <f t="shared" si="4"/>
        <v>8330</v>
      </c>
      <c r="G222" s="444"/>
      <c r="H222" s="447"/>
      <c r="I222" s="489"/>
      <c r="J222" s="444">
        <v>8330</v>
      </c>
      <c r="K222" s="859">
        <v>8327</v>
      </c>
      <c r="L222" s="407"/>
    </row>
    <row r="223" spans="1:253" ht="17.25">
      <c r="A223" s="606">
        <v>209</v>
      </c>
      <c r="B223" s="923">
        <v>10</v>
      </c>
      <c r="C223" s="913"/>
      <c r="D223" s="442" t="s">
        <v>726</v>
      </c>
      <c r="E223" s="443"/>
      <c r="F223" s="444"/>
      <c r="G223" s="445"/>
      <c r="H223" s="446"/>
      <c r="I223" s="488"/>
      <c r="J223" s="444"/>
      <c r="K223" s="858"/>
      <c r="L223" s="407"/>
      <c r="M223" s="476"/>
      <c r="N223" s="476"/>
      <c r="O223" s="476"/>
      <c r="P223" s="476"/>
      <c r="Q223" s="476"/>
      <c r="R223" s="476"/>
      <c r="S223" s="476"/>
      <c r="T223" s="476"/>
      <c r="U223" s="476"/>
      <c r="V223" s="476"/>
      <c r="W223" s="476"/>
      <c r="X223" s="476"/>
      <c r="Y223" s="476"/>
      <c r="Z223" s="476"/>
      <c r="AA223" s="476"/>
      <c r="AB223" s="476"/>
      <c r="AC223" s="476"/>
      <c r="AD223" s="476"/>
      <c r="AE223" s="476"/>
      <c r="AF223" s="476"/>
      <c r="AG223" s="476"/>
      <c r="AH223" s="476"/>
      <c r="AI223" s="476"/>
      <c r="AJ223" s="476"/>
      <c r="AK223" s="476"/>
      <c r="AL223" s="476"/>
      <c r="AM223" s="476"/>
      <c r="AN223" s="476"/>
      <c r="AO223" s="476"/>
      <c r="AP223" s="476"/>
      <c r="AQ223" s="476"/>
      <c r="AR223" s="476"/>
      <c r="AS223" s="476"/>
      <c r="AT223" s="476"/>
      <c r="AU223" s="476"/>
      <c r="AV223" s="476"/>
      <c r="AW223" s="476"/>
      <c r="AX223" s="476"/>
      <c r="AY223" s="476"/>
      <c r="AZ223" s="476"/>
      <c r="BA223" s="476"/>
      <c r="BB223" s="476"/>
      <c r="BC223" s="476"/>
      <c r="BD223" s="476"/>
      <c r="BE223" s="476"/>
      <c r="BF223" s="476"/>
      <c r="BG223" s="476"/>
      <c r="BH223" s="476"/>
      <c r="BI223" s="476"/>
      <c r="BJ223" s="476"/>
      <c r="BK223" s="476"/>
      <c r="BL223" s="476"/>
      <c r="BM223" s="476"/>
      <c r="BN223" s="476"/>
      <c r="BO223" s="476"/>
      <c r="BP223" s="476"/>
      <c r="BQ223" s="476"/>
      <c r="BR223" s="476"/>
      <c r="BS223" s="476"/>
      <c r="BT223" s="476"/>
      <c r="BU223" s="476"/>
      <c r="BV223" s="476"/>
      <c r="BW223" s="476"/>
      <c r="BX223" s="476"/>
      <c r="BY223" s="476"/>
      <c r="BZ223" s="476"/>
      <c r="CA223" s="476"/>
      <c r="CB223" s="476"/>
      <c r="CC223" s="476"/>
      <c r="CD223" s="476"/>
      <c r="CE223" s="476"/>
      <c r="CF223" s="476"/>
      <c r="CG223" s="476"/>
      <c r="CH223" s="476"/>
      <c r="CI223" s="476"/>
      <c r="CJ223" s="476"/>
      <c r="CK223" s="476"/>
      <c r="CL223" s="476"/>
      <c r="CM223" s="476"/>
      <c r="CN223" s="476"/>
      <c r="CO223" s="476"/>
      <c r="CP223" s="476"/>
      <c r="CQ223" s="476"/>
      <c r="CR223" s="476"/>
      <c r="CS223" s="476"/>
      <c r="CT223" s="476"/>
      <c r="CU223" s="476"/>
      <c r="CV223" s="476"/>
      <c r="CW223" s="476"/>
      <c r="CX223" s="476"/>
      <c r="CY223" s="476"/>
      <c r="CZ223" s="476"/>
      <c r="DA223" s="476"/>
      <c r="DB223" s="476"/>
      <c r="DC223" s="476"/>
      <c r="DD223" s="476"/>
      <c r="DE223" s="476"/>
      <c r="DF223" s="476"/>
      <c r="DG223" s="476"/>
      <c r="DH223" s="476"/>
      <c r="DI223" s="476"/>
      <c r="DJ223" s="476"/>
      <c r="DK223" s="476"/>
      <c r="DL223" s="476"/>
      <c r="DM223" s="476"/>
      <c r="DN223" s="476"/>
      <c r="DO223" s="476"/>
      <c r="DP223" s="476"/>
      <c r="DQ223" s="476"/>
      <c r="DR223" s="476"/>
      <c r="DS223" s="476"/>
      <c r="DT223" s="476"/>
      <c r="DU223" s="476"/>
      <c r="DV223" s="476"/>
      <c r="DW223" s="476"/>
      <c r="DX223" s="476"/>
      <c r="DY223" s="476"/>
      <c r="DZ223" s="476"/>
      <c r="EA223" s="476"/>
      <c r="EB223" s="476"/>
      <c r="EC223" s="476"/>
      <c r="ED223" s="476"/>
      <c r="EE223" s="476"/>
      <c r="EF223" s="476"/>
      <c r="EG223" s="476"/>
      <c r="EH223" s="476"/>
      <c r="EI223" s="476"/>
      <c r="EJ223" s="476"/>
      <c r="EK223" s="476"/>
      <c r="EL223" s="476"/>
      <c r="EM223" s="476"/>
      <c r="EN223" s="476"/>
      <c r="EO223" s="476"/>
      <c r="EP223" s="476"/>
      <c r="EQ223" s="476"/>
      <c r="ER223" s="476"/>
      <c r="ES223" s="476"/>
      <c r="ET223" s="476"/>
      <c r="EU223" s="476"/>
      <c r="EV223" s="476"/>
      <c r="EW223" s="476"/>
      <c r="EX223" s="476"/>
      <c r="EY223" s="476"/>
      <c r="EZ223" s="476"/>
      <c r="FA223" s="476"/>
      <c r="FB223" s="476"/>
      <c r="FC223" s="476"/>
      <c r="FD223" s="476"/>
      <c r="FE223" s="476"/>
      <c r="FF223" s="476"/>
      <c r="FG223" s="476"/>
      <c r="FH223" s="476"/>
      <c r="FI223" s="476"/>
      <c r="FJ223" s="476"/>
      <c r="FK223" s="476"/>
      <c r="FL223" s="476"/>
      <c r="FM223" s="476"/>
      <c r="FN223" s="476"/>
      <c r="FO223" s="476"/>
      <c r="FP223" s="476"/>
      <c r="FQ223" s="476"/>
      <c r="FR223" s="476"/>
      <c r="FS223" s="476"/>
      <c r="FT223" s="476"/>
      <c r="FU223" s="476"/>
      <c r="FV223" s="476"/>
      <c r="FW223" s="476"/>
      <c r="FX223" s="476"/>
      <c r="FY223" s="476"/>
      <c r="FZ223" s="476"/>
      <c r="GA223" s="476"/>
      <c r="GB223" s="476"/>
      <c r="GC223" s="476"/>
      <c r="GD223" s="476"/>
      <c r="GE223" s="476"/>
      <c r="GF223" s="476"/>
      <c r="GG223" s="476"/>
      <c r="GH223" s="476"/>
      <c r="GI223" s="476"/>
      <c r="GJ223" s="476"/>
      <c r="GK223" s="476"/>
      <c r="GL223" s="476"/>
      <c r="GM223" s="476"/>
      <c r="GN223" s="476"/>
      <c r="GO223" s="476"/>
      <c r="GP223" s="476"/>
      <c r="GQ223" s="476"/>
      <c r="GR223" s="476"/>
      <c r="GS223" s="476"/>
      <c r="GT223" s="476"/>
      <c r="GU223" s="476"/>
      <c r="GV223" s="476"/>
      <c r="GW223" s="476"/>
      <c r="GX223" s="476"/>
      <c r="GY223" s="476"/>
      <c r="GZ223" s="476"/>
      <c r="HA223" s="476"/>
      <c r="HB223" s="476"/>
      <c r="HC223" s="476"/>
      <c r="HD223" s="476"/>
      <c r="HE223" s="476"/>
      <c r="HF223" s="476"/>
      <c r="HG223" s="476"/>
      <c r="HH223" s="476"/>
      <c r="HI223" s="476"/>
      <c r="HJ223" s="476"/>
      <c r="HK223" s="476"/>
      <c r="HL223" s="476"/>
      <c r="HM223" s="476"/>
      <c r="HN223" s="476"/>
      <c r="HO223" s="476"/>
      <c r="HP223" s="476"/>
      <c r="HQ223" s="476"/>
      <c r="HR223" s="476"/>
      <c r="HS223" s="476"/>
      <c r="HT223" s="476"/>
      <c r="HU223" s="476"/>
      <c r="HV223" s="476"/>
      <c r="HW223" s="476"/>
      <c r="HX223" s="476"/>
      <c r="HY223" s="476"/>
      <c r="HZ223" s="476"/>
      <c r="IA223" s="476"/>
      <c r="IB223" s="476"/>
      <c r="IC223" s="476"/>
      <c r="ID223" s="476"/>
      <c r="IE223" s="476"/>
      <c r="IF223" s="476"/>
      <c r="IG223" s="476"/>
      <c r="IH223" s="476"/>
      <c r="II223" s="476"/>
      <c r="IJ223" s="476"/>
      <c r="IK223" s="476"/>
      <c r="IL223" s="476"/>
      <c r="IM223" s="476"/>
      <c r="IN223" s="476"/>
      <c r="IO223" s="476"/>
      <c r="IP223" s="476"/>
      <c r="IQ223" s="476"/>
      <c r="IR223" s="476"/>
      <c r="IS223" s="476"/>
    </row>
    <row r="224" spans="1:12" ht="85.5" customHeight="1">
      <c r="A224" s="606">
        <v>210</v>
      </c>
      <c r="B224" s="923"/>
      <c r="C224" s="913">
        <v>1</v>
      </c>
      <c r="D224" s="450" t="s">
        <v>1355</v>
      </c>
      <c r="E224" s="420" t="s">
        <v>781</v>
      </c>
      <c r="F224" s="444">
        <f t="shared" si="4"/>
        <v>21118</v>
      </c>
      <c r="G224" s="444"/>
      <c r="H224" s="447"/>
      <c r="I224" s="489">
        <v>17741</v>
      </c>
      <c r="J224" s="444">
        <v>21118</v>
      </c>
      <c r="K224" s="859">
        <v>21012</v>
      </c>
      <c r="L224" s="407"/>
    </row>
    <row r="225" spans="1:12" ht="17.25">
      <c r="A225" s="606">
        <v>211</v>
      </c>
      <c r="B225" s="923"/>
      <c r="C225" s="913">
        <v>2</v>
      </c>
      <c r="D225" s="450" t="s">
        <v>134</v>
      </c>
      <c r="E225" s="420" t="s">
        <v>781</v>
      </c>
      <c r="F225" s="444">
        <f t="shared" si="4"/>
        <v>0</v>
      </c>
      <c r="G225" s="444"/>
      <c r="H225" s="447"/>
      <c r="I225" s="489"/>
      <c r="J225" s="444">
        <v>0</v>
      </c>
      <c r="K225" s="859"/>
      <c r="L225" s="407"/>
    </row>
    <row r="226" spans="1:12" ht="17.25">
      <c r="A226" s="606">
        <v>212</v>
      </c>
      <c r="B226" s="923"/>
      <c r="C226" s="913">
        <v>3</v>
      </c>
      <c r="D226" s="450" t="s">
        <v>1356</v>
      </c>
      <c r="E226" s="420" t="s">
        <v>781</v>
      </c>
      <c r="F226" s="444">
        <f t="shared" si="4"/>
        <v>623</v>
      </c>
      <c r="G226" s="444"/>
      <c r="H226" s="447"/>
      <c r="I226" s="489"/>
      <c r="J226" s="444">
        <v>623</v>
      </c>
      <c r="K226" s="859">
        <v>623</v>
      </c>
      <c r="L226" s="407"/>
    </row>
    <row r="227" spans="1:12" ht="17.25">
      <c r="A227" s="606">
        <v>213</v>
      </c>
      <c r="B227" s="923">
        <v>11</v>
      </c>
      <c r="C227" s="913"/>
      <c r="D227" s="442" t="s">
        <v>541</v>
      </c>
      <c r="E227" s="420"/>
      <c r="F227" s="444"/>
      <c r="G227" s="444"/>
      <c r="H227" s="447"/>
      <c r="I227" s="489"/>
      <c r="J227" s="444"/>
      <c r="K227" s="859"/>
      <c r="L227" s="407"/>
    </row>
    <row r="228" spans="1:12" ht="49.5">
      <c r="A228" s="606">
        <v>214</v>
      </c>
      <c r="B228" s="923"/>
      <c r="C228" s="913">
        <v>1</v>
      </c>
      <c r="D228" s="419" t="s">
        <v>1357</v>
      </c>
      <c r="E228" s="420" t="s">
        <v>781</v>
      </c>
      <c r="F228" s="444">
        <f t="shared" si="4"/>
        <v>949</v>
      </c>
      <c r="G228" s="444"/>
      <c r="H228" s="447"/>
      <c r="I228" s="489"/>
      <c r="J228" s="444">
        <v>949</v>
      </c>
      <c r="K228" s="859">
        <v>869</v>
      </c>
      <c r="L228" s="407"/>
    </row>
    <row r="229" spans="1:12" ht="33">
      <c r="A229" s="606">
        <v>215</v>
      </c>
      <c r="B229" s="923"/>
      <c r="C229" s="913">
        <v>2</v>
      </c>
      <c r="D229" s="419" t="s">
        <v>1358</v>
      </c>
      <c r="E229" s="420" t="s">
        <v>781</v>
      </c>
      <c r="F229" s="444">
        <f t="shared" si="4"/>
        <v>739</v>
      </c>
      <c r="G229" s="444"/>
      <c r="H229" s="447"/>
      <c r="I229" s="489"/>
      <c r="J229" s="444">
        <v>739</v>
      </c>
      <c r="K229" s="859">
        <v>588</v>
      </c>
      <c r="L229" s="407"/>
    </row>
    <row r="230" spans="1:12" ht="17.25">
      <c r="A230" s="606">
        <v>216</v>
      </c>
      <c r="B230" s="923"/>
      <c r="C230" s="913">
        <v>3</v>
      </c>
      <c r="D230" s="419" t="s">
        <v>135</v>
      </c>
      <c r="E230" s="420" t="s">
        <v>781</v>
      </c>
      <c r="F230" s="444">
        <f t="shared" si="4"/>
        <v>1500</v>
      </c>
      <c r="G230" s="444"/>
      <c r="H230" s="447"/>
      <c r="I230" s="489"/>
      <c r="J230" s="444">
        <v>1500</v>
      </c>
      <c r="K230" s="859">
        <v>1500</v>
      </c>
      <c r="L230" s="407"/>
    </row>
    <row r="231" spans="1:12" ht="17.25">
      <c r="A231" s="606">
        <v>217</v>
      </c>
      <c r="B231" s="923"/>
      <c r="C231" s="913">
        <v>4</v>
      </c>
      <c r="D231" s="419" t="s">
        <v>136</v>
      </c>
      <c r="E231" s="420" t="s">
        <v>781</v>
      </c>
      <c r="F231" s="444">
        <f t="shared" si="4"/>
        <v>20</v>
      </c>
      <c r="G231" s="444"/>
      <c r="H231" s="447"/>
      <c r="I231" s="489"/>
      <c r="J231" s="444">
        <v>20</v>
      </c>
      <c r="K231" s="859">
        <v>20</v>
      </c>
      <c r="L231" s="407"/>
    </row>
    <row r="232" spans="1:12" ht="33">
      <c r="A232" s="606">
        <v>218</v>
      </c>
      <c r="B232" s="923"/>
      <c r="C232" s="913">
        <v>5</v>
      </c>
      <c r="D232" s="419" t="s">
        <v>1359</v>
      </c>
      <c r="E232" s="420" t="s">
        <v>781</v>
      </c>
      <c r="F232" s="444">
        <f t="shared" si="4"/>
        <v>602</v>
      </c>
      <c r="G232" s="444"/>
      <c r="H232" s="447"/>
      <c r="I232" s="489"/>
      <c r="J232" s="444">
        <v>602</v>
      </c>
      <c r="K232" s="859">
        <v>602</v>
      </c>
      <c r="L232" s="407"/>
    </row>
    <row r="233" spans="1:12" ht="17.25">
      <c r="A233" s="606">
        <v>219</v>
      </c>
      <c r="B233" s="923"/>
      <c r="C233" s="913">
        <v>6</v>
      </c>
      <c r="D233" s="419" t="s">
        <v>1128</v>
      </c>
      <c r="E233" s="420" t="s">
        <v>781</v>
      </c>
      <c r="F233" s="444">
        <f t="shared" si="4"/>
        <v>2550</v>
      </c>
      <c r="G233" s="444"/>
      <c r="H233" s="447"/>
      <c r="I233" s="489"/>
      <c r="J233" s="444">
        <v>2550</v>
      </c>
      <c r="K233" s="859"/>
      <c r="L233" s="407"/>
    </row>
    <row r="234" spans="1:12" ht="17.25">
      <c r="A234" s="606">
        <v>220</v>
      </c>
      <c r="B234" s="923"/>
      <c r="C234" s="913">
        <v>7</v>
      </c>
      <c r="D234" s="419" t="s">
        <v>1129</v>
      </c>
      <c r="E234" s="420" t="s">
        <v>781</v>
      </c>
      <c r="F234" s="444">
        <f t="shared" si="4"/>
        <v>2500</v>
      </c>
      <c r="G234" s="444"/>
      <c r="H234" s="447"/>
      <c r="I234" s="489"/>
      <c r="J234" s="444">
        <v>2500</v>
      </c>
      <c r="K234" s="859"/>
      <c r="L234" s="407"/>
    </row>
    <row r="235" spans="1:12" ht="17.25">
      <c r="A235" s="606">
        <v>221</v>
      </c>
      <c r="B235" s="923"/>
      <c r="C235" s="913">
        <v>8</v>
      </c>
      <c r="D235" s="419" t="s">
        <v>1130</v>
      </c>
      <c r="E235" s="420" t="s">
        <v>781</v>
      </c>
      <c r="F235" s="444">
        <f t="shared" si="4"/>
        <v>1370</v>
      </c>
      <c r="G235" s="444"/>
      <c r="H235" s="447"/>
      <c r="I235" s="489"/>
      <c r="J235" s="444">
        <v>1370</v>
      </c>
      <c r="K235" s="859"/>
      <c r="L235" s="407"/>
    </row>
    <row r="236" spans="1:253" ht="17.25">
      <c r="A236" s="606">
        <v>222</v>
      </c>
      <c r="B236" s="923">
        <v>12</v>
      </c>
      <c r="C236" s="913"/>
      <c r="D236" s="442" t="s">
        <v>809</v>
      </c>
      <c r="E236" s="443"/>
      <c r="F236" s="444"/>
      <c r="G236" s="445"/>
      <c r="H236" s="446"/>
      <c r="I236" s="488"/>
      <c r="J236" s="444"/>
      <c r="K236" s="858"/>
      <c r="L236" s="407"/>
      <c r="M236" s="476"/>
      <c r="N236" s="476"/>
      <c r="O236" s="476"/>
      <c r="P236" s="476"/>
      <c r="Q236" s="476"/>
      <c r="R236" s="476"/>
      <c r="S236" s="476"/>
      <c r="T236" s="476"/>
      <c r="U236" s="476"/>
      <c r="V236" s="476"/>
      <c r="W236" s="476"/>
      <c r="X236" s="476"/>
      <c r="Y236" s="476"/>
      <c r="Z236" s="476"/>
      <c r="AA236" s="476"/>
      <c r="AB236" s="476"/>
      <c r="AC236" s="476"/>
      <c r="AD236" s="476"/>
      <c r="AE236" s="476"/>
      <c r="AF236" s="476"/>
      <c r="AG236" s="476"/>
      <c r="AH236" s="476"/>
      <c r="AI236" s="476"/>
      <c r="AJ236" s="476"/>
      <c r="AK236" s="476"/>
      <c r="AL236" s="476"/>
      <c r="AM236" s="476"/>
      <c r="AN236" s="476"/>
      <c r="AO236" s="476"/>
      <c r="AP236" s="476"/>
      <c r="AQ236" s="476"/>
      <c r="AR236" s="476"/>
      <c r="AS236" s="476"/>
      <c r="AT236" s="476"/>
      <c r="AU236" s="476"/>
      <c r="AV236" s="476"/>
      <c r="AW236" s="476"/>
      <c r="AX236" s="476"/>
      <c r="AY236" s="476"/>
      <c r="AZ236" s="476"/>
      <c r="BA236" s="476"/>
      <c r="BB236" s="476"/>
      <c r="BC236" s="476"/>
      <c r="BD236" s="476"/>
      <c r="BE236" s="476"/>
      <c r="BF236" s="476"/>
      <c r="BG236" s="476"/>
      <c r="BH236" s="476"/>
      <c r="BI236" s="476"/>
      <c r="BJ236" s="476"/>
      <c r="BK236" s="476"/>
      <c r="BL236" s="476"/>
      <c r="BM236" s="476"/>
      <c r="BN236" s="476"/>
      <c r="BO236" s="476"/>
      <c r="BP236" s="476"/>
      <c r="BQ236" s="476"/>
      <c r="BR236" s="476"/>
      <c r="BS236" s="476"/>
      <c r="BT236" s="476"/>
      <c r="BU236" s="476"/>
      <c r="BV236" s="476"/>
      <c r="BW236" s="476"/>
      <c r="BX236" s="476"/>
      <c r="BY236" s="476"/>
      <c r="BZ236" s="476"/>
      <c r="CA236" s="476"/>
      <c r="CB236" s="476"/>
      <c r="CC236" s="476"/>
      <c r="CD236" s="476"/>
      <c r="CE236" s="476"/>
      <c r="CF236" s="476"/>
      <c r="CG236" s="476"/>
      <c r="CH236" s="476"/>
      <c r="CI236" s="476"/>
      <c r="CJ236" s="476"/>
      <c r="CK236" s="476"/>
      <c r="CL236" s="476"/>
      <c r="CM236" s="476"/>
      <c r="CN236" s="476"/>
      <c r="CO236" s="476"/>
      <c r="CP236" s="476"/>
      <c r="CQ236" s="476"/>
      <c r="CR236" s="476"/>
      <c r="CS236" s="476"/>
      <c r="CT236" s="476"/>
      <c r="CU236" s="476"/>
      <c r="CV236" s="476"/>
      <c r="CW236" s="476"/>
      <c r="CX236" s="476"/>
      <c r="CY236" s="476"/>
      <c r="CZ236" s="476"/>
      <c r="DA236" s="476"/>
      <c r="DB236" s="476"/>
      <c r="DC236" s="476"/>
      <c r="DD236" s="476"/>
      <c r="DE236" s="476"/>
      <c r="DF236" s="476"/>
      <c r="DG236" s="476"/>
      <c r="DH236" s="476"/>
      <c r="DI236" s="476"/>
      <c r="DJ236" s="476"/>
      <c r="DK236" s="476"/>
      <c r="DL236" s="476"/>
      <c r="DM236" s="476"/>
      <c r="DN236" s="476"/>
      <c r="DO236" s="476"/>
      <c r="DP236" s="476"/>
      <c r="DQ236" s="476"/>
      <c r="DR236" s="476"/>
      <c r="DS236" s="476"/>
      <c r="DT236" s="476"/>
      <c r="DU236" s="476"/>
      <c r="DV236" s="476"/>
      <c r="DW236" s="476"/>
      <c r="DX236" s="476"/>
      <c r="DY236" s="476"/>
      <c r="DZ236" s="476"/>
      <c r="EA236" s="476"/>
      <c r="EB236" s="476"/>
      <c r="EC236" s="476"/>
      <c r="ED236" s="476"/>
      <c r="EE236" s="476"/>
      <c r="EF236" s="476"/>
      <c r="EG236" s="476"/>
      <c r="EH236" s="476"/>
      <c r="EI236" s="476"/>
      <c r="EJ236" s="476"/>
      <c r="EK236" s="476"/>
      <c r="EL236" s="476"/>
      <c r="EM236" s="476"/>
      <c r="EN236" s="476"/>
      <c r="EO236" s="476"/>
      <c r="EP236" s="476"/>
      <c r="EQ236" s="476"/>
      <c r="ER236" s="476"/>
      <c r="ES236" s="476"/>
      <c r="ET236" s="476"/>
      <c r="EU236" s="476"/>
      <c r="EV236" s="476"/>
      <c r="EW236" s="476"/>
      <c r="EX236" s="476"/>
      <c r="EY236" s="476"/>
      <c r="EZ236" s="476"/>
      <c r="FA236" s="476"/>
      <c r="FB236" s="476"/>
      <c r="FC236" s="476"/>
      <c r="FD236" s="476"/>
      <c r="FE236" s="476"/>
      <c r="FF236" s="476"/>
      <c r="FG236" s="476"/>
      <c r="FH236" s="476"/>
      <c r="FI236" s="476"/>
      <c r="FJ236" s="476"/>
      <c r="FK236" s="476"/>
      <c r="FL236" s="476"/>
      <c r="FM236" s="476"/>
      <c r="FN236" s="476"/>
      <c r="FO236" s="476"/>
      <c r="FP236" s="476"/>
      <c r="FQ236" s="476"/>
      <c r="FR236" s="476"/>
      <c r="FS236" s="476"/>
      <c r="FT236" s="476"/>
      <c r="FU236" s="476"/>
      <c r="FV236" s="476"/>
      <c r="FW236" s="476"/>
      <c r="FX236" s="476"/>
      <c r="FY236" s="476"/>
      <c r="FZ236" s="476"/>
      <c r="GA236" s="476"/>
      <c r="GB236" s="476"/>
      <c r="GC236" s="476"/>
      <c r="GD236" s="476"/>
      <c r="GE236" s="476"/>
      <c r="GF236" s="476"/>
      <c r="GG236" s="476"/>
      <c r="GH236" s="476"/>
      <c r="GI236" s="476"/>
      <c r="GJ236" s="476"/>
      <c r="GK236" s="476"/>
      <c r="GL236" s="476"/>
      <c r="GM236" s="476"/>
      <c r="GN236" s="476"/>
      <c r="GO236" s="476"/>
      <c r="GP236" s="476"/>
      <c r="GQ236" s="476"/>
      <c r="GR236" s="476"/>
      <c r="GS236" s="476"/>
      <c r="GT236" s="476"/>
      <c r="GU236" s="476"/>
      <c r="GV236" s="476"/>
      <c r="GW236" s="476"/>
      <c r="GX236" s="476"/>
      <c r="GY236" s="476"/>
      <c r="GZ236" s="476"/>
      <c r="HA236" s="476"/>
      <c r="HB236" s="476"/>
      <c r="HC236" s="476"/>
      <c r="HD236" s="476"/>
      <c r="HE236" s="476"/>
      <c r="HF236" s="476"/>
      <c r="HG236" s="476"/>
      <c r="HH236" s="476"/>
      <c r="HI236" s="476"/>
      <c r="HJ236" s="476"/>
      <c r="HK236" s="476"/>
      <c r="HL236" s="476"/>
      <c r="HM236" s="476"/>
      <c r="HN236" s="476"/>
      <c r="HO236" s="476"/>
      <c r="HP236" s="476"/>
      <c r="HQ236" s="476"/>
      <c r="HR236" s="476"/>
      <c r="HS236" s="476"/>
      <c r="HT236" s="476"/>
      <c r="HU236" s="476"/>
      <c r="HV236" s="476"/>
      <c r="HW236" s="476"/>
      <c r="HX236" s="476"/>
      <c r="HY236" s="476"/>
      <c r="HZ236" s="476"/>
      <c r="IA236" s="476"/>
      <c r="IB236" s="476"/>
      <c r="IC236" s="476"/>
      <c r="ID236" s="476"/>
      <c r="IE236" s="476"/>
      <c r="IF236" s="476"/>
      <c r="IG236" s="476"/>
      <c r="IH236" s="476"/>
      <c r="II236" s="476"/>
      <c r="IJ236" s="476"/>
      <c r="IK236" s="476"/>
      <c r="IL236" s="476"/>
      <c r="IM236" s="476"/>
      <c r="IN236" s="476"/>
      <c r="IO236" s="476"/>
      <c r="IP236" s="476"/>
      <c r="IQ236" s="476"/>
      <c r="IR236" s="476"/>
      <c r="IS236" s="476"/>
    </row>
    <row r="237" spans="1:12" ht="33">
      <c r="A237" s="606">
        <v>223</v>
      </c>
      <c r="B237" s="923"/>
      <c r="C237" s="913">
        <v>1</v>
      </c>
      <c r="D237" s="450" t="s">
        <v>137</v>
      </c>
      <c r="E237" s="420" t="s">
        <v>815</v>
      </c>
      <c r="F237" s="444">
        <f t="shared" si="4"/>
        <v>17843</v>
      </c>
      <c r="G237" s="444"/>
      <c r="H237" s="447"/>
      <c r="I237" s="492">
        <v>12700</v>
      </c>
      <c r="J237" s="444">
        <v>17843</v>
      </c>
      <c r="K237" s="859">
        <v>17842</v>
      </c>
      <c r="L237" s="407"/>
    </row>
    <row r="238" spans="1:12" ht="33">
      <c r="A238" s="606">
        <v>224</v>
      </c>
      <c r="B238" s="923"/>
      <c r="C238" s="913">
        <v>2</v>
      </c>
      <c r="D238" s="450" t="s">
        <v>1190</v>
      </c>
      <c r="E238" s="420" t="s">
        <v>781</v>
      </c>
      <c r="F238" s="444">
        <f t="shared" si="4"/>
        <v>635</v>
      </c>
      <c r="G238" s="444"/>
      <c r="H238" s="447"/>
      <c r="I238" s="492"/>
      <c r="J238" s="444">
        <v>635</v>
      </c>
      <c r="K238" s="859">
        <v>634</v>
      </c>
      <c r="L238" s="407"/>
    </row>
    <row r="239" spans="1:12" ht="17.25">
      <c r="A239" s="606">
        <v>225</v>
      </c>
      <c r="B239" s="923"/>
      <c r="C239" s="913">
        <v>3</v>
      </c>
      <c r="D239" s="450" t="s">
        <v>1180</v>
      </c>
      <c r="E239" s="420" t="s">
        <v>781</v>
      </c>
      <c r="F239" s="444">
        <f t="shared" si="4"/>
        <v>304</v>
      </c>
      <c r="G239" s="444"/>
      <c r="H239" s="447"/>
      <c r="I239" s="492"/>
      <c r="J239" s="444">
        <v>304</v>
      </c>
      <c r="K239" s="859">
        <v>304</v>
      </c>
      <c r="L239" s="407"/>
    </row>
    <row r="240" spans="1:12" ht="17.25">
      <c r="A240" s="606">
        <v>226</v>
      </c>
      <c r="B240" s="923"/>
      <c r="C240" s="913">
        <v>4</v>
      </c>
      <c r="D240" s="450" t="s">
        <v>1360</v>
      </c>
      <c r="E240" s="420" t="s">
        <v>781</v>
      </c>
      <c r="F240" s="444">
        <f t="shared" si="4"/>
        <v>240</v>
      </c>
      <c r="G240" s="444"/>
      <c r="H240" s="447"/>
      <c r="I240" s="492"/>
      <c r="J240" s="444">
        <v>240</v>
      </c>
      <c r="K240" s="859">
        <v>240</v>
      </c>
      <c r="L240" s="407"/>
    </row>
    <row r="241" spans="1:12" ht="49.5">
      <c r="A241" s="606">
        <v>227</v>
      </c>
      <c r="B241" s="923"/>
      <c r="C241" s="913">
        <v>5</v>
      </c>
      <c r="D241" s="450" t="s">
        <v>1361</v>
      </c>
      <c r="E241" s="420" t="s">
        <v>781</v>
      </c>
      <c r="F241" s="444">
        <f t="shared" si="4"/>
        <v>585</v>
      </c>
      <c r="G241" s="444"/>
      <c r="H241" s="447"/>
      <c r="I241" s="492"/>
      <c r="J241" s="444">
        <v>585</v>
      </c>
      <c r="K241" s="859">
        <v>380</v>
      </c>
      <c r="L241" s="407"/>
    </row>
    <row r="242" spans="1:253" ht="17.25">
      <c r="A242" s="606">
        <v>228</v>
      </c>
      <c r="B242" s="923">
        <v>13</v>
      </c>
      <c r="C242" s="913"/>
      <c r="D242" s="442" t="s">
        <v>810</v>
      </c>
      <c r="E242" s="443"/>
      <c r="F242" s="444"/>
      <c r="G242" s="445"/>
      <c r="H242" s="446"/>
      <c r="I242" s="488"/>
      <c r="J242" s="444"/>
      <c r="K242" s="858"/>
      <c r="L242" s="407"/>
      <c r="M242" s="476"/>
      <c r="N242" s="476"/>
      <c r="O242" s="476"/>
      <c r="P242" s="476"/>
      <c r="Q242" s="476"/>
      <c r="R242" s="476"/>
      <c r="S242" s="476"/>
      <c r="T242" s="476"/>
      <c r="U242" s="476"/>
      <c r="V242" s="476"/>
      <c r="W242" s="476"/>
      <c r="X242" s="476"/>
      <c r="Y242" s="476"/>
      <c r="Z242" s="476"/>
      <c r="AA242" s="476"/>
      <c r="AB242" s="476"/>
      <c r="AC242" s="476"/>
      <c r="AD242" s="476"/>
      <c r="AE242" s="476"/>
      <c r="AF242" s="476"/>
      <c r="AG242" s="476"/>
      <c r="AH242" s="476"/>
      <c r="AI242" s="476"/>
      <c r="AJ242" s="476"/>
      <c r="AK242" s="476"/>
      <c r="AL242" s="476"/>
      <c r="AM242" s="476"/>
      <c r="AN242" s="476"/>
      <c r="AO242" s="476"/>
      <c r="AP242" s="476"/>
      <c r="AQ242" s="476"/>
      <c r="AR242" s="476"/>
      <c r="AS242" s="476"/>
      <c r="AT242" s="476"/>
      <c r="AU242" s="476"/>
      <c r="AV242" s="476"/>
      <c r="AW242" s="476"/>
      <c r="AX242" s="476"/>
      <c r="AY242" s="476"/>
      <c r="AZ242" s="476"/>
      <c r="BA242" s="476"/>
      <c r="BB242" s="476"/>
      <c r="BC242" s="476"/>
      <c r="BD242" s="476"/>
      <c r="BE242" s="476"/>
      <c r="BF242" s="476"/>
      <c r="BG242" s="476"/>
      <c r="BH242" s="476"/>
      <c r="BI242" s="476"/>
      <c r="BJ242" s="476"/>
      <c r="BK242" s="476"/>
      <c r="BL242" s="476"/>
      <c r="BM242" s="476"/>
      <c r="BN242" s="476"/>
      <c r="BO242" s="476"/>
      <c r="BP242" s="476"/>
      <c r="BQ242" s="476"/>
      <c r="BR242" s="476"/>
      <c r="BS242" s="476"/>
      <c r="BT242" s="476"/>
      <c r="BU242" s="476"/>
      <c r="BV242" s="476"/>
      <c r="BW242" s="476"/>
      <c r="BX242" s="476"/>
      <c r="BY242" s="476"/>
      <c r="BZ242" s="476"/>
      <c r="CA242" s="476"/>
      <c r="CB242" s="476"/>
      <c r="CC242" s="476"/>
      <c r="CD242" s="476"/>
      <c r="CE242" s="476"/>
      <c r="CF242" s="476"/>
      <c r="CG242" s="476"/>
      <c r="CH242" s="476"/>
      <c r="CI242" s="476"/>
      <c r="CJ242" s="476"/>
      <c r="CK242" s="476"/>
      <c r="CL242" s="476"/>
      <c r="CM242" s="476"/>
      <c r="CN242" s="476"/>
      <c r="CO242" s="476"/>
      <c r="CP242" s="476"/>
      <c r="CQ242" s="476"/>
      <c r="CR242" s="476"/>
      <c r="CS242" s="476"/>
      <c r="CT242" s="476"/>
      <c r="CU242" s="476"/>
      <c r="CV242" s="476"/>
      <c r="CW242" s="476"/>
      <c r="CX242" s="476"/>
      <c r="CY242" s="476"/>
      <c r="CZ242" s="476"/>
      <c r="DA242" s="476"/>
      <c r="DB242" s="476"/>
      <c r="DC242" s="476"/>
      <c r="DD242" s="476"/>
      <c r="DE242" s="476"/>
      <c r="DF242" s="476"/>
      <c r="DG242" s="476"/>
      <c r="DH242" s="476"/>
      <c r="DI242" s="476"/>
      <c r="DJ242" s="476"/>
      <c r="DK242" s="476"/>
      <c r="DL242" s="476"/>
      <c r="DM242" s="476"/>
      <c r="DN242" s="476"/>
      <c r="DO242" s="476"/>
      <c r="DP242" s="476"/>
      <c r="DQ242" s="476"/>
      <c r="DR242" s="476"/>
      <c r="DS242" s="476"/>
      <c r="DT242" s="476"/>
      <c r="DU242" s="476"/>
      <c r="DV242" s="476"/>
      <c r="DW242" s="476"/>
      <c r="DX242" s="476"/>
      <c r="DY242" s="476"/>
      <c r="DZ242" s="476"/>
      <c r="EA242" s="476"/>
      <c r="EB242" s="476"/>
      <c r="EC242" s="476"/>
      <c r="ED242" s="476"/>
      <c r="EE242" s="476"/>
      <c r="EF242" s="476"/>
      <c r="EG242" s="476"/>
      <c r="EH242" s="476"/>
      <c r="EI242" s="476"/>
      <c r="EJ242" s="476"/>
      <c r="EK242" s="476"/>
      <c r="EL242" s="476"/>
      <c r="EM242" s="476"/>
      <c r="EN242" s="476"/>
      <c r="EO242" s="476"/>
      <c r="EP242" s="476"/>
      <c r="EQ242" s="476"/>
      <c r="ER242" s="476"/>
      <c r="ES242" s="476"/>
      <c r="ET242" s="476"/>
      <c r="EU242" s="476"/>
      <c r="EV242" s="476"/>
      <c r="EW242" s="476"/>
      <c r="EX242" s="476"/>
      <c r="EY242" s="476"/>
      <c r="EZ242" s="476"/>
      <c r="FA242" s="476"/>
      <c r="FB242" s="476"/>
      <c r="FC242" s="476"/>
      <c r="FD242" s="476"/>
      <c r="FE242" s="476"/>
      <c r="FF242" s="476"/>
      <c r="FG242" s="476"/>
      <c r="FH242" s="476"/>
      <c r="FI242" s="476"/>
      <c r="FJ242" s="476"/>
      <c r="FK242" s="476"/>
      <c r="FL242" s="476"/>
      <c r="FM242" s="476"/>
      <c r="FN242" s="476"/>
      <c r="FO242" s="476"/>
      <c r="FP242" s="476"/>
      <c r="FQ242" s="476"/>
      <c r="FR242" s="476"/>
      <c r="FS242" s="476"/>
      <c r="FT242" s="476"/>
      <c r="FU242" s="476"/>
      <c r="FV242" s="476"/>
      <c r="FW242" s="476"/>
      <c r="FX242" s="476"/>
      <c r="FY242" s="476"/>
      <c r="FZ242" s="476"/>
      <c r="GA242" s="476"/>
      <c r="GB242" s="476"/>
      <c r="GC242" s="476"/>
      <c r="GD242" s="476"/>
      <c r="GE242" s="476"/>
      <c r="GF242" s="476"/>
      <c r="GG242" s="476"/>
      <c r="GH242" s="476"/>
      <c r="GI242" s="476"/>
      <c r="GJ242" s="476"/>
      <c r="GK242" s="476"/>
      <c r="GL242" s="476"/>
      <c r="GM242" s="476"/>
      <c r="GN242" s="476"/>
      <c r="GO242" s="476"/>
      <c r="GP242" s="476"/>
      <c r="GQ242" s="476"/>
      <c r="GR242" s="476"/>
      <c r="GS242" s="476"/>
      <c r="GT242" s="476"/>
      <c r="GU242" s="476"/>
      <c r="GV242" s="476"/>
      <c r="GW242" s="476"/>
      <c r="GX242" s="476"/>
      <c r="GY242" s="476"/>
      <c r="GZ242" s="476"/>
      <c r="HA242" s="476"/>
      <c r="HB242" s="476"/>
      <c r="HC242" s="476"/>
      <c r="HD242" s="476"/>
      <c r="HE242" s="476"/>
      <c r="HF242" s="476"/>
      <c r="HG242" s="476"/>
      <c r="HH242" s="476"/>
      <c r="HI242" s="476"/>
      <c r="HJ242" s="476"/>
      <c r="HK242" s="476"/>
      <c r="HL242" s="476"/>
      <c r="HM242" s="476"/>
      <c r="HN242" s="476"/>
      <c r="HO242" s="476"/>
      <c r="HP242" s="476"/>
      <c r="HQ242" s="476"/>
      <c r="HR242" s="476"/>
      <c r="HS242" s="476"/>
      <c r="HT242" s="476"/>
      <c r="HU242" s="476"/>
      <c r="HV242" s="476"/>
      <c r="HW242" s="476"/>
      <c r="HX242" s="476"/>
      <c r="HY242" s="476"/>
      <c r="HZ242" s="476"/>
      <c r="IA242" s="476"/>
      <c r="IB242" s="476"/>
      <c r="IC242" s="476"/>
      <c r="ID242" s="476"/>
      <c r="IE242" s="476"/>
      <c r="IF242" s="476"/>
      <c r="IG242" s="476"/>
      <c r="IH242" s="476"/>
      <c r="II242" s="476"/>
      <c r="IJ242" s="476"/>
      <c r="IK242" s="476"/>
      <c r="IL242" s="476"/>
      <c r="IM242" s="476"/>
      <c r="IN242" s="476"/>
      <c r="IO242" s="476"/>
      <c r="IP242" s="476"/>
      <c r="IQ242" s="476"/>
      <c r="IR242" s="476"/>
      <c r="IS242" s="476"/>
    </row>
    <row r="243" spans="1:253" ht="132">
      <c r="A243" s="606">
        <v>229</v>
      </c>
      <c r="B243" s="923"/>
      <c r="C243" s="913">
        <v>1</v>
      </c>
      <c r="D243" s="419" t="s">
        <v>1362</v>
      </c>
      <c r="E243" s="420" t="s">
        <v>781</v>
      </c>
      <c r="F243" s="444">
        <f t="shared" si="4"/>
        <v>2289</v>
      </c>
      <c r="G243" s="444"/>
      <c r="H243" s="447"/>
      <c r="I243" s="489">
        <v>360</v>
      </c>
      <c r="J243" s="444">
        <v>2289</v>
      </c>
      <c r="K243" s="859">
        <v>1492</v>
      </c>
      <c r="L243" s="407"/>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8"/>
      <c r="AY243" s="478"/>
      <c r="AZ243" s="478"/>
      <c r="BA243" s="478"/>
      <c r="BB243" s="478"/>
      <c r="BC243" s="478"/>
      <c r="BD243" s="478"/>
      <c r="BE243" s="478"/>
      <c r="BF243" s="478"/>
      <c r="BG243" s="478"/>
      <c r="BH243" s="478"/>
      <c r="BI243" s="478"/>
      <c r="BJ243" s="478"/>
      <c r="BK243" s="478"/>
      <c r="BL243" s="478"/>
      <c r="BM243" s="478"/>
      <c r="BN243" s="478"/>
      <c r="BO243" s="478"/>
      <c r="BP243" s="478"/>
      <c r="BQ243" s="478"/>
      <c r="BR243" s="478"/>
      <c r="BS243" s="478"/>
      <c r="BT243" s="478"/>
      <c r="BU243" s="478"/>
      <c r="BV243" s="478"/>
      <c r="BW243" s="478"/>
      <c r="BX243" s="478"/>
      <c r="BY243" s="478"/>
      <c r="BZ243" s="478"/>
      <c r="CA243" s="478"/>
      <c r="CB243" s="478"/>
      <c r="CC243" s="478"/>
      <c r="CD243" s="478"/>
      <c r="CE243" s="478"/>
      <c r="CF243" s="478"/>
      <c r="CG243" s="478"/>
      <c r="CH243" s="478"/>
      <c r="CI243" s="478"/>
      <c r="CJ243" s="478"/>
      <c r="CK243" s="478"/>
      <c r="CL243" s="478"/>
      <c r="CM243" s="478"/>
      <c r="CN243" s="478"/>
      <c r="CO243" s="478"/>
      <c r="CP243" s="478"/>
      <c r="CQ243" s="478"/>
      <c r="CR243" s="478"/>
      <c r="CS243" s="478"/>
      <c r="CT243" s="478"/>
      <c r="CU243" s="478"/>
      <c r="CV243" s="478"/>
      <c r="CW243" s="478"/>
      <c r="CX243" s="478"/>
      <c r="CY243" s="478"/>
      <c r="CZ243" s="478"/>
      <c r="DA243" s="478"/>
      <c r="DB243" s="478"/>
      <c r="DC243" s="478"/>
      <c r="DD243" s="478"/>
      <c r="DE243" s="478"/>
      <c r="DF243" s="478"/>
      <c r="DG243" s="478"/>
      <c r="DH243" s="478"/>
      <c r="DI243" s="478"/>
      <c r="DJ243" s="478"/>
      <c r="DK243" s="478"/>
      <c r="DL243" s="478"/>
      <c r="DM243" s="478"/>
      <c r="DN243" s="478"/>
      <c r="DO243" s="478"/>
      <c r="DP243" s="478"/>
      <c r="DQ243" s="478"/>
      <c r="DR243" s="478"/>
      <c r="DS243" s="478"/>
      <c r="DT243" s="478"/>
      <c r="DU243" s="478"/>
      <c r="DV243" s="478"/>
      <c r="DW243" s="478"/>
      <c r="DX243" s="478"/>
      <c r="DY243" s="478"/>
      <c r="DZ243" s="478"/>
      <c r="EA243" s="478"/>
      <c r="EB243" s="478"/>
      <c r="EC243" s="478"/>
      <c r="ED243" s="478"/>
      <c r="EE243" s="478"/>
      <c r="EF243" s="478"/>
      <c r="EG243" s="478"/>
      <c r="EH243" s="478"/>
      <c r="EI243" s="478"/>
      <c r="EJ243" s="478"/>
      <c r="EK243" s="478"/>
      <c r="EL243" s="478"/>
      <c r="EM243" s="478"/>
      <c r="EN243" s="478"/>
      <c r="EO243" s="478"/>
      <c r="EP243" s="478"/>
      <c r="EQ243" s="478"/>
      <c r="ER243" s="478"/>
      <c r="ES243" s="478"/>
      <c r="ET243" s="478"/>
      <c r="EU243" s="478"/>
      <c r="EV243" s="478"/>
      <c r="EW243" s="478"/>
      <c r="EX243" s="478"/>
      <c r="EY243" s="478"/>
      <c r="EZ243" s="478"/>
      <c r="FA243" s="478"/>
      <c r="FB243" s="478"/>
      <c r="FC243" s="478"/>
      <c r="FD243" s="478"/>
      <c r="FE243" s="478"/>
      <c r="FF243" s="478"/>
      <c r="FG243" s="478"/>
      <c r="FH243" s="478"/>
      <c r="FI243" s="478"/>
      <c r="FJ243" s="478"/>
      <c r="FK243" s="478"/>
      <c r="FL243" s="478"/>
      <c r="FM243" s="478"/>
      <c r="FN243" s="478"/>
      <c r="FO243" s="478"/>
      <c r="FP243" s="478"/>
      <c r="FQ243" s="478"/>
      <c r="FR243" s="478"/>
      <c r="FS243" s="478"/>
      <c r="FT243" s="478"/>
      <c r="FU243" s="478"/>
      <c r="FV243" s="478"/>
      <c r="FW243" s="478"/>
      <c r="FX243" s="478"/>
      <c r="FY243" s="478"/>
      <c r="FZ243" s="478"/>
      <c r="GA243" s="478"/>
      <c r="GB243" s="478"/>
      <c r="GC243" s="478"/>
      <c r="GD243" s="478"/>
      <c r="GE243" s="478"/>
      <c r="GF243" s="478"/>
      <c r="GG243" s="478"/>
      <c r="GH243" s="478"/>
      <c r="GI243" s="478"/>
      <c r="GJ243" s="478"/>
      <c r="GK243" s="478"/>
      <c r="GL243" s="478"/>
      <c r="GM243" s="478"/>
      <c r="GN243" s="478"/>
      <c r="GO243" s="478"/>
      <c r="GP243" s="478"/>
      <c r="GQ243" s="478"/>
      <c r="GR243" s="478"/>
      <c r="GS243" s="478"/>
      <c r="GT243" s="478"/>
      <c r="GU243" s="478"/>
      <c r="GV243" s="478"/>
      <c r="GW243" s="478"/>
      <c r="GX243" s="478"/>
      <c r="GY243" s="478"/>
      <c r="GZ243" s="478"/>
      <c r="HA243" s="478"/>
      <c r="HB243" s="478"/>
      <c r="HC243" s="478"/>
      <c r="HD243" s="478"/>
      <c r="HE243" s="478"/>
      <c r="HF243" s="478"/>
      <c r="HG243" s="478"/>
      <c r="HH243" s="478"/>
      <c r="HI243" s="478"/>
      <c r="HJ243" s="478"/>
      <c r="HK243" s="478"/>
      <c r="HL243" s="478"/>
      <c r="HM243" s="478"/>
      <c r="HN243" s="478"/>
      <c r="HO243" s="478"/>
      <c r="HP243" s="478"/>
      <c r="HQ243" s="478"/>
      <c r="HR243" s="478"/>
      <c r="HS243" s="478"/>
      <c r="HT243" s="478"/>
      <c r="HU243" s="478"/>
      <c r="HV243" s="478"/>
      <c r="HW243" s="478"/>
      <c r="HX243" s="478"/>
      <c r="HY243" s="478"/>
      <c r="HZ243" s="478"/>
      <c r="IA243" s="478"/>
      <c r="IB243" s="478"/>
      <c r="IC243" s="478"/>
      <c r="ID243" s="478"/>
      <c r="IE243" s="478"/>
      <c r="IF243" s="478"/>
      <c r="IG243" s="478"/>
      <c r="IH243" s="478"/>
      <c r="II243" s="478"/>
      <c r="IJ243" s="478"/>
      <c r="IK243" s="478"/>
      <c r="IL243" s="478"/>
      <c r="IM243" s="478"/>
      <c r="IN243" s="478"/>
      <c r="IO243" s="478"/>
      <c r="IP243" s="478"/>
      <c r="IQ243" s="478"/>
      <c r="IR243" s="478"/>
      <c r="IS243" s="478"/>
    </row>
    <row r="244" spans="1:253" ht="17.25">
      <c r="A244" s="606">
        <v>230</v>
      </c>
      <c r="B244" s="923"/>
      <c r="C244" s="913">
        <v>2</v>
      </c>
      <c r="D244" s="419" t="s">
        <v>1363</v>
      </c>
      <c r="E244" s="420" t="s">
        <v>781</v>
      </c>
      <c r="F244" s="444">
        <f t="shared" si="4"/>
        <v>350</v>
      </c>
      <c r="G244" s="444"/>
      <c r="H244" s="447"/>
      <c r="I244" s="489"/>
      <c r="J244" s="444">
        <v>350</v>
      </c>
      <c r="K244" s="859">
        <v>349</v>
      </c>
      <c r="L244" s="407"/>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c r="AK244" s="478"/>
      <c r="AL244" s="478"/>
      <c r="AM244" s="478"/>
      <c r="AN244" s="478"/>
      <c r="AO244" s="478"/>
      <c r="AP244" s="478"/>
      <c r="AQ244" s="478"/>
      <c r="AR244" s="478"/>
      <c r="AS244" s="478"/>
      <c r="AT244" s="478"/>
      <c r="AU244" s="478"/>
      <c r="AV244" s="478"/>
      <c r="AW244" s="478"/>
      <c r="AX244" s="478"/>
      <c r="AY244" s="478"/>
      <c r="AZ244" s="478"/>
      <c r="BA244" s="478"/>
      <c r="BB244" s="478"/>
      <c r="BC244" s="478"/>
      <c r="BD244" s="478"/>
      <c r="BE244" s="478"/>
      <c r="BF244" s="478"/>
      <c r="BG244" s="478"/>
      <c r="BH244" s="478"/>
      <c r="BI244" s="478"/>
      <c r="BJ244" s="478"/>
      <c r="BK244" s="478"/>
      <c r="BL244" s="478"/>
      <c r="BM244" s="478"/>
      <c r="BN244" s="478"/>
      <c r="BO244" s="478"/>
      <c r="BP244" s="478"/>
      <c r="BQ244" s="478"/>
      <c r="BR244" s="478"/>
      <c r="BS244" s="478"/>
      <c r="BT244" s="478"/>
      <c r="BU244" s="478"/>
      <c r="BV244" s="478"/>
      <c r="BW244" s="478"/>
      <c r="BX244" s="478"/>
      <c r="BY244" s="478"/>
      <c r="BZ244" s="478"/>
      <c r="CA244" s="478"/>
      <c r="CB244" s="478"/>
      <c r="CC244" s="478"/>
      <c r="CD244" s="478"/>
      <c r="CE244" s="478"/>
      <c r="CF244" s="478"/>
      <c r="CG244" s="478"/>
      <c r="CH244" s="478"/>
      <c r="CI244" s="478"/>
      <c r="CJ244" s="478"/>
      <c r="CK244" s="478"/>
      <c r="CL244" s="478"/>
      <c r="CM244" s="478"/>
      <c r="CN244" s="478"/>
      <c r="CO244" s="478"/>
      <c r="CP244" s="478"/>
      <c r="CQ244" s="478"/>
      <c r="CR244" s="478"/>
      <c r="CS244" s="478"/>
      <c r="CT244" s="478"/>
      <c r="CU244" s="478"/>
      <c r="CV244" s="478"/>
      <c r="CW244" s="478"/>
      <c r="CX244" s="478"/>
      <c r="CY244" s="478"/>
      <c r="CZ244" s="478"/>
      <c r="DA244" s="478"/>
      <c r="DB244" s="478"/>
      <c r="DC244" s="478"/>
      <c r="DD244" s="478"/>
      <c r="DE244" s="478"/>
      <c r="DF244" s="478"/>
      <c r="DG244" s="478"/>
      <c r="DH244" s="478"/>
      <c r="DI244" s="478"/>
      <c r="DJ244" s="478"/>
      <c r="DK244" s="478"/>
      <c r="DL244" s="478"/>
      <c r="DM244" s="478"/>
      <c r="DN244" s="478"/>
      <c r="DO244" s="478"/>
      <c r="DP244" s="478"/>
      <c r="DQ244" s="478"/>
      <c r="DR244" s="478"/>
      <c r="DS244" s="478"/>
      <c r="DT244" s="478"/>
      <c r="DU244" s="478"/>
      <c r="DV244" s="478"/>
      <c r="DW244" s="478"/>
      <c r="DX244" s="478"/>
      <c r="DY244" s="478"/>
      <c r="DZ244" s="478"/>
      <c r="EA244" s="478"/>
      <c r="EB244" s="478"/>
      <c r="EC244" s="478"/>
      <c r="ED244" s="478"/>
      <c r="EE244" s="478"/>
      <c r="EF244" s="478"/>
      <c r="EG244" s="478"/>
      <c r="EH244" s="478"/>
      <c r="EI244" s="478"/>
      <c r="EJ244" s="478"/>
      <c r="EK244" s="478"/>
      <c r="EL244" s="478"/>
      <c r="EM244" s="478"/>
      <c r="EN244" s="478"/>
      <c r="EO244" s="478"/>
      <c r="EP244" s="478"/>
      <c r="EQ244" s="478"/>
      <c r="ER244" s="478"/>
      <c r="ES244" s="478"/>
      <c r="ET244" s="478"/>
      <c r="EU244" s="478"/>
      <c r="EV244" s="478"/>
      <c r="EW244" s="478"/>
      <c r="EX244" s="478"/>
      <c r="EY244" s="478"/>
      <c r="EZ244" s="478"/>
      <c r="FA244" s="478"/>
      <c r="FB244" s="478"/>
      <c r="FC244" s="478"/>
      <c r="FD244" s="478"/>
      <c r="FE244" s="478"/>
      <c r="FF244" s="478"/>
      <c r="FG244" s="478"/>
      <c r="FH244" s="478"/>
      <c r="FI244" s="478"/>
      <c r="FJ244" s="478"/>
      <c r="FK244" s="478"/>
      <c r="FL244" s="478"/>
      <c r="FM244" s="478"/>
      <c r="FN244" s="478"/>
      <c r="FO244" s="478"/>
      <c r="FP244" s="478"/>
      <c r="FQ244" s="478"/>
      <c r="FR244" s="478"/>
      <c r="FS244" s="478"/>
      <c r="FT244" s="478"/>
      <c r="FU244" s="478"/>
      <c r="FV244" s="478"/>
      <c r="FW244" s="478"/>
      <c r="FX244" s="478"/>
      <c r="FY244" s="478"/>
      <c r="FZ244" s="478"/>
      <c r="GA244" s="478"/>
      <c r="GB244" s="478"/>
      <c r="GC244" s="478"/>
      <c r="GD244" s="478"/>
      <c r="GE244" s="478"/>
      <c r="GF244" s="478"/>
      <c r="GG244" s="478"/>
      <c r="GH244" s="478"/>
      <c r="GI244" s="478"/>
      <c r="GJ244" s="478"/>
      <c r="GK244" s="478"/>
      <c r="GL244" s="478"/>
      <c r="GM244" s="478"/>
      <c r="GN244" s="478"/>
      <c r="GO244" s="478"/>
      <c r="GP244" s="478"/>
      <c r="GQ244" s="478"/>
      <c r="GR244" s="478"/>
      <c r="GS244" s="478"/>
      <c r="GT244" s="478"/>
      <c r="GU244" s="478"/>
      <c r="GV244" s="478"/>
      <c r="GW244" s="478"/>
      <c r="GX244" s="478"/>
      <c r="GY244" s="478"/>
      <c r="GZ244" s="478"/>
      <c r="HA244" s="478"/>
      <c r="HB244" s="478"/>
      <c r="HC244" s="478"/>
      <c r="HD244" s="478"/>
      <c r="HE244" s="478"/>
      <c r="HF244" s="478"/>
      <c r="HG244" s="478"/>
      <c r="HH244" s="478"/>
      <c r="HI244" s="478"/>
      <c r="HJ244" s="478"/>
      <c r="HK244" s="478"/>
      <c r="HL244" s="478"/>
      <c r="HM244" s="478"/>
      <c r="HN244" s="478"/>
      <c r="HO244" s="478"/>
      <c r="HP244" s="478"/>
      <c r="HQ244" s="478"/>
      <c r="HR244" s="478"/>
      <c r="HS244" s="478"/>
      <c r="HT244" s="478"/>
      <c r="HU244" s="478"/>
      <c r="HV244" s="478"/>
      <c r="HW244" s="478"/>
      <c r="HX244" s="478"/>
      <c r="HY244" s="478"/>
      <c r="HZ244" s="478"/>
      <c r="IA244" s="478"/>
      <c r="IB244" s="478"/>
      <c r="IC244" s="478"/>
      <c r="ID244" s="478"/>
      <c r="IE244" s="478"/>
      <c r="IF244" s="478"/>
      <c r="IG244" s="478"/>
      <c r="IH244" s="478"/>
      <c r="II244" s="478"/>
      <c r="IJ244" s="478"/>
      <c r="IK244" s="478"/>
      <c r="IL244" s="478"/>
      <c r="IM244" s="478"/>
      <c r="IN244" s="478"/>
      <c r="IO244" s="478"/>
      <c r="IP244" s="478"/>
      <c r="IQ244" s="478"/>
      <c r="IR244" s="478"/>
      <c r="IS244" s="478"/>
    </row>
    <row r="245" spans="1:253" ht="17.25">
      <c r="A245" s="606">
        <v>231</v>
      </c>
      <c r="B245" s="923"/>
      <c r="C245" s="913">
        <v>3</v>
      </c>
      <c r="D245" s="419" t="s">
        <v>138</v>
      </c>
      <c r="E245" s="420" t="s">
        <v>781</v>
      </c>
      <c r="F245" s="444">
        <f t="shared" si="4"/>
        <v>1006</v>
      </c>
      <c r="G245" s="444"/>
      <c r="H245" s="447"/>
      <c r="I245" s="489"/>
      <c r="J245" s="444">
        <v>1006</v>
      </c>
      <c r="K245" s="859">
        <v>1006</v>
      </c>
      <c r="L245" s="407"/>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c r="AK245" s="478"/>
      <c r="AL245" s="478"/>
      <c r="AM245" s="478"/>
      <c r="AN245" s="478"/>
      <c r="AO245" s="478"/>
      <c r="AP245" s="478"/>
      <c r="AQ245" s="478"/>
      <c r="AR245" s="478"/>
      <c r="AS245" s="478"/>
      <c r="AT245" s="478"/>
      <c r="AU245" s="478"/>
      <c r="AV245" s="478"/>
      <c r="AW245" s="478"/>
      <c r="AX245" s="478"/>
      <c r="AY245" s="478"/>
      <c r="AZ245" s="478"/>
      <c r="BA245" s="478"/>
      <c r="BB245" s="478"/>
      <c r="BC245" s="478"/>
      <c r="BD245" s="478"/>
      <c r="BE245" s="478"/>
      <c r="BF245" s="478"/>
      <c r="BG245" s="478"/>
      <c r="BH245" s="478"/>
      <c r="BI245" s="478"/>
      <c r="BJ245" s="478"/>
      <c r="BK245" s="478"/>
      <c r="BL245" s="478"/>
      <c r="BM245" s="478"/>
      <c r="BN245" s="478"/>
      <c r="BO245" s="478"/>
      <c r="BP245" s="478"/>
      <c r="BQ245" s="478"/>
      <c r="BR245" s="478"/>
      <c r="BS245" s="478"/>
      <c r="BT245" s="478"/>
      <c r="BU245" s="478"/>
      <c r="BV245" s="478"/>
      <c r="BW245" s="478"/>
      <c r="BX245" s="478"/>
      <c r="BY245" s="478"/>
      <c r="BZ245" s="478"/>
      <c r="CA245" s="478"/>
      <c r="CB245" s="478"/>
      <c r="CC245" s="478"/>
      <c r="CD245" s="478"/>
      <c r="CE245" s="478"/>
      <c r="CF245" s="478"/>
      <c r="CG245" s="478"/>
      <c r="CH245" s="478"/>
      <c r="CI245" s="478"/>
      <c r="CJ245" s="478"/>
      <c r="CK245" s="478"/>
      <c r="CL245" s="478"/>
      <c r="CM245" s="478"/>
      <c r="CN245" s="478"/>
      <c r="CO245" s="478"/>
      <c r="CP245" s="478"/>
      <c r="CQ245" s="478"/>
      <c r="CR245" s="478"/>
      <c r="CS245" s="478"/>
      <c r="CT245" s="478"/>
      <c r="CU245" s="478"/>
      <c r="CV245" s="478"/>
      <c r="CW245" s="478"/>
      <c r="CX245" s="478"/>
      <c r="CY245" s="478"/>
      <c r="CZ245" s="478"/>
      <c r="DA245" s="478"/>
      <c r="DB245" s="478"/>
      <c r="DC245" s="478"/>
      <c r="DD245" s="478"/>
      <c r="DE245" s="478"/>
      <c r="DF245" s="478"/>
      <c r="DG245" s="478"/>
      <c r="DH245" s="478"/>
      <c r="DI245" s="478"/>
      <c r="DJ245" s="478"/>
      <c r="DK245" s="478"/>
      <c r="DL245" s="478"/>
      <c r="DM245" s="478"/>
      <c r="DN245" s="478"/>
      <c r="DO245" s="478"/>
      <c r="DP245" s="478"/>
      <c r="DQ245" s="478"/>
      <c r="DR245" s="478"/>
      <c r="DS245" s="478"/>
      <c r="DT245" s="478"/>
      <c r="DU245" s="478"/>
      <c r="DV245" s="478"/>
      <c r="DW245" s="478"/>
      <c r="DX245" s="478"/>
      <c r="DY245" s="478"/>
      <c r="DZ245" s="478"/>
      <c r="EA245" s="478"/>
      <c r="EB245" s="478"/>
      <c r="EC245" s="478"/>
      <c r="ED245" s="478"/>
      <c r="EE245" s="478"/>
      <c r="EF245" s="478"/>
      <c r="EG245" s="478"/>
      <c r="EH245" s="478"/>
      <c r="EI245" s="478"/>
      <c r="EJ245" s="478"/>
      <c r="EK245" s="478"/>
      <c r="EL245" s="478"/>
      <c r="EM245" s="478"/>
      <c r="EN245" s="478"/>
      <c r="EO245" s="478"/>
      <c r="EP245" s="478"/>
      <c r="EQ245" s="478"/>
      <c r="ER245" s="478"/>
      <c r="ES245" s="478"/>
      <c r="ET245" s="478"/>
      <c r="EU245" s="478"/>
      <c r="EV245" s="478"/>
      <c r="EW245" s="478"/>
      <c r="EX245" s="478"/>
      <c r="EY245" s="478"/>
      <c r="EZ245" s="478"/>
      <c r="FA245" s="478"/>
      <c r="FB245" s="478"/>
      <c r="FC245" s="478"/>
      <c r="FD245" s="478"/>
      <c r="FE245" s="478"/>
      <c r="FF245" s="478"/>
      <c r="FG245" s="478"/>
      <c r="FH245" s="478"/>
      <c r="FI245" s="478"/>
      <c r="FJ245" s="478"/>
      <c r="FK245" s="478"/>
      <c r="FL245" s="478"/>
      <c r="FM245" s="478"/>
      <c r="FN245" s="478"/>
      <c r="FO245" s="478"/>
      <c r="FP245" s="478"/>
      <c r="FQ245" s="478"/>
      <c r="FR245" s="478"/>
      <c r="FS245" s="478"/>
      <c r="FT245" s="478"/>
      <c r="FU245" s="478"/>
      <c r="FV245" s="478"/>
      <c r="FW245" s="478"/>
      <c r="FX245" s="478"/>
      <c r="FY245" s="478"/>
      <c r="FZ245" s="478"/>
      <c r="GA245" s="478"/>
      <c r="GB245" s="478"/>
      <c r="GC245" s="478"/>
      <c r="GD245" s="478"/>
      <c r="GE245" s="478"/>
      <c r="GF245" s="478"/>
      <c r="GG245" s="478"/>
      <c r="GH245" s="478"/>
      <c r="GI245" s="478"/>
      <c r="GJ245" s="478"/>
      <c r="GK245" s="478"/>
      <c r="GL245" s="478"/>
      <c r="GM245" s="478"/>
      <c r="GN245" s="478"/>
      <c r="GO245" s="478"/>
      <c r="GP245" s="478"/>
      <c r="GQ245" s="478"/>
      <c r="GR245" s="478"/>
      <c r="GS245" s="478"/>
      <c r="GT245" s="478"/>
      <c r="GU245" s="478"/>
      <c r="GV245" s="478"/>
      <c r="GW245" s="478"/>
      <c r="GX245" s="478"/>
      <c r="GY245" s="478"/>
      <c r="GZ245" s="478"/>
      <c r="HA245" s="478"/>
      <c r="HB245" s="478"/>
      <c r="HC245" s="478"/>
      <c r="HD245" s="478"/>
      <c r="HE245" s="478"/>
      <c r="HF245" s="478"/>
      <c r="HG245" s="478"/>
      <c r="HH245" s="478"/>
      <c r="HI245" s="478"/>
      <c r="HJ245" s="478"/>
      <c r="HK245" s="478"/>
      <c r="HL245" s="478"/>
      <c r="HM245" s="478"/>
      <c r="HN245" s="478"/>
      <c r="HO245" s="478"/>
      <c r="HP245" s="478"/>
      <c r="HQ245" s="478"/>
      <c r="HR245" s="478"/>
      <c r="HS245" s="478"/>
      <c r="HT245" s="478"/>
      <c r="HU245" s="478"/>
      <c r="HV245" s="478"/>
      <c r="HW245" s="478"/>
      <c r="HX245" s="478"/>
      <c r="HY245" s="478"/>
      <c r="HZ245" s="478"/>
      <c r="IA245" s="478"/>
      <c r="IB245" s="478"/>
      <c r="IC245" s="478"/>
      <c r="ID245" s="478"/>
      <c r="IE245" s="478"/>
      <c r="IF245" s="478"/>
      <c r="IG245" s="478"/>
      <c r="IH245" s="478"/>
      <c r="II245" s="478"/>
      <c r="IJ245" s="478"/>
      <c r="IK245" s="478"/>
      <c r="IL245" s="478"/>
      <c r="IM245" s="478"/>
      <c r="IN245" s="478"/>
      <c r="IO245" s="478"/>
      <c r="IP245" s="478"/>
      <c r="IQ245" s="478"/>
      <c r="IR245" s="478"/>
      <c r="IS245" s="478"/>
    </row>
    <row r="246" spans="1:253" ht="17.25">
      <c r="A246" s="606">
        <v>232</v>
      </c>
      <c r="B246" s="923"/>
      <c r="C246" s="913">
        <v>4</v>
      </c>
      <c r="D246" s="419" t="s">
        <v>139</v>
      </c>
      <c r="E246" s="420" t="s">
        <v>781</v>
      </c>
      <c r="F246" s="444">
        <f t="shared" si="4"/>
        <v>1270</v>
      </c>
      <c r="G246" s="444"/>
      <c r="H246" s="447"/>
      <c r="I246" s="489"/>
      <c r="J246" s="444">
        <v>1270</v>
      </c>
      <c r="K246" s="859">
        <v>1270</v>
      </c>
      <c r="L246" s="407"/>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c r="AK246" s="478"/>
      <c r="AL246" s="478"/>
      <c r="AM246" s="478"/>
      <c r="AN246" s="478"/>
      <c r="AO246" s="478"/>
      <c r="AP246" s="478"/>
      <c r="AQ246" s="478"/>
      <c r="AR246" s="478"/>
      <c r="AS246" s="478"/>
      <c r="AT246" s="478"/>
      <c r="AU246" s="478"/>
      <c r="AV246" s="478"/>
      <c r="AW246" s="478"/>
      <c r="AX246" s="478"/>
      <c r="AY246" s="478"/>
      <c r="AZ246" s="478"/>
      <c r="BA246" s="478"/>
      <c r="BB246" s="478"/>
      <c r="BC246" s="478"/>
      <c r="BD246" s="478"/>
      <c r="BE246" s="478"/>
      <c r="BF246" s="478"/>
      <c r="BG246" s="478"/>
      <c r="BH246" s="478"/>
      <c r="BI246" s="478"/>
      <c r="BJ246" s="478"/>
      <c r="BK246" s="478"/>
      <c r="BL246" s="478"/>
      <c r="BM246" s="478"/>
      <c r="BN246" s="478"/>
      <c r="BO246" s="478"/>
      <c r="BP246" s="478"/>
      <c r="BQ246" s="478"/>
      <c r="BR246" s="478"/>
      <c r="BS246" s="478"/>
      <c r="BT246" s="478"/>
      <c r="BU246" s="478"/>
      <c r="BV246" s="478"/>
      <c r="BW246" s="478"/>
      <c r="BX246" s="478"/>
      <c r="BY246" s="478"/>
      <c r="BZ246" s="478"/>
      <c r="CA246" s="478"/>
      <c r="CB246" s="478"/>
      <c r="CC246" s="478"/>
      <c r="CD246" s="478"/>
      <c r="CE246" s="478"/>
      <c r="CF246" s="478"/>
      <c r="CG246" s="478"/>
      <c r="CH246" s="478"/>
      <c r="CI246" s="478"/>
      <c r="CJ246" s="478"/>
      <c r="CK246" s="478"/>
      <c r="CL246" s="478"/>
      <c r="CM246" s="478"/>
      <c r="CN246" s="478"/>
      <c r="CO246" s="478"/>
      <c r="CP246" s="478"/>
      <c r="CQ246" s="478"/>
      <c r="CR246" s="478"/>
      <c r="CS246" s="478"/>
      <c r="CT246" s="478"/>
      <c r="CU246" s="478"/>
      <c r="CV246" s="478"/>
      <c r="CW246" s="478"/>
      <c r="CX246" s="478"/>
      <c r="CY246" s="478"/>
      <c r="CZ246" s="478"/>
      <c r="DA246" s="478"/>
      <c r="DB246" s="478"/>
      <c r="DC246" s="478"/>
      <c r="DD246" s="478"/>
      <c r="DE246" s="478"/>
      <c r="DF246" s="478"/>
      <c r="DG246" s="478"/>
      <c r="DH246" s="478"/>
      <c r="DI246" s="478"/>
      <c r="DJ246" s="478"/>
      <c r="DK246" s="478"/>
      <c r="DL246" s="478"/>
      <c r="DM246" s="478"/>
      <c r="DN246" s="478"/>
      <c r="DO246" s="478"/>
      <c r="DP246" s="478"/>
      <c r="DQ246" s="478"/>
      <c r="DR246" s="478"/>
      <c r="DS246" s="478"/>
      <c r="DT246" s="478"/>
      <c r="DU246" s="478"/>
      <c r="DV246" s="478"/>
      <c r="DW246" s="478"/>
      <c r="DX246" s="478"/>
      <c r="DY246" s="478"/>
      <c r="DZ246" s="478"/>
      <c r="EA246" s="478"/>
      <c r="EB246" s="478"/>
      <c r="EC246" s="478"/>
      <c r="ED246" s="478"/>
      <c r="EE246" s="478"/>
      <c r="EF246" s="478"/>
      <c r="EG246" s="478"/>
      <c r="EH246" s="478"/>
      <c r="EI246" s="478"/>
      <c r="EJ246" s="478"/>
      <c r="EK246" s="478"/>
      <c r="EL246" s="478"/>
      <c r="EM246" s="478"/>
      <c r="EN246" s="478"/>
      <c r="EO246" s="478"/>
      <c r="EP246" s="478"/>
      <c r="EQ246" s="478"/>
      <c r="ER246" s="478"/>
      <c r="ES246" s="478"/>
      <c r="ET246" s="478"/>
      <c r="EU246" s="478"/>
      <c r="EV246" s="478"/>
      <c r="EW246" s="478"/>
      <c r="EX246" s="478"/>
      <c r="EY246" s="478"/>
      <c r="EZ246" s="478"/>
      <c r="FA246" s="478"/>
      <c r="FB246" s="478"/>
      <c r="FC246" s="478"/>
      <c r="FD246" s="478"/>
      <c r="FE246" s="478"/>
      <c r="FF246" s="478"/>
      <c r="FG246" s="478"/>
      <c r="FH246" s="478"/>
      <c r="FI246" s="478"/>
      <c r="FJ246" s="478"/>
      <c r="FK246" s="478"/>
      <c r="FL246" s="478"/>
      <c r="FM246" s="478"/>
      <c r="FN246" s="478"/>
      <c r="FO246" s="478"/>
      <c r="FP246" s="478"/>
      <c r="FQ246" s="478"/>
      <c r="FR246" s="478"/>
      <c r="FS246" s="478"/>
      <c r="FT246" s="478"/>
      <c r="FU246" s="478"/>
      <c r="FV246" s="478"/>
      <c r="FW246" s="478"/>
      <c r="FX246" s="478"/>
      <c r="FY246" s="478"/>
      <c r="FZ246" s="478"/>
      <c r="GA246" s="478"/>
      <c r="GB246" s="478"/>
      <c r="GC246" s="478"/>
      <c r="GD246" s="478"/>
      <c r="GE246" s="478"/>
      <c r="GF246" s="478"/>
      <c r="GG246" s="478"/>
      <c r="GH246" s="478"/>
      <c r="GI246" s="478"/>
      <c r="GJ246" s="478"/>
      <c r="GK246" s="478"/>
      <c r="GL246" s="478"/>
      <c r="GM246" s="478"/>
      <c r="GN246" s="478"/>
      <c r="GO246" s="478"/>
      <c r="GP246" s="478"/>
      <c r="GQ246" s="478"/>
      <c r="GR246" s="478"/>
      <c r="GS246" s="478"/>
      <c r="GT246" s="478"/>
      <c r="GU246" s="478"/>
      <c r="GV246" s="478"/>
      <c r="GW246" s="478"/>
      <c r="GX246" s="478"/>
      <c r="GY246" s="478"/>
      <c r="GZ246" s="478"/>
      <c r="HA246" s="478"/>
      <c r="HB246" s="478"/>
      <c r="HC246" s="478"/>
      <c r="HD246" s="478"/>
      <c r="HE246" s="478"/>
      <c r="HF246" s="478"/>
      <c r="HG246" s="478"/>
      <c r="HH246" s="478"/>
      <c r="HI246" s="478"/>
      <c r="HJ246" s="478"/>
      <c r="HK246" s="478"/>
      <c r="HL246" s="478"/>
      <c r="HM246" s="478"/>
      <c r="HN246" s="478"/>
      <c r="HO246" s="478"/>
      <c r="HP246" s="478"/>
      <c r="HQ246" s="478"/>
      <c r="HR246" s="478"/>
      <c r="HS246" s="478"/>
      <c r="HT246" s="478"/>
      <c r="HU246" s="478"/>
      <c r="HV246" s="478"/>
      <c r="HW246" s="478"/>
      <c r="HX246" s="478"/>
      <c r="HY246" s="478"/>
      <c r="HZ246" s="478"/>
      <c r="IA246" s="478"/>
      <c r="IB246" s="478"/>
      <c r="IC246" s="478"/>
      <c r="ID246" s="478"/>
      <c r="IE246" s="478"/>
      <c r="IF246" s="478"/>
      <c r="IG246" s="478"/>
      <c r="IH246" s="478"/>
      <c r="II246" s="478"/>
      <c r="IJ246" s="478"/>
      <c r="IK246" s="478"/>
      <c r="IL246" s="478"/>
      <c r="IM246" s="478"/>
      <c r="IN246" s="478"/>
      <c r="IO246" s="478"/>
      <c r="IP246" s="478"/>
      <c r="IQ246" s="478"/>
      <c r="IR246" s="478"/>
      <c r="IS246" s="478"/>
    </row>
    <row r="247" spans="1:253" ht="17.25">
      <c r="A247" s="606">
        <v>233</v>
      </c>
      <c r="B247" s="923"/>
      <c r="C247" s="913">
        <v>5</v>
      </c>
      <c r="D247" s="419" t="s">
        <v>140</v>
      </c>
      <c r="E247" s="420" t="s">
        <v>781</v>
      </c>
      <c r="F247" s="444">
        <f aca="true" t="shared" si="5" ref="F247:F265">SUM(G247:H247,J247)</f>
        <v>244</v>
      </c>
      <c r="G247" s="444"/>
      <c r="H247" s="447"/>
      <c r="I247" s="489"/>
      <c r="J247" s="444">
        <v>244</v>
      </c>
      <c r="K247" s="859">
        <v>243</v>
      </c>
      <c r="L247" s="407"/>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c r="AK247" s="478"/>
      <c r="AL247" s="478"/>
      <c r="AM247" s="478"/>
      <c r="AN247" s="478"/>
      <c r="AO247" s="478"/>
      <c r="AP247" s="478"/>
      <c r="AQ247" s="478"/>
      <c r="AR247" s="478"/>
      <c r="AS247" s="478"/>
      <c r="AT247" s="478"/>
      <c r="AU247" s="478"/>
      <c r="AV247" s="478"/>
      <c r="AW247" s="478"/>
      <c r="AX247" s="478"/>
      <c r="AY247" s="478"/>
      <c r="AZ247" s="478"/>
      <c r="BA247" s="478"/>
      <c r="BB247" s="478"/>
      <c r="BC247" s="478"/>
      <c r="BD247" s="478"/>
      <c r="BE247" s="478"/>
      <c r="BF247" s="478"/>
      <c r="BG247" s="478"/>
      <c r="BH247" s="478"/>
      <c r="BI247" s="478"/>
      <c r="BJ247" s="478"/>
      <c r="BK247" s="478"/>
      <c r="BL247" s="478"/>
      <c r="BM247" s="478"/>
      <c r="BN247" s="478"/>
      <c r="BO247" s="478"/>
      <c r="BP247" s="478"/>
      <c r="BQ247" s="478"/>
      <c r="BR247" s="478"/>
      <c r="BS247" s="478"/>
      <c r="BT247" s="478"/>
      <c r="BU247" s="478"/>
      <c r="BV247" s="478"/>
      <c r="BW247" s="478"/>
      <c r="BX247" s="478"/>
      <c r="BY247" s="478"/>
      <c r="BZ247" s="478"/>
      <c r="CA247" s="478"/>
      <c r="CB247" s="478"/>
      <c r="CC247" s="478"/>
      <c r="CD247" s="478"/>
      <c r="CE247" s="478"/>
      <c r="CF247" s="478"/>
      <c r="CG247" s="478"/>
      <c r="CH247" s="478"/>
      <c r="CI247" s="478"/>
      <c r="CJ247" s="478"/>
      <c r="CK247" s="478"/>
      <c r="CL247" s="478"/>
      <c r="CM247" s="478"/>
      <c r="CN247" s="478"/>
      <c r="CO247" s="478"/>
      <c r="CP247" s="478"/>
      <c r="CQ247" s="478"/>
      <c r="CR247" s="478"/>
      <c r="CS247" s="478"/>
      <c r="CT247" s="478"/>
      <c r="CU247" s="478"/>
      <c r="CV247" s="478"/>
      <c r="CW247" s="478"/>
      <c r="CX247" s="478"/>
      <c r="CY247" s="478"/>
      <c r="CZ247" s="478"/>
      <c r="DA247" s="478"/>
      <c r="DB247" s="478"/>
      <c r="DC247" s="478"/>
      <c r="DD247" s="478"/>
      <c r="DE247" s="478"/>
      <c r="DF247" s="478"/>
      <c r="DG247" s="478"/>
      <c r="DH247" s="478"/>
      <c r="DI247" s="478"/>
      <c r="DJ247" s="478"/>
      <c r="DK247" s="478"/>
      <c r="DL247" s="478"/>
      <c r="DM247" s="478"/>
      <c r="DN247" s="478"/>
      <c r="DO247" s="478"/>
      <c r="DP247" s="478"/>
      <c r="DQ247" s="478"/>
      <c r="DR247" s="478"/>
      <c r="DS247" s="478"/>
      <c r="DT247" s="478"/>
      <c r="DU247" s="478"/>
      <c r="DV247" s="478"/>
      <c r="DW247" s="478"/>
      <c r="DX247" s="478"/>
      <c r="DY247" s="478"/>
      <c r="DZ247" s="478"/>
      <c r="EA247" s="478"/>
      <c r="EB247" s="478"/>
      <c r="EC247" s="478"/>
      <c r="ED247" s="478"/>
      <c r="EE247" s="478"/>
      <c r="EF247" s="478"/>
      <c r="EG247" s="478"/>
      <c r="EH247" s="478"/>
      <c r="EI247" s="478"/>
      <c r="EJ247" s="478"/>
      <c r="EK247" s="478"/>
      <c r="EL247" s="478"/>
      <c r="EM247" s="478"/>
      <c r="EN247" s="478"/>
      <c r="EO247" s="478"/>
      <c r="EP247" s="478"/>
      <c r="EQ247" s="478"/>
      <c r="ER247" s="478"/>
      <c r="ES247" s="478"/>
      <c r="ET247" s="478"/>
      <c r="EU247" s="478"/>
      <c r="EV247" s="478"/>
      <c r="EW247" s="478"/>
      <c r="EX247" s="478"/>
      <c r="EY247" s="478"/>
      <c r="EZ247" s="478"/>
      <c r="FA247" s="478"/>
      <c r="FB247" s="478"/>
      <c r="FC247" s="478"/>
      <c r="FD247" s="478"/>
      <c r="FE247" s="478"/>
      <c r="FF247" s="478"/>
      <c r="FG247" s="478"/>
      <c r="FH247" s="478"/>
      <c r="FI247" s="478"/>
      <c r="FJ247" s="478"/>
      <c r="FK247" s="478"/>
      <c r="FL247" s="478"/>
      <c r="FM247" s="478"/>
      <c r="FN247" s="478"/>
      <c r="FO247" s="478"/>
      <c r="FP247" s="478"/>
      <c r="FQ247" s="478"/>
      <c r="FR247" s="478"/>
      <c r="FS247" s="478"/>
      <c r="FT247" s="478"/>
      <c r="FU247" s="478"/>
      <c r="FV247" s="478"/>
      <c r="FW247" s="478"/>
      <c r="FX247" s="478"/>
      <c r="FY247" s="478"/>
      <c r="FZ247" s="478"/>
      <c r="GA247" s="478"/>
      <c r="GB247" s="478"/>
      <c r="GC247" s="478"/>
      <c r="GD247" s="478"/>
      <c r="GE247" s="478"/>
      <c r="GF247" s="478"/>
      <c r="GG247" s="478"/>
      <c r="GH247" s="478"/>
      <c r="GI247" s="478"/>
      <c r="GJ247" s="478"/>
      <c r="GK247" s="478"/>
      <c r="GL247" s="478"/>
      <c r="GM247" s="478"/>
      <c r="GN247" s="478"/>
      <c r="GO247" s="478"/>
      <c r="GP247" s="478"/>
      <c r="GQ247" s="478"/>
      <c r="GR247" s="478"/>
      <c r="GS247" s="478"/>
      <c r="GT247" s="478"/>
      <c r="GU247" s="478"/>
      <c r="GV247" s="478"/>
      <c r="GW247" s="478"/>
      <c r="GX247" s="478"/>
      <c r="GY247" s="478"/>
      <c r="GZ247" s="478"/>
      <c r="HA247" s="478"/>
      <c r="HB247" s="478"/>
      <c r="HC247" s="478"/>
      <c r="HD247" s="478"/>
      <c r="HE247" s="478"/>
      <c r="HF247" s="478"/>
      <c r="HG247" s="478"/>
      <c r="HH247" s="478"/>
      <c r="HI247" s="478"/>
      <c r="HJ247" s="478"/>
      <c r="HK247" s="478"/>
      <c r="HL247" s="478"/>
      <c r="HM247" s="478"/>
      <c r="HN247" s="478"/>
      <c r="HO247" s="478"/>
      <c r="HP247" s="478"/>
      <c r="HQ247" s="478"/>
      <c r="HR247" s="478"/>
      <c r="HS247" s="478"/>
      <c r="HT247" s="478"/>
      <c r="HU247" s="478"/>
      <c r="HV247" s="478"/>
      <c r="HW247" s="478"/>
      <c r="HX247" s="478"/>
      <c r="HY247" s="478"/>
      <c r="HZ247" s="478"/>
      <c r="IA247" s="478"/>
      <c r="IB247" s="478"/>
      <c r="IC247" s="478"/>
      <c r="ID247" s="478"/>
      <c r="IE247" s="478"/>
      <c r="IF247" s="478"/>
      <c r="IG247" s="478"/>
      <c r="IH247" s="478"/>
      <c r="II247" s="478"/>
      <c r="IJ247" s="478"/>
      <c r="IK247" s="478"/>
      <c r="IL247" s="478"/>
      <c r="IM247" s="478"/>
      <c r="IN247" s="478"/>
      <c r="IO247" s="478"/>
      <c r="IP247" s="478"/>
      <c r="IQ247" s="478"/>
      <c r="IR247" s="478"/>
      <c r="IS247" s="478"/>
    </row>
    <row r="248" spans="1:253" ht="17.25">
      <c r="A248" s="606">
        <v>234</v>
      </c>
      <c r="B248" s="923"/>
      <c r="C248" s="913">
        <v>6</v>
      </c>
      <c r="D248" s="419" t="s">
        <v>1364</v>
      </c>
      <c r="E248" s="420" t="s">
        <v>781</v>
      </c>
      <c r="F248" s="444">
        <f t="shared" si="5"/>
        <v>1270</v>
      </c>
      <c r="G248" s="444"/>
      <c r="H248" s="447"/>
      <c r="I248" s="489"/>
      <c r="J248" s="444">
        <v>1270</v>
      </c>
      <c r="K248" s="859">
        <v>1073</v>
      </c>
      <c r="L248" s="407"/>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c r="AK248" s="478"/>
      <c r="AL248" s="478"/>
      <c r="AM248" s="478"/>
      <c r="AN248" s="478"/>
      <c r="AO248" s="478"/>
      <c r="AP248" s="478"/>
      <c r="AQ248" s="478"/>
      <c r="AR248" s="478"/>
      <c r="AS248" s="478"/>
      <c r="AT248" s="478"/>
      <c r="AU248" s="478"/>
      <c r="AV248" s="478"/>
      <c r="AW248" s="478"/>
      <c r="AX248" s="478"/>
      <c r="AY248" s="478"/>
      <c r="AZ248" s="478"/>
      <c r="BA248" s="478"/>
      <c r="BB248" s="478"/>
      <c r="BC248" s="478"/>
      <c r="BD248" s="478"/>
      <c r="BE248" s="478"/>
      <c r="BF248" s="478"/>
      <c r="BG248" s="478"/>
      <c r="BH248" s="478"/>
      <c r="BI248" s="478"/>
      <c r="BJ248" s="478"/>
      <c r="BK248" s="478"/>
      <c r="BL248" s="478"/>
      <c r="BM248" s="478"/>
      <c r="BN248" s="478"/>
      <c r="BO248" s="478"/>
      <c r="BP248" s="478"/>
      <c r="BQ248" s="478"/>
      <c r="BR248" s="478"/>
      <c r="BS248" s="478"/>
      <c r="BT248" s="478"/>
      <c r="BU248" s="478"/>
      <c r="BV248" s="478"/>
      <c r="BW248" s="478"/>
      <c r="BX248" s="478"/>
      <c r="BY248" s="478"/>
      <c r="BZ248" s="478"/>
      <c r="CA248" s="478"/>
      <c r="CB248" s="478"/>
      <c r="CC248" s="478"/>
      <c r="CD248" s="478"/>
      <c r="CE248" s="478"/>
      <c r="CF248" s="478"/>
      <c r="CG248" s="478"/>
      <c r="CH248" s="478"/>
      <c r="CI248" s="478"/>
      <c r="CJ248" s="478"/>
      <c r="CK248" s="478"/>
      <c r="CL248" s="478"/>
      <c r="CM248" s="478"/>
      <c r="CN248" s="478"/>
      <c r="CO248" s="478"/>
      <c r="CP248" s="478"/>
      <c r="CQ248" s="478"/>
      <c r="CR248" s="478"/>
      <c r="CS248" s="478"/>
      <c r="CT248" s="478"/>
      <c r="CU248" s="478"/>
      <c r="CV248" s="478"/>
      <c r="CW248" s="478"/>
      <c r="CX248" s="478"/>
      <c r="CY248" s="478"/>
      <c r="CZ248" s="478"/>
      <c r="DA248" s="478"/>
      <c r="DB248" s="478"/>
      <c r="DC248" s="478"/>
      <c r="DD248" s="478"/>
      <c r="DE248" s="478"/>
      <c r="DF248" s="478"/>
      <c r="DG248" s="478"/>
      <c r="DH248" s="478"/>
      <c r="DI248" s="478"/>
      <c r="DJ248" s="478"/>
      <c r="DK248" s="478"/>
      <c r="DL248" s="478"/>
      <c r="DM248" s="478"/>
      <c r="DN248" s="478"/>
      <c r="DO248" s="478"/>
      <c r="DP248" s="478"/>
      <c r="DQ248" s="478"/>
      <c r="DR248" s="478"/>
      <c r="DS248" s="478"/>
      <c r="DT248" s="478"/>
      <c r="DU248" s="478"/>
      <c r="DV248" s="478"/>
      <c r="DW248" s="478"/>
      <c r="DX248" s="478"/>
      <c r="DY248" s="478"/>
      <c r="DZ248" s="478"/>
      <c r="EA248" s="478"/>
      <c r="EB248" s="478"/>
      <c r="EC248" s="478"/>
      <c r="ED248" s="478"/>
      <c r="EE248" s="478"/>
      <c r="EF248" s="478"/>
      <c r="EG248" s="478"/>
      <c r="EH248" s="478"/>
      <c r="EI248" s="478"/>
      <c r="EJ248" s="478"/>
      <c r="EK248" s="478"/>
      <c r="EL248" s="478"/>
      <c r="EM248" s="478"/>
      <c r="EN248" s="478"/>
      <c r="EO248" s="478"/>
      <c r="EP248" s="478"/>
      <c r="EQ248" s="478"/>
      <c r="ER248" s="478"/>
      <c r="ES248" s="478"/>
      <c r="ET248" s="478"/>
      <c r="EU248" s="478"/>
      <c r="EV248" s="478"/>
      <c r="EW248" s="478"/>
      <c r="EX248" s="478"/>
      <c r="EY248" s="478"/>
      <c r="EZ248" s="478"/>
      <c r="FA248" s="478"/>
      <c r="FB248" s="478"/>
      <c r="FC248" s="478"/>
      <c r="FD248" s="478"/>
      <c r="FE248" s="478"/>
      <c r="FF248" s="478"/>
      <c r="FG248" s="478"/>
      <c r="FH248" s="478"/>
      <c r="FI248" s="478"/>
      <c r="FJ248" s="478"/>
      <c r="FK248" s="478"/>
      <c r="FL248" s="478"/>
      <c r="FM248" s="478"/>
      <c r="FN248" s="478"/>
      <c r="FO248" s="478"/>
      <c r="FP248" s="478"/>
      <c r="FQ248" s="478"/>
      <c r="FR248" s="478"/>
      <c r="FS248" s="478"/>
      <c r="FT248" s="478"/>
      <c r="FU248" s="478"/>
      <c r="FV248" s="478"/>
      <c r="FW248" s="478"/>
      <c r="FX248" s="478"/>
      <c r="FY248" s="478"/>
      <c r="FZ248" s="478"/>
      <c r="GA248" s="478"/>
      <c r="GB248" s="478"/>
      <c r="GC248" s="478"/>
      <c r="GD248" s="478"/>
      <c r="GE248" s="478"/>
      <c r="GF248" s="478"/>
      <c r="GG248" s="478"/>
      <c r="GH248" s="478"/>
      <c r="GI248" s="478"/>
      <c r="GJ248" s="478"/>
      <c r="GK248" s="478"/>
      <c r="GL248" s="478"/>
      <c r="GM248" s="478"/>
      <c r="GN248" s="478"/>
      <c r="GO248" s="478"/>
      <c r="GP248" s="478"/>
      <c r="GQ248" s="478"/>
      <c r="GR248" s="478"/>
      <c r="GS248" s="478"/>
      <c r="GT248" s="478"/>
      <c r="GU248" s="478"/>
      <c r="GV248" s="478"/>
      <c r="GW248" s="478"/>
      <c r="GX248" s="478"/>
      <c r="GY248" s="478"/>
      <c r="GZ248" s="478"/>
      <c r="HA248" s="478"/>
      <c r="HB248" s="478"/>
      <c r="HC248" s="478"/>
      <c r="HD248" s="478"/>
      <c r="HE248" s="478"/>
      <c r="HF248" s="478"/>
      <c r="HG248" s="478"/>
      <c r="HH248" s="478"/>
      <c r="HI248" s="478"/>
      <c r="HJ248" s="478"/>
      <c r="HK248" s="478"/>
      <c r="HL248" s="478"/>
      <c r="HM248" s="478"/>
      <c r="HN248" s="478"/>
      <c r="HO248" s="478"/>
      <c r="HP248" s="478"/>
      <c r="HQ248" s="478"/>
      <c r="HR248" s="478"/>
      <c r="HS248" s="478"/>
      <c r="HT248" s="478"/>
      <c r="HU248" s="478"/>
      <c r="HV248" s="478"/>
      <c r="HW248" s="478"/>
      <c r="HX248" s="478"/>
      <c r="HY248" s="478"/>
      <c r="HZ248" s="478"/>
      <c r="IA248" s="478"/>
      <c r="IB248" s="478"/>
      <c r="IC248" s="478"/>
      <c r="ID248" s="478"/>
      <c r="IE248" s="478"/>
      <c r="IF248" s="478"/>
      <c r="IG248" s="478"/>
      <c r="IH248" s="478"/>
      <c r="II248" s="478"/>
      <c r="IJ248" s="478"/>
      <c r="IK248" s="478"/>
      <c r="IL248" s="478"/>
      <c r="IM248" s="478"/>
      <c r="IN248" s="478"/>
      <c r="IO248" s="478"/>
      <c r="IP248" s="478"/>
      <c r="IQ248" s="478"/>
      <c r="IR248" s="478"/>
      <c r="IS248" s="478"/>
    </row>
    <row r="249" spans="1:253" ht="17.25">
      <c r="A249" s="606">
        <v>235</v>
      </c>
      <c r="B249" s="923"/>
      <c r="C249" s="913">
        <v>7</v>
      </c>
      <c r="D249" s="419" t="s">
        <v>1365</v>
      </c>
      <c r="E249" s="420" t="s">
        <v>781</v>
      </c>
      <c r="F249" s="444">
        <f t="shared" si="5"/>
        <v>508</v>
      </c>
      <c r="G249" s="444"/>
      <c r="H249" s="447"/>
      <c r="I249" s="489"/>
      <c r="J249" s="444">
        <v>508</v>
      </c>
      <c r="K249" s="859"/>
      <c r="L249" s="407"/>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c r="AK249" s="478"/>
      <c r="AL249" s="478"/>
      <c r="AM249" s="478"/>
      <c r="AN249" s="478"/>
      <c r="AO249" s="478"/>
      <c r="AP249" s="478"/>
      <c r="AQ249" s="478"/>
      <c r="AR249" s="478"/>
      <c r="AS249" s="478"/>
      <c r="AT249" s="478"/>
      <c r="AU249" s="478"/>
      <c r="AV249" s="478"/>
      <c r="AW249" s="478"/>
      <c r="AX249" s="478"/>
      <c r="AY249" s="478"/>
      <c r="AZ249" s="478"/>
      <c r="BA249" s="478"/>
      <c r="BB249" s="478"/>
      <c r="BC249" s="478"/>
      <c r="BD249" s="478"/>
      <c r="BE249" s="478"/>
      <c r="BF249" s="478"/>
      <c r="BG249" s="478"/>
      <c r="BH249" s="478"/>
      <c r="BI249" s="478"/>
      <c r="BJ249" s="478"/>
      <c r="BK249" s="478"/>
      <c r="BL249" s="478"/>
      <c r="BM249" s="478"/>
      <c r="BN249" s="478"/>
      <c r="BO249" s="478"/>
      <c r="BP249" s="478"/>
      <c r="BQ249" s="478"/>
      <c r="BR249" s="478"/>
      <c r="BS249" s="478"/>
      <c r="BT249" s="478"/>
      <c r="BU249" s="478"/>
      <c r="BV249" s="478"/>
      <c r="BW249" s="478"/>
      <c r="BX249" s="478"/>
      <c r="BY249" s="478"/>
      <c r="BZ249" s="478"/>
      <c r="CA249" s="478"/>
      <c r="CB249" s="478"/>
      <c r="CC249" s="478"/>
      <c r="CD249" s="478"/>
      <c r="CE249" s="478"/>
      <c r="CF249" s="478"/>
      <c r="CG249" s="478"/>
      <c r="CH249" s="478"/>
      <c r="CI249" s="478"/>
      <c r="CJ249" s="478"/>
      <c r="CK249" s="478"/>
      <c r="CL249" s="478"/>
      <c r="CM249" s="478"/>
      <c r="CN249" s="478"/>
      <c r="CO249" s="478"/>
      <c r="CP249" s="478"/>
      <c r="CQ249" s="478"/>
      <c r="CR249" s="478"/>
      <c r="CS249" s="478"/>
      <c r="CT249" s="478"/>
      <c r="CU249" s="478"/>
      <c r="CV249" s="478"/>
      <c r="CW249" s="478"/>
      <c r="CX249" s="478"/>
      <c r="CY249" s="478"/>
      <c r="CZ249" s="478"/>
      <c r="DA249" s="478"/>
      <c r="DB249" s="478"/>
      <c r="DC249" s="478"/>
      <c r="DD249" s="478"/>
      <c r="DE249" s="478"/>
      <c r="DF249" s="478"/>
      <c r="DG249" s="478"/>
      <c r="DH249" s="478"/>
      <c r="DI249" s="478"/>
      <c r="DJ249" s="478"/>
      <c r="DK249" s="478"/>
      <c r="DL249" s="478"/>
      <c r="DM249" s="478"/>
      <c r="DN249" s="478"/>
      <c r="DO249" s="478"/>
      <c r="DP249" s="478"/>
      <c r="DQ249" s="478"/>
      <c r="DR249" s="478"/>
      <c r="DS249" s="478"/>
      <c r="DT249" s="478"/>
      <c r="DU249" s="478"/>
      <c r="DV249" s="478"/>
      <c r="DW249" s="478"/>
      <c r="DX249" s="478"/>
      <c r="DY249" s="478"/>
      <c r="DZ249" s="478"/>
      <c r="EA249" s="478"/>
      <c r="EB249" s="478"/>
      <c r="EC249" s="478"/>
      <c r="ED249" s="478"/>
      <c r="EE249" s="478"/>
      <c r="EF249" s="478"/>
      <c r="EG249" s="478"/>
      <c r="EH249" s="478"/>
      <c r="EI249" s="478"/>
      <c r="EJ249" s="478"/>
      <c r="EK249" s="478"/>
      <c r="EL249" s="478"/>
      <c r="EM249" s="478"/>
      <c r="EN249" s="478"/>
      <c r="EO249" s="478"/>
      <c r="EP249" s="478"/>
      <c r="EQ249" s="478"/>
      <c r="ER249" s="478"/>
      <c r="ES249" s="478"/>
      <c r="ET249" s="478"/>
      <c r="EU249" s="478"/>
      <c r="EV249" s="478"/>
      <c r="EW249" s="478"/>
      <c r="EX249" s="478"/>
      <c r="EY249" s="478"/>
      <c r="EZ249" s="478"/>
      <c r="FA249" s="478"/>
      <c r="FB249" s="478"/>
      <c r="FC249" s="478"/>
      <c r="FD249" s="478"/>
      <c r="FE249" s="478"/>
      <c r="FF249" s="478"/>
      <c r="FG249" s="478"/>
      <c r="FH249" s="478"/>
      <c r="FI249" s="478"/>
      <c r="FJ249" s="478"/>
      <c r="FK249" s="478"/>
      <c r="FL249" s="478"/>
      <c r="FM249" s="478"/>
      <c r="FN249" s="478"/>
      <c r="FO249" s="478"/>
      <c r="FP249" s="478"/>
      <c r="FQ249" s="478"/>
      <c r="FR249" s="478"/>
      <c r="FS249" s="478"/>
      <c r="FT249" s="478"/>
      <c r="FU249" s="478"/>
      <c r="FV249" s="478"/>
      <c r="FW249" s="478"/>
      <c r="FX249" s="478"/>
      <c r="FY249" s="478"/>
      <c r="FZ249" s="478"/>
      <c r="GA249" s="478"/>
      <c r="GB249" s="478"/>
      <c r="GC249" s="478"/>
      <c r="GD249" s="478"/>
      <c r="GE249" s="478"/>
      <c r="GF249" s="478"/>
      <c r="GG249" s="478"/>
      <c r="GH249" s="478"/>
      <c r="GI249" s="478"/>
      <c r="GJ249" s="478"/>
      <c r="GK249" s="478"/>
      <c r="GL249" s="478"/>
      <c r="GM249" s="478"/>
      <c r="GN249" s="478"/>
      <c r="GO249" s="478"/>
      <c r="GP249" s="478"/>
      <c r="GQ249" s="478"/>
      <c r="GR249" s="478"/>
      <c r="GS249" s="478"/>
      <c r="GT249" s="478"/>
      <c r="GU249" s="478"/>
      <c r="GV249" s="478"/>
      <c r="GW249" s="478"/>
      <c r="GX249" s="478"/>
      <c r="GY249" s="478"/>
      <c r="GZ249" s="478"/>
      <c r="HA249" s="478"/>
      <c r="HB249" s="478"/>
      <c r="HC249" s="478"/>
      <c r="HD249" s="478"/>
      <c r="HE249" s="478"/>
      <c r="HF249" s="478"/>
      <c r="HG249" s="478"/>
      <c r="HH249" s="478"/>
      <c r="HI249" s="478"/>
      <c r="HJ249" s="478"/>
      <c r="HK249" s="478"/>
      <c r="HL249" s="478"/>
      <c r="HM249" s="478"/>
      <c r="HN249" s="478"/>
      <c r="HO249" s="478"/>
      <c r="HP249" s="478"/>
      <c r="HQ249" s="478"/>
      <c r="HR249" s="478"/>
      <c r="HS249" s="478"/>
      <c r="HT249" s="478"/>
      <c r="HU249" s="478"/>
      <c r="HV249" s="478"/>
      <c r="HW249" s="478"/>
      <c r="HX249" s="478"/>
      <c r="HY249" s="478"/>
      <c r="HZ249" s="478"/>
      <c r="IA249" s="478"/>
      <c r="IB249" s="478"/>
      <c r="IC249" s="478"/>
      <c r="ID249" s="478"/>
      <c r="IE249" s="478"/>
      <c r="IF249" s="478"/>
      <c r="IG249" s="478"/>
      <c r="IH249" s="478"/>
      <c r="II249" s="478"/>
      <c r="IJ249" s="478"/>
      <c r="IK249" s="478"/>
      <c r="IL249" s="478"/>
      <c r="IM249" s="478"/>
      <c r="IN249" s="478"/>
      <c r="IO249" s="478"/>
      <c r="IP249" s="478"/>
      <c r="IQ249" s="478"/>
      <c r="IR249" s="478"/>
      <c r="IS249" s="478"/>
    </row>
    <row r="250" spans="1:253" ht="17.25">
      <c r="A250" s="606">
        <v>236</v>
      </c>
      <c r="B250" s="923"/>
      <c r="C250" s="913">
        <v>8</v>
      </c>
      <c r="D250" s="419" t="s">
        <v>1366</v>
      </c>
      <c r="E250" s="420" t="s">
        <v>781</v>
      </c>
      <c r="F250" s="444">
        <f t="shared" si="5"/>
        <v>381</v>
      </c>
      <c r="G250" s="444"/>
      <c r="H250" s="447"/>
      <c r="I250" s="489"/>
      <c r="J250" s="444">
        <v>381</v>
      </c>
      <c r="K250" s="859">
        <v>381</v>
      </c>
      <c r="L250" s="407"/>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c r="AK250" s="478"/>
      <c r="AL250" s="478"/>
      <c r="AM250" s="478"/>
      <c r="AN250" s="478"/>
      <c r="AO250" s="478"/>
      <c r="AP250" s="478"/>
      <c r="AQ250" s="478"/>
      <c r="AR250" s="478"/>
      <c r="AS250" s="478"/>
      <c r="AT250" s="478"/>
      <c r="AU250" s="478"/>
      <c r="AV250" s="478"/>
      <c r="AW250" s="478"/>
      <c r="AX250" s="478"/>
      <c r="AY250" s="478"/>
      <c r="AZ250" s="478"/>
      <c r="BA250" s="478"/>
      <c r="BB250" s="478"/>
      <c r="BC250" s="478"/>
      <c r="BD250" s="478"/>
      <c r="BE250" s="478"/>
      <c r="BF250" s="478"/>
      <c r="BG250" s="478"/>
      <c r="BH250" s="478"/>
      <c r="BI250" s="478"/>
      <c r="BJ250" s="478"/>
      <c r="BK250" s="478"/>
      <c r="BL250" s="478"/>
      <c r="BM250" s="478"/>
      <c r="BN250" s="478"/>
      <c r="BO250" s="478"/>
      <c r="BP250" s="478"/>
      <c r="BQ250" s="478"/>
      <c r="BR250" s="478"/>
      <c r="BS250" s="478"/>
      <c r="BT250" s="478"/>
      <c r="BU250" s="478"/>
      <c r="BV250" s="478"/>
      <c r="BW250" s="478"/>
      <c r="BX250" s="478"/>
      <c r="BY250" s="478"/>
      <c r="BZ250" s="478"/>
      <c r="CA250" s="478"/>
      <c r="CB250" s="478"/>
      <c r="CC250" s="478"/>
      <c r="CD250" s="478"/>
      <c r="CE250" s="478"/>
      <c r="CF250" s="478"/>
      <c r="CG250" s="478"/>
      <c r="CH250" s="478"/>
      <c r="CI250" s="478"/>
      <c r="CJ250" s="478"/>
      <c r="CK250" s="478"/>
      <c r="CL250" s="478"/>
      <c r="CM250" s="478"/>
      <c r="CN250" s="478"/>
      <c r="CO250" s="478"/>
      <c r="CP250" s="478"/>
      <c r="CQ250" s="478"/>
      <c r="CR250" s="478"/>
      <c r="CS250" s="478"/>
      <c r="CT250" s="478"/>
      <c r="CU250" s="478"/>
      <c r="CV250" s="478"/>
      <c r="CW250" s="478"/>
      <c r="CX250" s="478"/>
      <c r="CY250" s="478"/>
      <c r="CZ250" s="478"/>
      <c r="DA250" s="478"/>
      <c r="DB250" s="478"/>
      <c r="DC250" s="478"/>
      <c r="DD250" s="478"/>
      <c r="DE250" s="478"/>
      <c r="DF250" s="478"/>
      <c r="DG250" s="478"/>
      <c r="DH250" s="478"/>
      <c r="DI250" s="478"/>
      <c r="DJ250" s="478"/>
      <c r="DK250" s="478"/>
      <c r="DL250" s="478"/>
      <c r="DM250" s="478"/>
      <c r="DN250" s="478"/>
      <c r="DO250" s="478"/>
      <c r="DP250" s="478"/>
      <c r="DQ250" s="478"/>
      <c r="DR250" s="478"/>
      <c r="DS250" s="478"/>
      <c r="DT250" s="478"/>
      <c r="DU250" s="478"/>
      <c r="DV250" s="478"/>
      <c r="DW250" s="478"/>
      <c r="DX250" s="478"/>
      <c r="DY250" s="478"/>
      <c r="DZ250" s="478"/>
      <c r="EA250" s="478"/>
      <c r="EB250" s="478"/>
      <c r="EC250" s="478"/>
      <c r="ED250" s="478"/>
      <c r="EE250" s="478"/>
      <c r="EF250" s="478"/>
      <c r="EG250" s="478"/>
      <c r="EH250" s="478"/>
      <c r="EI250" s="478"/>
      <c r="EJ250" s="478"/>
      <c r="EK250" s="478"/>
      <c r="EL250" s="478"/>
      <c r="EM250" s="478"/>
      <c r="EN250" s="478"/>
      <c r="EO250" s="478"/>
      <c r="EP250" s="478"/>
      <c r="EQ250" s="478"/>
      <c r="ER250" s="478"/>
      <c r="ES250" s="478"/>
      <c r="ET250" s="478"/>
      <c r="EU250" s="478"/>
      <c r="EV250" s="478"/>
      <c r="EW250" s="478"/>
      <c r="EX250" s="478"/>
      <c r="EY250" s="478"/>
      <c r="EZ250" s="478"/>
      <c r="FA250" s="478"/>
      <c r="FB250" s="478"/>
      <c r="FC250" s="478"/>
      <c r="FD250" s="478"/>
      <c r="FE250" s="478"/>
      <c r="FF250" s="478"/>
      <c r="FG250" s="478"/>
      <c r="FH250" s="478"/>
      <c r="FI250" s="478"/>
      <c r="FJ250" s="478"/>
      <c r="FK250" s="478"/>
      <c r="FL250" s="478"/>
      <c r="FM250" s="478"/>
      <c r="FN250" s="478"/>
      <c r="FO250" s="478"/>
      <c r="FP250" s="478"/>
      <c r="FQ250" s="478"/>
      <c r="FR250" s="478"/>
      <c r="FS250" s="478"/>
      <c r="FT250" s="478"/>
      <c r="FU250" s="478"/>
      <c r="FV250" s="478"/>
      <c r="FW250" s="478"/>
      <c r="FX250" s="478"/>
      <c r="FY250" s="478"/>
      <c r="FZ250" s="478"/>
      <c r="GA250" s="478"/>
      <c r="GB250" s="478"/>
      <c r="GC250" s="478"/>
      <c r="GD250" s="478"/>
      <c r="GE250" s="478"/>
      <c r="GF250" s="478"/>
      <c r="GG250" s="478"/>
      <c r="GH250" s="478"/>
      <c r="GI250" s="478"/>
      <c r="GJ250" s="478"/>
      <c r="GK250" s="478"/>
      <c r="GL250" s="478"/>
      <c r="GM250" s="478"/>
      <c r="GN250" s="478"/>
      <c r="GO250" s="478"/>
      <c r="GP250" s="478"/>
      <c r="GQ250" s="478"/>
      <c r="GR250" s="478"/>
      <c r="GS250" s="478"/>
      <c r="GT250" s="478"/>
      <c r="GU250" s="478"/>
      <c r="GV250" s="478"/>
      <c r="GW250" s="478"/>
      <c r="GX250" s="478"/>
      <c r="GY250" s="478"/>
      <c r="GZ250" s="478"/>
      <c r="HA250" s="478"/>
      <c r="HB250" s="478"/>
      <c r="HC250" s="478"/>
      <c r="HD250" s="478"/>
      <c r="HE250" s="478"/>
      <c r="HF250" s="478"/>
      <c r="HG250" s="478"/>
      <c r="HH250" s="478"/>
      <c r="HI250" s="478"/>
      <c r="HJ250" s="478"/>
      <c r="HK250" s="478"/>
      <c r="HL250" s="478"/>
      <c r="HM250" s="478"/>
      <c r="HN250" s="478"/>
      <c r="HO250" s="478"/>
      <c r="HP250" s="478"/>
      <c r="HQ250" s="478"/>
      <c r="HR250" s="478"/>
      <c r="HS250" s="478"/>
      <c r="HT250" s="478"/>
      <c r="HU250" s="478"/>
      <c r="HV250" s="478"/>
      <c r="HW250" s="478"/>
      <c r="HX250" s="478"/>
      <c r="HY250" s="478"/>
      <c r="HZ250" s="478"/>
      <c r="IA250" s="478"/>
      <c r="IB250" s="478"/>
      <c r="IC250" s="478"/>
      <c r="ID250" s="478"/>
      <c r="IE250" s="478"/>
      <c r="IF250" s="478"/>
      <c r="IG250" s="478"/>
      <c r="IH250" s="478"/>
      <c r="II250" s="478"/>
      <c r="IJ250" s="478"/>
      <c r="IK250" s="478"/>
      <c r="IL250" s="478"/>
      <c r="IM250" s="478"/>
      <c r="IN250" s="478"/>
      <c r="IO250" s="478"/>
      <c r="IP250" s="478"/>
      <c r="IQ250" s="478"/>
      <c r="IR250" s="478"/>
      <c r="IS250" s="478"/>
    </row>
    <row r="251" spans="1:253" ht="17.25">
      <c r="A251" s="606">
        <v>237</v>
      </c>
      <c r="B251" s="923"/>
      <c r="C251" s="913">
        <v>9</v>
      </c>
      <c r="D251" s="419" t="s">
        <v>1367</v>
      </c>
      <c r="E251" s="420" t="s">
        <v>781</v>
      </c>
      <c r="F251" s="444">
        <f t="shared" si="5"/>
        <v>438</v>
      </c>
      <c r="G251" s="444"/>
      <c r="H251" s="447"/>
      <c r="I251" s="489"/>
      <c r="J251" s="444">
        <v>438</v>
      </c>
      <c r="K251" s="859">
        <v>408</v>
      </c>
      <c r="L251" s="407"/>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c r="AK251" s="478"/>
      <c r="AL251" s="478"/>
      <c r="AM251" s="478"/>
      <c r="AN251" s="478"/>
      <c r="AO251" s="478"/>
      <c r="AP251" s="478"/>
      <c r="AQ251" s="478"/>
      <c r="AR251" s="478"/>
      <c r="AS251" s="478"/>
      <c r="AT251" s="478"/>
      <c r="AU251" s="478"/>
      <c r="AV251" s="478"/>
      <c r="AW251" s="478"/>
      <c r="AX251" s="478"/>
      <c r="AY251" s="478"/>
      <c r="AZ251" s="478"/>
      <c r="BA251" s="478"/>
      <c r="BB251" s="478"/>
      <c r="BC251" s="478"/>
      <c r="BD251" s="478"/>
      <c r="BE251" s="478"/>
      <c r="BF251" s="478"/>
      <c r="BG251" s="478"/>
      <c r="BH251" s="478"/>
      <c r="BI251" s="478"/>
      <c r="BJ251" s="478"/>
      <c r="BK251" s="478"/>
      <c r="BL251" s="478"/>
      <c r="BM251" s="478"/>
      <c r="BN251" s="478"/>
      <c r="BO251" s="478"/>
      <c r="BP251" s="478"/>
      <c r="BQ251" s="478"/>
      <c r="BR251" s="478"/>
      <c r="BS251" s="478"/>
      <c r="BT251" s="478"/>
      <c r="BU251" s="478"/>
      <c r="BV251" s="478"/>
      <c r="BW251" s="478"/>
      <c r="BX251" s="478"/>
      <c r="BY251" s="478"/>
      <c r="BZ251" s="478"/>
      <c r="CA251" s="478"/>
      <c r="CB251" s="478"/>
      <c r="CC251" s="478"/>
      <c r="CD251" s="478"/>
      <c r="CE251" s="478"/>
      <c r="CF251" s="478"/>
      <c r="CG251" s="478"/>
      <c r="CH251" s="478"/>
      <c r="CI251" s="478"/>
      <c r="CJ251" s="478"/>
      <c r="CK251" s="478"/>
      <c r="CL251" s="478"/>
      <c r="CM251" s="478"/>
      <c r="CN251" s="478"/>
      <c r="CO251" s="478"/>
      <c r="CP251" s="478"/>
      <c r="CQ251" s="478"/>
      <c r="CR251" s="478"/>
      <c r="CS251" s="478"/>
      <c r="CT251" s="478"/>
      <c r="CU251" s="478"/>
      <c r="CV251" s="478"/>
      <c r="CW251" s="478"/>
      <c r="CX251" s="478"/>
      <c r="CY251" s="478"/>
      <c r="CZ251" s="478"/>
      <c r="DA251" s="478"/>
      <c r="DB251" s="478"/>
      <c r="DC251" s="478"/>
      <c r="DD251" s="478"/>
      <c r="DE251" s="478"/>
      <c r="DF251" s="478"/>
      <c r="DG251" s="478"/>
      <c r="DH251" s="478"/>
      <c r="DI251" s="478"/>
      <c r="DJ251" s="478"/>
      <c r="DK251" s="478"/>
      <c r="DL251" s="478"/>
      <c r="DM251" s="478"/>
      <c r="DN251" s="478"/>
      <c r="DO251" s="478"/>
      <c r="DP251" s="478"/>
      <c r="DQ251" s="478"/>
      <c r="DR251" s="478"/>
      <c r="DS251" s="478"/>
      <c r="DT251" s="478"/>
      <c r="DU251" s="478"/>
      <c r="DV251" s="478"/>
      <c r="DW251" s="478"/>
      <c r="DX251" s="478"/>
      <c r="DY251" s="478"/>
      <c r="DZ251" s="478"/>
      <c r="EA251" s="478"/>
      <c r="EB251" s="478"/>
      <c r="EC251" s="478"/>
      <c r="ED251" s="478"/>
      <c r="EE251" s="478"/>
      <c r="EF251" s="478"/>
      <c r="EG251" s="478"/>
      <c r="EH251" s="478"/>
      <c r="EI251" s="478"/>
      <c r="EJ251" s="478"/>
      <c r="EK251" s="478"/>
      <c r="EL251" s="478"/>
      <c r="EM251" s="478"/>
      <c r="EN251" s="478"/>
      <c r="EO251" s="478"/>
      <c r="EP251" s="478"/>
      <c r="EQ251" s="478"/>
      <c r="ER251" s="478"/>
      <c r="ES251" s="478"/>
      <c r="ET251" s="478"/>
      <c r="EU251" s="478"/>
      <c r="EV251" s="478"/>
      <c r="EW251" s="478"/>
      <c r="EX251" s="478"/>
      <c r="EY251" s="478"/>
      <c r="EZ251" s="478"/>
      <c r="FA251" s="478"/>
      <c r="FB251" s="478"/>
      <c r="FC251" s="478"/>
      <c r="FD251" s="478"/>
      <c r="FE251" s="478"/>
      <c r="FF251" s="478"/>
      <c r="FG251" s="478"/>
      <c r="FH251" s="478"/>
      <c r="FI251" s="478"/>
      <c r="FJ251" s="478"/>
      <c r="FK251" s="478"/>
      <c r="FL251" s="478"/>
      <c r="FM251" s="478"/>
      <c r="FN251" s="478"/>
      <c r="FO251" s="478"/>
      <c r="FP251" s="478"/>
      <c r="FQ251" s="478"/>
      <c r="FR251" s="478"/>
      <c r="FS251" s="478"/>
      <c r="FT251" s="478"/>
      <c r="FU251" s="478"/>
      <c r="FV251" s="478"/>
      <c r="FW251" s="478"/>
      <c r="FX251" s="478"/>
      <c r="FY251" s="478"/>
      <c r="FZ251" s="478"/>
      <c r="GA251" s="478"/>
      <c r="GB251" s="478"/>
      <c r="GC251" s="478"/>
      <c r="GD251" s="478"/>
      <c r="GE251" s="478"/>
      <c r="GF251" s="478"/>
      <c r="GG251" s="478"/>
      <c r="GH251" s="478"/>
      <c r="GI251" s="478"/>
      <c r="GJ251" s="478"/>
      <c r="GK251" s="478"/>
      <c r="GL251" s="478"/>
      <c r="GM251" s="478"/>
      <c r="GN251" s="478"/>
      <c r="GO251" s="478"/>
      <c r="GP251" s="478"/>
      <c r="GQ251" s="478"/>
      <c r="GR251" s="478"/>
      <c r="GS251" s="478"/>
      <c r="GT251" s="478"/>
      <c r="GU251" s="478"/>
      <c r="GV251" s="478"/>
      <c r="GW251" s="478"/>
      <c r="GX251" s="478"/>
      <c r="GY251" s="478"/>
      <c r="GZ251" s="478"/>
      <c r="HA251" s="478"/>
      <c r="HB251" s="478"/>
      <c r="HC251" s="478"/>
      <c r="HD251" s="478"/>
      <c r="HE251" s="478"/>
      <c r="HF251" s="478"/>
      <c r="HG251" s="478"/>
      <c r="HH251" s="478"/>
      <c r="HI251" s="478"/>
      <c r="HJ251" s="478"/>
      <c r="HK251" s="478"/>
      <c r="HL251" s="478"/>
      <c r="HM251" s="478"/>
      <c r="HN251" s="478"/>
      <c r="HO251" s="478"/>
      <c r="HP251" s="478"/>
      <c r="HQ251" s="478"/>
      <c r="HR251" s="478"/>
      <c r="HS251" s="478"/>
      <c r="HT251" s="478"/>
      <c r="HU251" s="478"/>
      <c r="HV251" s="478"/>
      <c r="HW251" s="478"/>
      <c r="HX251" s="478"/>
      <c r="HY251" s="478"/>
      <c r="HZ251" s="478"/>
      <c r="IA251" s="478"/>
      <c r="IB251" s="478"/>
      <c r="IC251" s="478"/>
      <c r="ID251" s="478"/>
      <c r="IE251" s="478"/>
      <c r="IF251" s="478"/>
      <c r="IG251" s="478"/>
      <c r="IH251" s="478"/>
      <c r="II251" s="478"/>
      <c r="IJ251" s="478"/>
      <c r="IK251" s="478"/>
      <c r="IL251" s="478"/>
      <c r="IM251" s="478"/>
      <c r="IN251" s="478"/>
      <c r="IO251" s="478"/>
      <c r="IP251" s="478"/>
      <c r="IQ251" s="478"/>
      <c r="IR251" s="478"/>
      <c r="IS251" s="478"/>
    </row>
    <row r="252" spans="1:253" ht="17.25">
      <c r="A252" s="606">
        <v>238</v>
      </c>
      <c r="B252" s="923"/>
      <c r="C252" s="913">
        <v>10</v>
      </c>
      <c r="D252" s="419" t="s">
        <v>1368</v>
      </c>
      <c r="E252" s="420" t="s">
        <v>781</v>
      </c>
      <c r="F252" s="444">
        <f t="shared" si="5"/>
        <v>1088</v>
      </c>
      <c r="G252" s="444"/>
      <c r="H252" s="447"/>
      <c r="I252" s="489"/>
      <c r="J252" s="444">
        <v>1088</v>
      </c>
      <c r="K252" s="859">
        <v>1087</v>
      </c>
      <c r="L252" s="407"/>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c r="AK252" s="478"/>
      <c r="AL252" s="478"/>
      <c r="AM252" s="478"/>
      <c r="AN252" s="478"/>
      <c r="AO252" s="478"/>
      <c r="AP252" s="478"/>
      <c r="AQ252" s="478"/>
      <c r="AR252" s="478"/>
      <c r="AS252" s="478"/>
      <c r="AT252" s="478"/>
      <c r="AU252" s="478"/>
      <c r="AV252" s="478"/>
      <c r="AW252" s="478"/>
      <c r="AX252" s="478"/>
      <c r="AY252" s="478"/>
      <c r="AZ252" s="478"/>
      <c r="BA252" s="478"/>
      <c r="BB252" s="478"/>
      <c r="BC252" s="478"/>
      <c r="BD252" s="478"/>
      <c r="BE252" s="478"/>
      <c r="BF252" s="478"/>
      <c r="BG252" s="478"/>
      <c r="BH252" s="478"/>
      <c r="BI252" s="478"/>
      <c r="BJ252" s="478"/>
      <c r="BK252" s="478"/>
      <c r="BL252" s="478"/>
      <c r="BM252" s="478"/>
      <c r="BN252" s="478"/>
      <c r="BO252" s="478"/>
      <c r="BP252" s="478"/>
      <c r="BQ252" s="478"/>
      <c r="BR252" s="478"/>
      <c r="BS252" s="478"/>
      <c r="BT252" s="478"/>
      <c r="BU252" s="478"/>
      <c r="BV252" s="478"/>
      <c r="BW252" s="478"/>
      <c r="BX252" s="478"/>
      <c r="BY252" s="478"/>
      <c r="BZ252" s="478"/>
      <c r="CA252" s="478"/>
      <c r="CB252" s="478"/>
      <c r="CC252" s="478"/>
      <c r="CD252" s="478"/>
      <c r="CE252" s="478"/>
      <c r="CF252" s="478"/>
      <c r="CG252" s="478"/>
      <c r="CH252" s="478"/>
      <c r="CI252" s="478"/>
      <c r="CJ252" s="478"/>
      <c r="CK252" s="478"/>
      <c r="CL252" s="478"/>
      <c r="CM252" s="478"/>
      <c r="CN252" s="478"/>
      <c r="CO252" s="478"/>
      <c r="CP252" s="478"/>
      <c r="CQ252" s="478"/>
      <c r="CR252" s="478"/>
      <c r="CS252" s="478"/>
      <c r="CT252" s="478"/>
      <c r="CU252" s="478"/>
      <c r="CV252" s="478"/>
      <c r="CW252" s="478"/>
      <c r="CX252" s="478"/>
      <c r="CY252" s="478"/>
      <c r="CZ252" s="478"/>
      <c r="DA252" s="478"/>
      <c r="DB252" s="478"/>
      <c r="DC252" s="478"/>
      <c r="DD252" s="478"/>
      <c r="DE252" s="478"/>
      <c r="DF252" s="478"/>
      <c r="DG252" s="478"/>
      <c r="DH252" s="478"/>
      <c r="DI252" s="478"/>
      <c r="DJ252" s="478"/>
      <c r="DK252" s="478"/>
      <c r="DL252" s="478"/>
      <c r="DM252" s="478"/>
      <c r="DN252" s="478"/>
      <c r="DO252" s="478"/>
      <c r="DP252" s="478"/>
      <c r="DQ252" s="478"/>
      <c r="DR252" s="478"/>
      <c r="DS252" s="478"/>
      <c r="DT252" s="478"/>
      <c r="DU252" s="478"/>
      <c r="DV252" s="478"/>
      <c r="DW252" s="478"/>
      <c r="DX252" s="478"/>
      <c r="DY252" s="478"/>
      <c r="DZ252" s="478"/>
      <c r="EA252" s="478"/>
      <c r="EB252" s="478"/>
      <c r="EC252" s="478"/>
      <c r="ED252" s="478"/>
      <c r="EE252" s="478"/>
      <c r="EF252" s="478"/>
      <c r="EG252" s="478"/>
      <c r="EH252" s="478"/>
      <c r="EI252" s="478"/>
      <c r="EJ252" s="478"/>
      <c r="EK252" s="478"/>
      <c r="EL252" s="478"/>
      <c r="EM252" s="478"/>
      <c r="EN252" s="478"/>
      <c r="EO252" s="478"/>
      <c r="EP252" s="478"/>
      <c r="EQ252" s="478"/>
      <c r="ER252" s="478"/>
      <c r="ES252" s="478"/>
      <c r="ET252" s="478"/>
      <c r="EU252" s="478"/>
      <c r="EV252" s="478"/>
      <c r="EW252" s="478"/>
      <c r="EX252" s="478"/>
      <c r="EY252" s="478"/>
      <c r="EZ252" s="478"/>
      <c r="FA252" s="478"/>
      <c r="FB252" s="478"/>
      <c r="FC252" s="478"/>
      <c r="FD252" s="478"/>
      <c r="FE252" s="478"/>
      <c r="FF252" s="478"/>
      <c r="FG252" s="478"/>
      <c r="FH252" s="478"/>
      <c r="FI252" s="478"/>
      <c r="FJ252" s="478"/>
      <c r="FK252" s="478"/>
      <c r="FL252" s="478"/>
      <c r="FM252" s="478"/>
      <c r="FN252" s="478"/>
      <c r="FO252" s="478"/>
      <c r="FP252" s="478"/>
      <c r="FQ252" s="478"/>
      <c r="FR252" s="478"/>
      <c r="FS252" s="478"/>
      <c r="FT252" s="478"/>
      <c r="FU252" s="478"/>
      <c r="FV252" s="478"/>
      <c r="FW252" s="478"/>
      <c r="FX252" s="478"/>
      <c r="FY252" s="478"/>
      <c r="FZ252" s="478"/>
      <c r="GA252" s="478"/>
      <c r="GB252" s="478"/>
      <c r="GC252" s="478"/>
      <c r="GD252" s="478"/>
      <c r="GE252" s="478"/>
      <c r="GF252" s="478"/>
      <c r="GG252" s="478"/>
      <c r="GH252" s="478"/>
      <c r="GI252" s="478"/>
      <c r="GJ252" s="478"/>
      <c r="GK252" s="478"/>
      <c r="GL252" s="478"/>
      <c r="GM252" s="478"/>
      <c r="GN252" s="478"/>
      <c r="GO252" s="478"/>
      <c r="GP252" s="478"/>
      <c r="GQ252" s="478"/>
      <c r="GR252" s="478"/>
      <c r="GS252" s="478"/>
      <c r="GT252" s="478"/>
      <c r="GU252" s="478"/>
      <c r="GV252" s="478"/>
      <c r="GW252" s="478"/>
      <c r="GX252" s="478"/>
      <c r="GY252" s="478"/>
      <c r="GZ252" s="478"/>
      <c r="HA252" s="478"/>
      <c r="HB252" s="478"/>
      <c r="HC252" s="478"/>
      <c r="HD252" s="478"/>
      <c r="HE252" s="478"/>
      <c r="HF252" s="478"/>
      <c r="HG252" s="478"/>
      <c r="HH252" s="478"/>
      <c r="HI252" s="478"/>
      <c r="HJ252" s="478"/>
      <c r="HK252" s="478"/>
      <c r="HL252" s="478"/>
      <c r="HM252" s="478"/>
      <c r="HN252" s="478"/>
      <c r="HO252" s="478"/>
      <c r="HP252" s="478"/>
      <c r="HQ252" s="478"/>
      <c r="HR252" s="478"/>
      <c r="HS252" s="478"/>
      <c r="HT252" s="478"/>
      <c r="HU252" s="478"/>
      <c r="HV252" s="478"/>
      <c r="HW252" s="478"/>
      <c r="HX252" s="478"/>
      <c r="HY252" s="478"/>
      <c r="HZ252" s="478"/>
      <c r="IA252" s="478"/>
      <c r="IB252" s="478"/>
      <c r="IC252" s="478"/>
      <c r="ID252" s="478"/>
      <c r="IE252" s="478"/>
      <c r="IF252" s="478"/>
      <c r="IG252" s="478"/>
      <c r="IH252" s="478"/>
      <c r="II252" s="478"/>
      <c r="IJ252" s="478"/>
      <c r="IK252" s="478"/>
      <c r="IL252" s="478"/>
      <c r="IM252" s="478"/>
      <c r="IN252" s="478"/>
      <c r="IO252" s="478"/>
      <c r="IP252" s="478"/>
      <c r="IQ252" s="478"/>
      <c r="IR252" s="478"/>
      <c r="IS252" s="478"/>
    </row>
    <row r="253" spans="1:253" ht="17.25">
      <c r="A253" s="606">
        <v>239</v>
      </c>
      <c r="B253" s="923"/>
      <c r="C253" s="913">
        <v>11</v>
      </c>
      <c r="D253" s="419" t="s">
        <v>1369</v>
      </c>
      <c r="E253" s="420" t="s">
        <v>781</v>
      </c>
      <c r="F253" s="444">
        <f t="shared" si="5"/>
        <v>267</v>
      </c>
      <c r="G253" s="444"/>
      <c r="H253" s="447"/>
      <c r="I253" s="489"/>
      <c r="J253" s="444">
        <v>267</v>
      </c>
      <c r="K253" s="859">
        <v>267</v>
      </c>
      <c r="L253" s="407"/>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78"/>
      <c r="AY253" s="478"/>
      <c r="AZ253" s="478"/>
      <c r="BA253" s="478"/>
      <c r="BB253" s="478"/>
      <c r="BC253" s="478"/>
      <c r="BD253" s="478"/>
      <c r="BE253" s="478"/>
      <c r="BF253" s="478"/>
      <c r="BG253" s="478"/>
      <c r="BH253" s="478"/>
      <c r="BI253" s="478"/>
      <c r="BJ253" s="478"/>
      <c r="BK253" s="478"/>
      <c r="BL253" s="478"/>
      <c r="BM253" s="478"/>
      <c r="BN253" s="478"/>
      <c r="BO253" s="478"/>
      <c r="BP253" s="478"/>
      <c r="BQ253" s="478"/>
      <c r="BR253" s="478"/>
      <c r="BS253" s="478"/>
      <c r="BT253" s="478"/>
      <c r="BU253" s="478"/>
      <c r="BV253" s="478"/>
      <c r="BW253" s="478"/>
      <c r="BX253" s="478"/>
      <c r="BY253" s="478"/>
      <c r="BZ253" s="478"/>
      <c r="CA253" s="478"/>
      <c r="CB253" s="478"/>
      <c r="CC253" s="478"/>
      <c r="CD253" s="478"/>
      <c r="CE253" s="478"/>
      <c r="CF253" s="478"/>
      <c r="CG253" s="478"/>
      <c r="CH253" s="478"/>
      <c r="CI253" s="478"/>
      <c r="CJ253" s="478"/>
      <c r="CK253" s="478"/>
      <c r="CL253" s="478"/>
      <c r="CM253" s="478"/>
      <c r="CN253" s="478"/>
      <c r="CO253" s="478"/>
      <c r="CP253" s="478"/>
      <c r="CQ253" s="478"/>
      <c r="CR253" s="478"/>
      <c r="CS253" s="478"/>
      <c r="CT253" s="478"/>
      <c r="CU253" s="478"/>
      <c r="CV253" s="478"/>
      <c r="CW253" s="478"/>
      <c r="CX253" s="478"/>
      <c r="CY253" s="478"/>
      <c r="CZ253" s="478"/>
      <c r="DA253" s="478"/>
      <c r="DB253" s="478"/>
      <c r="DC253" s="478"/>
      <c r="DD253" s="478"/>
      <c r="DE253" s="478"/>
      <c r="DF253" s="478"/>
      <c r="DG253" s="478"/>
      <c r="DH253" s="478"/>
      <c r="DI253" s="478"/>
      <c r="DJ253" s="478"/>
      <c r="DK253" s="478"/>
      <c r="DL253" s="478"/>
      <c r="DM253" s="478"/>
      <c r="DN253" s="478"/>
      <c r="DO253" s="478"/>
      <c r="DP253" s="478"/>
      <c r="DQ253" s="478"/>
      <c r="DR253" s="478"/>
      <c r="DS253" s="478"/>
      <c r="DT253" s="478"/>
      <c r="DU253" s="478"/>
      <c r="DV253" s="478"/>
      <c r="DW253" s="478"/>
      <c r="DX253" s="478"/>
      <c r="DY253" s="478"/>
      <c r="DZ253" s="478"/>
      <c r="EA253" s="478"/>
      <c r="EB253" s="478"/>
      <c r="EC253" s="478"/>
      <c r="ED253" s="478"/>
      <c r="EE253" s="478"/>
      <c r="EF253" s="478"/>
      <c r="EG253" s="478"/>
      <c r="EH253" s="478"/>
      <c r="EI253" s="478"/>
      <c r="EJ253" s="478"/>
      <c r="EK253" s="478"/>
      <c r="EL253" s="478"/>
      <c r="EM253" s="478"/>
      <c r="EN253" s="478"/>
      <c r="EO253" s="478"/>
      <c r="EP253" s="478"/>
      <c r="EQ253" s="478"/>
      <c r="ER253" s="478"/>
      <c r="ES253" s="478"/>
      <c r="ET253" s="478"/>
      <c r="EU253" s="478"/>
      <c r="EV253" s="478"/>
      <c r="EW253" s="478"/>
      <c r="EX253" s="478"/>
      <c r="EY253" s="478"/>
      <c r="EZ253" s="478"/>
      <c r="FA253" s="478"/>
      <c r="FB253" s="478"/>
      <c r="FC253" s="478"/>
      <c r="FD253" s="478"/>
      <c r="FE253" s="478"/>
      <c r="FF253" s="478"/>
      <c r="FG253" s="478"/>
      <c r="FH253" s="478"/>
      <c r="FI253" s="478"/>
      <c r="FJ253" s="478"/>
      <c r="FK253" s="478"/>
      <c r="FL253" s="478"/>
      <c r="FM253" s="478"/>
      <c r="FN253" s="478"/>
      <c r="FO253" s="478"/>
      <c r="FP253" s="478"/>
      <c r="FQ253" s="478"/>
      <c r="FR253" s="478"/>
      <c r="FS253" s="478"/>
      <c r="FT253" s="478"/>
      <c r="FU253" s="478"/>
      <c r="FV253" s="478"/>
      <c r="FW253" s="478"/>
      <c r="FX253" s="478"/>
      <c r="FY253" s="478"/>
      <c r="FZ253" s="478"/>
      <c r="GA253" s="478"/>
      <c r="GB253" s="478"/>
      <c r="GC253" s="478"/>
      <c r="GD253" s="478"/>
      <c r="GE253" s="478"/>
      <c r="GF253" s="478"/>
      <c r="GG253" s="478"/>
      <c r="GH253" s="478"/>
      <c r="GI253" s="478"/>
      <c r="GJ253" s="478"/>
      <c r="GK253" s="478"/>
      <c r="GL253" s="478"/>
      <c r="GM253" s="478"/>
      <c r="GN253" s="478"/>
      <c r="GO253" s="478"/>
      <c r="GP253" s="478"/>
      <c r="GQ253" s="478"/>
      <c r="GR253" s="478"/>
      <c r="GS253" s="478"/>
      <c r="GT253" s="478"/>
      <c r="GU253" s="478"/>
      <c r="GV253" s="478"/>
      <c r="GW253" s="478"/>
      <c r="GX253" s="478"/>
      <c r="GY253" s="478"/>
      <c r="GZ253" s="478"/>
      <c r="HA253" s="478"/>
      <c r="HB253" s="478"/>
      <c r="HC253" s="478"/>
      <c r="HD253" s="478"/>
      <c r="HE253" s="478"/>
      <c r="HF253" s="478"/>
      <c r="HG253" s="478"/>
      <c r="HH253" s="478"/>
      <c r="HI253" s="478"/>
      <c r="HJ253" s="478"/>
      <c r="HK253" s="478"/>
      <c r="HL253" s="478"/>
      <c r="HM253" s="478"/>
      <c r="HN253" s="478"/>
      <c r="HO253" s="478"/>
      <c r="HP253" s="478"/>
      <c r="HQ253" s="478"/>
      <c r="HR253" s="478"/>
      <c r="HS253" s="478"/>
      <c r="HT253" s="478"/>
      <c r="HU253" s="478"/>
      <c r="HV253" s="478"/>
      <c r="HW253" s="478"/>
      <c r="HX253" s="478"/>
      <c r="HY253" s="478"/>
      <c r="HZ253" s="478"/>
      <c r="IA253" s="478"/>
      <c r="IB253" s="478"/>
      <c r="IC253" s="478"/>
      <c r="ID253" s="478"/>
      <c r="IE253" s="478"/>
      <c r="IF253" s="478"/>
      <c r="IG253" s="478"/>
      <c r="IH253" s="478"/>
      <c r="II253" s="478"/>
      <c r="IJ253" s="478"/>
      <c r="IK253" s="478"/>
      <c r="IL253" s="478"/>
      <c r="IM253" s="478"/>
      <c r="IN253" s="478"/>
      <c r="IO253" s="478"/>
      <c r="IP253" s="478"/>
      <c r="IQ253" s="478"/>
      <c r="IR253" s="478"/>
      <c r="IS253" s="478"/>
    </row>
    <row r="254" spans="1:253" ht="17.25">
      <c r="A254" s="606">
        <v>240</v>
      </c>
      <c r="B254" s="923"/>
      <c r="C254" s="913">
        <v>12</v>
      </c>
      <c r="D254" s="419" t="s">
        <v>1370</v>
      </c>
      <c r="E254" s="420" t="s">
        <v>781</v>
      </c>
      <c r="F254" s="444">
        <f t="shared" si="5"/>
        <v>7500</v>
      </c>
      <c r="G254" s="444"/>
      <c r="H254" s="447"/>
      <c r="I254" s="489"/>
      <c r="J254" s="444">
        <v>7500</v>
      </c>
      <c r="K254" s="859">
        <v>7032</v>
      </c>
      <c r="L254" s="407"/>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c r="AK254" s="478"/>
      <c r="AL254" s="478"/>
      <c r="AM254" s="478"/>
      <c r="AN254" s="478"/>
      <c r="AO254" s="478"/>
      <c r="AP254" s="478"/>
      <c r="AQ254" s="478"/>
      <c r="AR254" s="478"/>
      <c r="AS254" s="478"/>
      <c r="AT254" s="478"/>
      <c r="AU254" s="478"/>
      <c r="AV254" s="478"/>
      <c r="AW254" s="478"/>
      <c r="AX254" s="478"/>
      <c r="AY254" s="478"/>
      <c r="AZ254" s="478"/>
      <c r="BA254" s="478"/>
      <c r="BB254" s="478"/>
      <c r="BC254" s="478"/>
      <c r="BD254" s="478"/>
      <c r="BE254" s="478"/>
      <c r="BF254" s="478"/>
      <c r="BG254" s="478"/>
      <c r="BH254" s="478"/>
      <c r="BI254" s="478"/>
      <c r="BJ254" s="478"/>
      <c r="BK254" s="478"/>
      <c r="BL254" s="478"/>
      <c r="BM254" s="478"/>
      <c r="BN254" s="478"/>
      <c r="BO254" s="478"/>
      <c r="BP254" s="478"/>
      <c r="BQ254" s="478"/>
      <c r="BR254" s="478"/>
      <c r="BS254" s="478"/>
      <c r="BT254" s="478"/>
      <c r="BU254" s="478"/>
      <c r="BV254" s="478"/>
      <c r="BW254" s="478"/>
      <c r="BX254" s="478"/>
      <c r="BY254" s="478"/>
      <c r="BZ254" s="478"/>
      <c r="CA254" s="478"/>
      <c r="CB254" s="478"/>
      <c r="CC254" s="478"/>
      <c r="CD254" s="478"/>
      <c r="CE254" s="478"/>
      <c r="CF254" s="478"/>
      <c r="CG254" s="478"/>
      <c r="CH254" s="478"/>
      <c r="CI254" s="478"/>
      <c r="CJ254" s="478"/>
      <c r="CK254" s="478"/>
      <c r="CL254" s="478"/>
      <c r="CM254" s="478"/>
      <c r="CN254" s="478"/>
      <c r="CO254" s="478"/>
      <c r="CP254" s="478"/>
      <c r="CQ254" s="478"/>
      <c r="CR254" s="478"/>
      <c r="CS254" s="478"/>
      <c r="CT254" s="478"/>
      <c r="CU254" s="478"/>
      <c r="CV254" s="478"/>
      <c r="CW254" s="478"/>
      <c r="CX254" s="478"/>
      <c r="CY254" s="478"/>
      <c r="CZ254" s="478"/>
      <c r="DA254" s="478"/>
      <c r="DB254" s="478"/>
      <c r="DC254" s="478"/>
      <c r="DD254" s="478"/>
      <c r="DE254" s="478"/>
      <c r="DF254" s="478"/>
      <c r="DG254" s="478"/>
      <c r="DH254" s="478"/>
      <c r="DI254" s="478"/>
      <c r="DJ254" s="478"/>
      <c r="DK254" s="478"/>
      <c r="DL254" s="478"/>
      <c r="DM254" s="478"/>
      <c r="DN254" s="478"/>
      <c r="DO254" s="478"/>
      <c r="DP254" s="478"/>
      <c r="DQ254" s="478"/>
      <c r="DR254" s="478"/>
      <c r="DS254" s="478"/>
      <c r="DT254" s="478"/>
      <c r="DU254" s="478"/>
      <c r="DV254" s="478"/>
      <c r="DW254" s="478"/>
      <c r="DX254" s="478"/>
      <c r="DY254" s="478"/>
      <c r="DZ254" s="478"/>
      <c r="EA254" s="478"/>
      <c r="EB254" s="478"/>
      <c r="EC254" s="478"/>
      <c r="ED254" s="478"/>
      <c r="EE254" s="478"/>
      <c r="EF254" s="478"/>
      <c r="EG254" s="478"/>
      <c r="EH254" s="478"/>
      <c r="EI254" s="478"/>
      <c r="EJ254" s="478"/>
      <c r="EK254" s="478"/>
      <c r="EL254" s="478"/>
      <c r="EM254" s="478"/>
      <c r="EN254" s="478"/>
      <c r="EO254" s="478"/>
      <c r="EP254" s="478"/>
      <c r="EQ254" s="478"/>
      <c r="ER254" s="478"/>
      <c r="ES254" s="478"/>
      <c r="ET254" s="478"/>
      <c r="EU254" s="478"/>
      <c r="EV254" s="478"/>
      <c r="EW254" s="478"/>
      <c r="EX254" s="478"/>
      <c r="EY254" s="478"/>
      <c r="EZ254" s="478"/>
      <c r="FA254" s="478"/>
      <c r="FB254" s="478"/>
      <c r="FC254" s="478"/>
      <c r="FD254" s="478"/>
      <c r="FE254" s="478"/>
      <c r="FF254" s="478"/>
      <c r="FG254" s="478"/>
      <c r="FH254" s="478"/>
      <c r="FI254" s="478"/>
      <c r="FJ254" s="478"/>
      <c r="FK254" s="478"/>
      <c r="FL254" s="478"/>
      <c r="FM254" s="478"/>
      <c r="FN254" s="478"/>
      <c r="FO254" s="478"/>
      <c r="FP254" s="478"/>
      <c r="FQ254" s="478"/>
      <c r="FR254" s="478"/>
      <c r="FS254" s="478"/>
      <c r="FT254" s="478"/>
      <c r="FU254" s="478"/>
      <c r="FV254" s="478"/>
      <c r="FW254" s="478"/>
      <c r="FX254" s="478"/>
      <c r="FY254" s="478"/>
      <c r="FZ254" s="478"/>
      <c r="GA254" s="478"/>
      <c r="GB254" s="478"/>
      <c r="GC254" s="478"/>
      <c r="GD254" s="478"/>
      <c r="GE254" s="478"/>
      <c r="GF254" s="478"/>
      <c r="GG254" s="478"/>
      <c r="GH254" s="478"/>
      <c r="GI254" s="478"/>
      <c r="GJ254" s="478"/>
      <c r="GK254" s="478"/>
      <c r="GL254" s="478"/>
      <c r="GM254" s="478"/>
      <c r="GN254" s="478"/>
      <c r="GO254" s="478"/>
      <c r="GP254" s="478"/>
      <c r="GQ254" s="478"/>
      <c r="GR254" s="478"/>
      <c r="GS254" s="478"/>
      <c r="GT254" s="478"/>
      <c r="GU254" s="478"/>
      <c r="GV254" s="478"/>
      <c r="GW254" s="478"/>
      <c r="GX254" s="478"/>
      <c r="GY254" s="478"/>
      <c r="GZ254" s="478"/>
      <c r="HA254" s="478"/>
      <c r="HB254" s="478"/>
      <c r="HC254" s="478"/>
      <c r="HD254" s="478"/>
      <c r="HE254" s="478"/>
      <c r="HF254" s="478"/>
      <c r="HG254" s="478"/>
      <c r="HH254" s="478"/>
      <c r="HI254" s="478"/>
      <c r="HJ254" s="478"/>
      <c r="HK254" s="478"/>
      <c r="HL254" s="478"/>
      <c r="HM254" s="478"/>
      <c r="HN254" s="478"/>
      <c r="HO254" s="478"/>
      <c r="HP254" s="478"/>
      <c r="HQ254" s="478"/>
      <c r="HR254" s="478"/>
      <c r="HS254" s="478"/>
      <c r="HT254" s="478"/>
      <c r="HU254" s="478"/>
      <c r="HV254" s="478"/>
      <c r="HW254" s="478"/>
      <c r="HX254" s="478"/>
      <c r="HY254" s="478"/>
      <c r="HZ254" s="478"/>
      <c r="IA254" s="478"/>
      <c r="IB254" s="478"/>
      <c r="IC254" s="478"/>
      <c r="ID254" s="478"/>
      <c r="IE254" s="478"/>
      <c r="IF254" s="478"/>
      <c r="IG254" s="478"/>
      <c r="IH254" s="478"/>
      <c r="II254" s="478"/>
      <c r="IJ254" s="478"/>
      <c r="IK254" s="478"/>
      <c r="IL254" s="478"/>
      <c r="IM254" s="478"/>
      <c r="IN254" s="478"/>
      <c r="IO254" s="478"/>
      <c r="IP254" s="478"/>
      <c r="IQ254" s="478"/>
      <c r="IR254" s="478"/>
      <c r="IS254" s="478"/>
    </row>
    <row r="255" spans="1:253" ht="17.25">
      <c r="A255" s="606">
        <v>241</v>
      </c>
      <c r="B255" s="923"/>
      <c r="C255" s="913">
        <v>13</v>
      </c>
      <c r="D255" s="419" t="s">
        <v>1371</v>
      </c>
      <c r="E255" s="420" t="s">
        <v>781</v>
      </c>
      <c r="F255" s="444">
        <f t="shared" si="5"/>
        <v>800</v>
      </c>
      <c r="G255" s="444"/>
      <c r="H255" s="447"/>
      <c r="I255" s="489"/>
      <c r="J255" s="444">
        <v>800</v>
      </c>
      <c r="K255" s="859"/>
      <c r="L255" s="407"/>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c r="AK255" s="478"/>
      <c r="AL255" s="478"/>
      <c r="AM255" s="478"/>
      <c r="AN255" s="478"/>
      <c r="AO255" s="478"/>
      <c r="AP255" s="478"/>
      <c r="AQ255" s="478"/>
      <c r="AR255" s="478"/>
      <c r="AS255" s="478"/>
      <c r="AT255" s="478"/>
      <c r="AU255" s="478"/>
      <c r="AV255" s="478"/>
      <c r="AW255" s="478"/>
      <c r="AX255" s="478"/>
      <c r="AY255" s="478"/>
      <c r="AZ255" s="478"/>
      <c r="BA255" s="478"/>
      <c r="BB255" s="478"/>
      <c r="BC255" s="478"/>
      <c r="BD255" s="478"/>
      <c r="BE255" s="478"/>
      <c r="BF255" s="478"/>
      <c r="BG255" s="478"/>
      <c r="BH255" s="478"/>
      <c r="BI255" s="478"/>
      <c r="BJ255" s="478"/>
      <c r="BK255" s="478"/>
      <c r="BL255" s="478"/>
      <c r="BM255" s="478"/>
      <c r="BN255" s="478"/>
      <c r="BO255" s="478"/>
      <c r="BP255" s="478"/>
      <c r="BQ255" s="478"/>
      <c r="BR255" s="478"/>
      <c r="BS255" s="478"/>
      <c r="BT255" s="478"/>
      <c r="BU255" s="478"/>
      <c r="BV255" s="478"/>
      <c r="BW255" s="478"/>
      <c r="BX255" s="478"/>
      <c r="BY255" s="478"/>
      <c r="BZ255" s="478"/>
      <c r="CA255" s="478"/>
      <c r="CB255" s="478"/>
      <c r="CC255" s="478"/>
      <c r="CD255" s="478"/>
      <c r="CE255" s="478"/>
      <c r="CF255" s="478"/>
      <c r="CG255" s="478"/>
      <c r="CH255" s="478"/>
      <c r="CI255" s="478"/>
      <c r="CJ255" s="478"/>
      <c r="CK255" s="478"/>
      <c r="CL255" s="478"/>
      <c r="CM255" s="478"/>
      <c r="CN255" s="478"/>
      <c r="CO255" s="478"/>
      <c r="CP255" s="478"/>
      <c r="CQ255" s="478"/>
      <c r="CR255" s="478"/>
      <c r="CS255" s="478"/>
      <c r="CT255" s="478"/>
      <c r="CU255" s="478"/>
      <c r="CV255" s="478"/>
      <c r="CW255" s="478"/>
      <c r="CX255" s="478"/>
      <c r="CY255" s="478"/>
      <c r="CZ255" s="478"/>
      <c r="DA255" s="478"/>
      <c r="DB255" s="478"/>
      <c r="DC255" s="478"/>
      <c r="DD255" s="478"/>
      <c r="DE255" s="478"/>
      <c r="DF255" s="478"/>
      <c r="DG255" s="478"/>
      <c r="DH255" s="478"/>
      <c r="DI255" s="478"/>
      <c r="DJ255" s="478"/>
      <c r="DK255" s="478"/>
      <c r="DL255" s="478"/>
      <c r="DM255" s="478"/>
      <c r="DN255" s="478"/>
      <c r="DO255" s="478"/>
      <c r="DP255" s="478"/>
      <c r="DQ255" s="478"/>
      <c r="DR255" s="478"/>
      <c r="DS255" s="478"/>
      <c r="DT255" s="478"/>
      <c r="DU255" s="478"/>
      <c r="DV255" s="478"/>
      <c r="DW255" s="478"/>
      <c r="DX255" s="478"/>
      <c r="DY255" s="478"/>
      <c r="DZ255" s="478"/>
      <c r="EA255" s="478"/>
      <c r="EB255" s="478"/>
      <c r="EC255" s="478"/>
      <c r="ED255" s="478"/>
      <c r="EE255" s="478"/>
      <c r="EF255" s="478"/>
      <c r="EG255" s="478"/>
      <c r="EH255" s="478"/>
      <c r="EI255" s="478"/>
      <c r="EJ255" s="478"/>
      <c r="EK255" s="478"/>
      <c r="EL255" s="478"/>
      <c r="EM255" s="478"/>
      <c r="EN255" s="478"/>
      <c r="EO255" s="478"/>
      <c r="EP255" s="478"/>
      <c r="EQ255" s="478"/>
      <c r="ER255" s="478"/>
      <c r="ES255" s="478"/>
      <c r="ET255" s="478"/>
      <c r="EU255" s="478"/>
      <c r="EV255" s="478"/>
      <c r="EW255" s="478"/>
      <c r="EX255" s="478"/>
      <c r="EY255" s="478"/>
      <c r="EZ255" s="478"/>
      <c r="FA255" s="478"/>
      <c r="FB255" s="478"/>
      <c r="FC255" s="478"/>
      <c r="FD255" s="478"/>
      <c r="FE255" s="478"/>
      <c r="FF255" s="478"/>
      <c r="FG255" s="478"/>
      <c r="FH255" s="478"/>
      <c r="FI255" s="478"/>
      <c r="FJ255" s="478"/>
      <c r="FK255" s="478"/>
      <c r="FL255" s="478"/>
      <c r="FM255" s="478"/>
      <c r="FN255" s="478"/>
      <c r="FO255" s="478"/>
      <c r="FP255" s="478"/>
      <c r="FQ255" s="478"/>
      <c r="FR255" s="478"/>
      <c r="FS255" s="478"/>
      <c r="FT255" s="478"/>
      <c r="FU255" s="478"/>
      <c r="FV255" s="478"/>
      <c r="FW255" s="478"/>
      <c r="FX255" s="478"/>
      <c r="FY255" s="478"/>
      <c r="FZ255" s="478"/>
      <c r="GA255" s="478"/>
      <c r="GB255" s="478"/>
      <c r="GC255" s="478"/>
      <c r="GD255" s="478"/>
      <c r="GE255" s="478"/>
      <c r="GF255" s="478"/>
      <c r="GG255" s="478"/>
      <c r="GH255" s="478"/>
      <c r="GI255" s="478"/>
      <c r="GJ255" s="478"/>
      <c r="GK255" s="478"/>
      <c r="GL255" s="478"/>
      <c r="GM255" s="478"/>
      <c r="GN255" s="478"/>
      <c r="GO255" s="478"/>
      <c r="GP255" s="478"/>
      <c r="GQ255" s="478"/>
      <c r="GR255" s="478"/>
      <c r="GS255" s="478"/>
      <c r="GT255" s="478"/>
      <c r="GU255" s="478"/>
      <c r="GV255" s="478"/>
      <c r="GW255" s="478"/>
      <c r="GX255" s="478"/>
      <c r="GY255" s="478"/>
      <c r="GZ255" s="478"/>
      <c r="HA255" s="478"/>
      <c r="HB255" s="478"/>
      <c r="HC255" s="478"/>
      <c r="HD255" s="478"/>
      <c r="HE255" s="478"/>
      <c r="HF255" s="478"/>
      <c r="HG255" s="478"/>
      <c r="HH255" s="478"/>
      <c r="HI255" s="478"/>
      <c r="HJ255" s="478"/>
      <c r="HK255" s="478"/>
      <c r="HL255" s="478"/>
      <c r="HM255" s="478"/>
      <c r="HN255" s="478"/>
      <c r="HO255" s="478"/>
      <c r="HP255" s="478"/>
      <c r="HQ255" s="478"/>
      <c r="HR255" s="478"/>
      <c r="HS255" s="478"/>
      <c r="HT255" s="478"/>
      <c r="HU255" s="478"/>
      <c r="HV255" s="478"/>
      <c r="HW255" s="478"/>
      <c r="HX255" s="478"/>
      <c r="HY255" s="478"/>
      <c r="HZ255" s="478"/>
      <c r="IA255" s="478"/>
      <c r="IB255" s="478"/>
      <c r="IC255" s="478"/>
      <c r="ID255" s="478"/>
      <c r="IE255" s="478"/>
      <c r="IF255" s="478"/>
      <c r="IG255" s="478"/>
      <c r="IH255" s="478"/>
      <c r="II255" s="478"/>
      <c r="IJ255" s="478"/>
      <c r="IK255" s="478"/>
      <c r="IL255" s="478"/>
      <c r="IM255" s="478"/>
      <c r="IN255" s="478"/>
      <c r="IO255" s="478"/>
      <c r="IP255" s="478"/>
      <c r="IQ255" s="478"/>
      <c r="IR255" s="478"/>
      <c r="IS255" s="478"/>
    </row>
    <row r="256" spans="1:253" ht="17.25">
      <c r="A256" s="606">
        <v>242</v>
      </c>
      <c r="B256" s="923"/>
      <c r="C256" s="913">
        <v>14</v>
      </c>
      <c r="D256" s="419" t="s">
        <v>1372</v>
      </c>
      <c r="E256" s="420" t="s">
        <v>781</v>
      </c>
      <c r="F256" s="444">
        <f t="shared" si="5"/>
        <v>650</v>
      </c>
      <c r="G256" s="444"/>
      <c r="H256" s="447"/>
      <c r="I256" s="489"/>
      <c r="J256" s="444">
        <v>650</v>
      </c>
      <c r="K256" s="859">
        <v>480</v>
      </c>
      <c r="L256" s="407"/>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c r="AK256" s="478"/>
      <c r="AL256" s="478"/>
      <c r="AM256" s="478"/>
      <c r="AN256" s="478"/>
      <c r="AO256" s="478"/>
      <c r="AP256" s="478"/>
      <c r="AQ256" s="478"/>
      <c r="AR256" s="478"/>
      <c r="AS256" s="478"/>
      <c r="AT256" s="478"/>
      <c r="AU256" s="478"/>
      <c r="AV256" s="478"/>
      <c r="AW256" s="478"/>
      <c r="AX256" s="478"/>
      <c r="AY256" s="478"/>
      <c r="AZ256" s="478"/>
      <c r="BA256" s="478"/>
      <c r="BB256" s="478"/>
      <c r="BC256" s="478"/>
      <c r="BD256" s="478"/>
      <c r="BE256" s="478"/>
      <c r="BF256" s="478"/>
      <c r="BG256" s="478"/>
      <c r="BH256" s="478"/>
      <c r="BI256" s="478"/>
      <c r="BJ256" s="478"/>
      <c r="BK256" s="478"/>
      <c r="BL256" s="478"/>
      <c r="BM256" s="478"/>
      <c r="BN256" s="478"/>
      <c r="BO256" s="478"/>
      <c r="BP256" s="478"/>
      <c r="BQ256" s="478"/>
      <c r="BR256" s="478"/>
      <c r="BS256" s="478"/>
      <c r="BT256" s="478"/>
      <c r="BU256" s="478"/>
      <c r="BV256" s="478"/>
      <c r="BW256" s="478"/>
      <c r="BX256" s="478"/>
      <c r="BY256" s="478"/>
      <c r="BZ256" s="478"/>
      <c r="CA256" s="478"/>
      <c r="CB256" s="478"/>
      <c r="CC256" s="478"/>
      <c r="CD256" s="478"/>
      <c r="CE256" s="478"/>
      <c r="CF256" s="478"/>
      <c r="CG256" s="478"/>
      <c r="CH256" s="478"/>
      <c r="CI256" s="478"/>
      <c r="CJ256" s="478"/>
      <c r="CK256" s="478"/>
      <c r="CL256" s="478"/>
      <c r="CM256" s="478"/>
      <c r="CN256" s="478"/>
      <c r="CO256" s="478"/>
      <c r="CP256" s="478"/>
      <c r="CQ256" s="478"/>
      <c r="CR256" s="478"/>
      <c r="CS256" s="478"/>
      <c r="CT256" s="478"/>
      <c r="CU256" s="478"/>
      <c r="CV256" s="478"/>
      <c r="CW256" s="478"/>
      <c r="CX256" s="478"/>
      <c r="CY256" s="478"/>
      <c r="CZ256" s="478"/>
      <c r="DA256" s="478"/>
      <c r="DB256" s="478"/>
      <c r="DC256" s="478"/>
      <c r="DD256" s="478"/>
      <c r="DE256" s="478"/>
      <c r="DF256" s="478"/>
      <c r="DG256" s="478"/>
      <c r="DH256" s="478"/>
      <c r="DI256" s="478"/>
      <c r="DJ256" s="478"/>
      <c r="DK256" s="478"/>
      <c r="DL256" s="478"/>
      <c r="DM256" s="478"/>
      <c r="DN256" s="478"/>
      <c r="DO256" s="478"/>
      <c r="DP256" s="478"/>
      <c r="DQ256" s="478"/>
      <c r="DR256" s="478"/>
      <c r="DS256" s="478"/>
      <c r="DT256" s="478"/>
      <c r="DU256" s="478"/>
      <c r="DV256" s="478"/>
      <c r="DW256" s="478"/>
      <c r="DX256" s="478"/>
      <c r="DY256" s="478"/>
      <c r="DZ256" s="478"/>
      <c r="EA256" s="478"/>
      <c r="EB256" s="478"/>
      <c r="EC256" s="478"/>
      <c r="ED256" s="478"/>
      <c r="EE256" s="478"/>
      <c r="EF256" s="478"/>
      <c r="EG256" s="478"/>
      <c r="EH256" s="478"/>
      <c r="EI256" s="478"/>
      <c r="EJ256" s="478"/>
      <c r="EK256" s="478"/>
      <c r="EL256" s="478"/>
      <c r="EM256" s="478"/>
      <c r="EN256" s="478"/>
      <c r="EO256" s="478"/>
      <c r="EP256" s="478"/>
      <c r="EQ256" s="478"/>
      <c r="ER256" s="478"/>
      <c r="ES256" s="478"/>
      <c r="ET256" s="478"/>
      <c r="EU256" s="478"/>
      <c r="EV256" s="478"/>
      <c r="EW256" s="478"/>
      <c r="EX256" s="478"/>
      <c r="EY256" s="478"/>
      <c r="EZ256" s="478"/>
      <c r="FA256" s="478"/>
      <c r="FB256" s="478"/>
      <c r="FC256" s="478"/>
      <c r="FD256" s="478"/>
      <c r="FE256" s="478"/>
      <c r="FF256" s="478"/>
      <c r="FG256" s="478"/>
      <c r="FH256" s="478"/>
      <c r="FI256" s="478"/>
      <c r="FJ256" s="478"/>
      <c r="FK256" s="478"/>
      <c r="FL256" s="478"/>
      <c r="FM256" s="478"/>
      <c r="FN256" s="478"/>
      <c r="FO256" s="478"/>
      <c r="FP256" s="478"/>
      <c r="FQ256" s="478"/>
      <c r="FR256" s="478"/>
      <c r="FS256" s="478"/>
      <c r="FT256" s="478"/>
      <c r="FU256" s="478"/>
      <c r="FV256" s="478"/>
      <c r="FW256" s="478"/>
      <c r="FX256" s="478"/>
      <c r="FY256" s="478"/>
      <c r="FZ256" s="478"/>
      <c r="GA256" s="478"/>
      <c r="GB256" s="478"/>
      <c r="GC256" s="478"/>
      <c r="GD256" s="478"/>
      <c r="GE256" s="478"/>
      <c r="GF256" s="478"/>
      <c r="GG256" s="478"/>
      <c r="GH256" s="478"/>
      <c r="GI256" s="478"/>
      <c r="GJ256" s="478"/>
      <c r="GK256" s="478"/>
      <c r="GL256" s="478"/>
      <c r="GM256" s="478"/>
      <c r="GN256" s="478"/>
      <c r="GO256" s="478"/>
      <c r="GP256" s="478"/>
      <c r="GQ256" s="478"/>
      <c r="GR256" s="478"/>
      <c r="GS256" s="478"/>
      <c r="GT256" s="478"/>
      <c r="GU256" s="478"/>
      <c r="GV256" s="478"/>
      <c r="GW256" s="478"/>
      <c r="GX256" s="478"/>
      <c r="GY256" s="478"/>
      <c r="GZ256" s="478"/>
      <c r="HA256" s="478"/>
      <c r="HB256" s="478"/>
      <c r="HC256" s="478"/>
      <c r="HD256" s="478"/>
      <c r="HE256" s="478"/>
      <c r="HF256" s="478"/>
      <c r="HG256" s="478"/>
      <c r="HH256" s="478"/>
      <c r="HI256" s="478"/>
      <c r="HJ256" s="478"/>
      <c r="HK256" s="478"/>
      <c r="HL256" s="478"/>
      <c r="HM256" s="478"/>
      <c r="HN256" s="478"/>
      <c r="HO256" s="478"/>
      <c r="HP256" s="478"/>
      <c r="HQ256" s="478"/>
      <c r="HR256" s="478"/>
      <c r="HS256" s="478"/>
      <c r="HT256" s="478"/>
      <c r="HU256" s="478"/>
      <c r="HV256" s="478"/>
      <c r="HW256" s="478"/>
      <c r="HX256" s="478"/>
      <c r="HY256" s="478"/>
      <c r="HZ256" s="478"/>
      <c r="IA256" s="478"/>
      <c r="IB256" s="478"/>
      <c r="IC256" s="478"/>
      <c r="ID256" s="478"/>
      <c r="IE256" s="478"/>
      <c r="IF256" s="478"/>
      <c r="IG256" s="478"/>
      <c r="IH256" s="478"/>
      <c r="II256" s="478"/>
      <c r="IJ256" s="478"/>
      <c r="IK256" s="478"/>
      <c r="IL256" s="478"/>
      <c r="IM256" s="478"/>
      <c r="IN256" s="478"/>
      <c r="IO256" s="478"/>
      <c r="IP256" s="478"/>
      <c r="IQ256" s="478"/>
      <c r="IR256" s="478"/>
      <c r="IS256" s="478"/>
    </row>
    <row r="257" spans="1:253" ht="17.25">
      <c r="A257" s="606">
        <v>243</v>
      </c>
      <c r="B257" s="923"/>
      <c r="C257" s="913">
        <v>15</v>
      </c>
      <c r="D257" s="419" t="s">
        <v>1373</v>
      </c>
      <c r="E257" s="420" t="s">
        <v>781</v>
      </c>
      <c r="F257" s="444">
        <f t="shared" si="5"/>
        <v>500</v>
      </c>
      <c r="G257" s="444"/>
      <c r="H257" s="447"/>
      <c r="I257" s="489"/>
      <c r="J257" s="444">
        <v>500</v>
      </c>
      <c r="K257" s="859"/>
      <c r="L257" s="407"/>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c r="AK257" s="478"/>
      <c r="AL257" s="478"/>
      <c r="AM257" s="478"/>
      <c r="AN257" s="478"/>
      <c r="AO257" s="478"/>
      <c r="AP257" s="478"/>
      <c r="AQ257" s="478"/>
      <c r="AR257" s="478"/>
      <c r="AS257" s="478"/>
      <c r="AT257" s="478"/>
      <c r="AU257" s="478"/>
      <c r="AV257" s="478"/>
      <c r="AW257" s="478"/>
      <c r="AX257" s="478"/>
      <c r="AY257" s="478"/>
      <c r="AZ257" s="478"/>
      <c r="BA257" s="478"/>
      <c r="BB257" s="478"/>
      <c r="BC257" s="478"/>
      <c r="BD257" s="478"/>
      <c r="BE257" s="478"/>
      <c r="BF257" s="478"/>
      <c r="BG257" s="478"/>
      <c r="BH257" s="478"/>
      <c r="BI257" s="478"/>
      <c r="BJ257" s="478"/>
      <c r="BK257" s="478"/>
      <c r="BL257" s="478"/>
      <c r="BM257" s="478"/>
      <c r="BN257" s="478"/>
      <c r="BO257" s="478"/>
      <c r="BP257" s="478"/>
      <c r="BQ257" s="478"/>
      <c r="BR257" s="478"/>
      <c r="BS257" s="478"/>
      <c r="BT257" s="478"/>
      <c r="BU257" s="478"/>
      <c r="BV257" s="478"/>
      <c r="BW257" s="478"/>
      <c r="BX257" s="478"/>
      <c r="BY257" s="478"/>
      <c r="BZ257" s="478"/>
      <c r="CA257" s="478"/>
      <c r="CB257" s="478"/>
      <c r="CC257" s="478"/>
      <c r="CD257" s="478"/>
      <c r="CE257" s="478"/>
      <c r="CF257" s="478"/>
      <c r="CG257" s="478"/>
      <c r="CH257" s="478"/>
      <c r="CI257" s="478"/>
      <c r="CJ257" s="478"/>
      <c r="CK257" s="478"/>
      <c r="CL257" s="478"/>
      <c r="CM257" s="478"/>
      <c r="CN257" s="478"/>
      <c r="CO257" s="478"/>
      <c r="CP257" s="478"/>
      <c r="CQ257" s="478"/>
      <c r="CR257" s="478"/>
      <c r="CS257" s="478"/>
      <c r="CT257" s="478"/>
      <c r="CU257" s="478"/>
      <c r="CV257" s="478"/>
      <c r="CW257" s="478"/>
      <c r="CX257" s="478"/>
      <c r="CY257" s="478"/>
      <c r="CZ257" s="478"/>
      <c r="DA257" s="478"/>
      <c r="DB257" s="478"/>
      <c r="DC257" s="478"/>
      <c r="DD257" s="478"/>
      <c r="DE257" s="478"/>
      <c r="DF257" s="478"/>
      <c r="DG257" s="478"/>
      <c r="DH257" s="478"/>
      <c r="DI257" s="478"/>
      <c r="DJ257" s="478"/>
      <c r="DK257" s="478"/>
      <c r="DL257" s="478"/>
      <c r="DM257" s="478"/>
      <c r="DN257" s="478"/>
      <c r="DO257" s="478"/>
      <c r="DP257" s="478"/>
      <c r="DQ257" s="478"/>
      <c r="DR257" s="478"/>
      <c r="DS257" s="478"/>
      <c r="DT257" s="478"/>
      <c r="DU257" s="478"/>
      <c r="DV257" s="478"/>
      <c r="DW257" s="478"/>
      <c r="DX257" s="478"/>
      <c r="DY257" s="478"/>
      <c r="DZ257" s="478"/>
      <c r="EA257" s="478"/>
      <c r="EB257" s="478"/>
      <c r="EC257" s="478"/>
      <c r="ED257" s="478"/>
      <c r="EE257" s="478"/>
      <c r="EF257" s="478"/>
      <c r="EG257" s="478"/>
      <c r="EH257" s="478"/>
      <c r="EI257" s="478"/>
      <c r="EJ257" s="478"/>
      <c r="EK257" s="478"/>
      <c r="EL257" s="478"/>
      <c r="EM257" s="478"/>
      <c r="EN257" s="478"/>
      <c r="EO257" s="478"/>
      <c r="EP257" s="478"/>
      <c r="EQ257" s="478"/>
      <c r="ER257" s="478"/>
      <c r="ES257" s="478"/>
      <c r="ET257" s="478"/>
      <c r="EU257" s="478"/>
      <c r="EV257" s="478"/>
      <c r="EW257" s="478"/>
      <c r="EX257" s="478"/>
      <c r="EY257" s="478"/>
      <c r="EZ257" s="478"/>
      <c r="FA257" s="478"/>
      <c r="FB257" s="478"/>
      <c r="FC257" s="478"/>
      <c r="FD257" s="478"/>
      <c r="FE257" s="478"/>
      <c r="FF257" s="478"/>
      <c r="FG257" s="478"/>
      <c r="FH257" s="478"/>
      <c r="FI257" s="478"/>
      <c r="FJ257" s="478"/>
      <c r="FK257" s="478"/>
      <c r="FL257" s="478"/>
      <c r="FM257" s="478"/>
      <c r="FN257" s="478"/>
      <c r="FO257" s="478"/>
      <c r="FP257" s="478"/>
      <c r="FQ257" s="478"/>
      <c r="FR257" s="478"/>
      <c r="FS257" s="478"/>
      <c r="FT257" s="478"/>
      <c r="FU257" s="478"/>
      <c r="FV257" s="478"/>
      <c r="FW257" s="478"/>
      <c r="FX257" s="478"/>
      <c r="FY257" s="478"/>
      <c r="FZ257" s="478"/>
      <c r="GA257" s="478"/>
      <c r="GB257" s="478"/>
      <c r="GC257" s="478"/>
      <c r="GD257" s="478"/>
      <c r="GE257" s="478"/>
      <c r="GF257" s="478"/>
      <c r="GG257" s="478"/>
      <c r="GH257" s="478"/>
      <c r="GI257" s="478"/>
      <c r="GJ257" s="478"/>
      <c r="GK257" s="478"/>
      <c r="GL257" s="478"/>
      <c r="GM257" s="478"/>
      <c r="GN257" s="478"/>
      <c r="GO257" s="478"/>
      <c r="GP257" s="478"/>
      <c r="GQ257" s="478"/>
      <c r="GR257" s="478"/>
      <c r="GS257" s="478"/>
      <c r="GT257" s="478"/>
      <c r="GU257" s="478"/>
      <c r="GV257" s="478"/>
      <c r="GW257" s="478"/>
      <c r="GX257" s="478"/>
      <c r="GY257" s="478"/>
      <c r="GZ257" s="478"/>
      <c r="HA257" s="478"/>
      <c r="HB257" s="478"/>
      <c r="HC257" s="478"/>
      <c r="HD257" s="478"/>
      <c r="HE257" s="478"/>
      <c r="HF257" s="478"/>
      <c r="HG257" s="478"/>
      <c r="HH257" s="478"/>
      <c r="HI257" s="478"/>
      <c r="HJ257" s="478"/>
      <c r="HK257" s="478"/>
      <c r="HL257" s="478"/>
      <c r="HM257" s="478"/>
      <c r="HN257" s="478"/>
      <c r="HO257" s="478"/>
      <c r="HP257" s="478"/>
      <c r="HQ257" s="478"/>
      <c r="HR257" s="478"/>
      <c r="HS257" s="478"/>
      <c r="HT257" s="478"/>
      <c r="HU257" s="478"/>
      <c r="HV257" s="478"/>
      <c r="HW257" s="478"/>
      <c r="HX257" s="478"/>
      <c r="HY257" s="478"/>
      <c r="HZ257" s="478"/>
      <c r="IA257" s="478"/>
      <c r="IB257" s="478"/>
      <c r="IC257" s="478"/>
      <c r="ID257" s="478"/>
      <c r="IE257" s="478"/>
      <c r="IF257" s="478"/>
      <c r="IG257" s="478"/>
      <c r="IH257" s="478"/>
      <c r="II257" s="478"/>
      <c r="IJ257" s="478"/>
      <c r="IK257" s="478"/>
      <c r="IL257" s="478"/>
      <c r="IM257" s="478"/>
      <c r="IN257" s="478"/>
      <c r="IO257" s="478"/>
      <c r="IP257" s="478"/>
      <c r="IQ257" s="478"/>
      <c r="IR257" s="478"/>
      <c r="IS257" s="478"/>
    </row>
    <row r="258" spans="1:253" ht="17.25">
      <c r="A258" s="606">
        <v>244</v>
      </c>
      <c r="B258" s="923"/>
      <c r="C258" s="913">
        <v>16</v>
      </c>
      <c r="D258" s="419" t="s">
        <v>1374</v>
      </c>
      <c r="E258" s="420" t="s">
        <v>781</v>
      </c>
      <c r="F258" s="444">
        <f t="shared" si="5"/>
        <v>1000</v>
      </c>
      <c r="G258" s="444"/>
      <c r="H258" s="447"/>
      <c r="I258" s="489"/>
      <c r="J258" s="444">
        <v>1000</v>
      </c>
      <c r="K258" s="859">
        <v>490</v>
      </c>
      <c r="L258" s="407"/>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c r="AK258" s="478"/>
      <c r="AL258" s="478"/>
      <c r="AM258" s="478"/>
      <c r="AN258" s="478"/>
      <c r="AO258" s="478"/>
      <c r="AP258" s="478"/>
      <c r="AQ258" s="478"/>
      <c r="AR258" s="478"/>
      <c r="AS258" s="478"/>
      <c r="AT258" s="478"/>
      <c r="AU258" s="478"/>
      <c r="AV258" s="478"/>
      <c r="AW258" s="478"/>
      <c r="AX258" s="478"/>
      <c r="AY258" s="478"/>
      <c r="AZ258" s="478"/>
      <c r="BA258" s="478"/>
      <c r="BB258" s="478"/>
      <c r="BC258" s="478"/>
      <c r="BD258" s="478"/>
      <c r="BE258" s="478"/>
      <c r="BF258" s="478"/>
      <c r="BG258" s="478"/>
      <c r="BH258" s="478"/>
      <c r="BI258" s="478"/>
      <c r="BJ258" s="478"/>
      <c r="BK258" s="478"/>
      <c r="BL258" s="478"/>
      <c r="BM258" s="478"/>
      <c r="BN258" s="478"/>
      <c r="BO258" s="478"/>
      <c r="BP258" s="478"/>
      <c r="BQ258" s="478"/>
      <c r="BR258" s="478"/>
      <c r="BS258" s="478"/>
      <c r="BT258" s="478"/>
      <c r="BU258" s="478"/>
      <c r="BV258" s="478"/>
      <c r="BW258" s="478"/>
      <c r="BX258" s="478"/>
      <c r="BY258" s="478"/>
      <c r="BZ258" s="478"/>
      <c r="CA258" s="478"/>
      <c r="CB258" s="478"/>
      <c r="CC258" s="478"/>
      <c r="CD258" s="478"/>
      <c r="CE258" s="478"/>
      <c r="CF258" s="478"/>
      <c r="CG258" s="478"/>
      <c r="CH258" s="478"/>
      <c r="CI258" s="478"/>
      <c r="CJ258" s="478"/>
      <c r="CK258" s="478"/>
      <c r="CL258" s="478"/>
      <c r="CM258" s="478"/>
      <c r="CN258" s="478"/>
      <c r="CO258" s="478"/>
      <c r="CP258" s="478"/>
      <c r="CQ258" s="478"/>
      <c r="CR258" s="478"/>
      <c r="CS258" s="478"/>
      <c r="CT258" s="478"/>
      <c r="CU258" s="478"/>
      <c r="CV258" s="478"/>
      <c r="CW258" s="478"/>
      <c r="CX258" s="478"/>
      <c r="CY258" s="478"/>
      <c r="CZ258" s="478"/>
      <c r="DA258" s="478"/>
      <c r="DB258" s="478"/>
      <c r="DC258" s="478"/>
      <c r="DD258" s="478"/>
      <c r="DE258" s="478"/>
      <c r="DF258" s="478"/>
      <c r="DG258" s="478"/>
      <c r="DH258" s="478"/>
      <c r="DI258" s="478"/>
      <c r="DJ258" s="478"/>
      <c r="DK258" s="478"/>
      <c r="DL258" s="478"/>
      <c r="DM258" s="478"/>
      <c r="DN258" s="478"/>
      <c r="DO258" s="478"/>
      <c r="DP258" s="478"/>
      <c r="DQ258" s="478"/>
      <c r="DR258" s="478"/>
      <c r="DS258" s="478"/>
      <c r="DT258" s="478"/>
      <c r="DU258" s="478"/>
      <c r="DV258" s="478"/>
      <c r="DW258" s="478"/>
      <c r="DX258" s="478"/>
      <c r="DY258" s="478"/>
      <c r="DZ258" s="478"/>
      <c r="EA258" s="478"/>
      <c r="EB258" s="478"/>
      <c r="EC258" s="478"/>
      <c r="ED258" s="478"/>
      <c r="EE258" s="478"/>
      <c r="EF258" s="478"/>
      <c r="EG258" s="478"/>
      <c r="EH258" s="478"/>
      <c r="EI258" s="478"/>
      <c r="EJ258" s="478"/>
      <c r="EK258" s="478"/>
      <c r="EL258" s="478"/>
      <c r="EM258" s="478"/>
      <c r="EN258" s="478"/>
      <c r="EO258" s="478"/>
      <c r="EP258" s="478"/>
      <c r="EQ258" s="478"/>
      <c r="ER258" s="478"/>
      <c r="ES258" s="478"/>
      <c r="ET258" s="478"/>
      <c r="EU258" s="478"/>
      <c r="EV258" s="478"/>
      <c r="EW258" s="478"/>
      <c r="EX258" s="478"/>
      <c r="EY258" s="478"/>
      <c r="EZ258" s="478"/>
      <c r="FA258" s="478"/>
      <c r="FB258" s="478"/>
      <c r="FC258" s="478"/>
      <c r="FD258" s="478"/>
      <c r="FE258" s="478"/>
      <c r="FF258" s="478"/>
      <c r="FG258" s="478"/>
      <c r="FH258" s="478"/>
      <c r="FI258" s="478"/>
      <c r="FJ258" s="478"/>
      <c r="FK258" s="478"/>
      <c r="FL258" s="478"/>
      <c r="FM258" s="478"/>
      <c r="FN258" s="478"/>
      <c r="FO258" s="478"/>
      <c r="FP258" s="478"/>
      <c r="FQ258" s="478"/>
      <c r="FR258" s="478"/>
      <c r="FS258" s="478"/>
      <c r="FT258" s="478"/>
      <c r="FU258" s="478"/>
      <c r="FV258" s="478"/>
      <c r="FW258" s="478"/>
      <c r="FX258" s="478"/>
      <c r="FY258" s="478"/>
      <c r="FZ258" s="478"/>
      <c r="GA258" s="478"/>
      <c r="GB258" s="478"/>
      <c r="GC258" s="478"/>
      <c r="GD258" s="478"/>
      <c r="GE258" s="478"/>
      <c r="GF258" s="478"/>
      <c r="GG258" s="478"/>
      <c r="GH258" s="478"/>
      <c r="GI258" s="478"/>
      <c r="GJ258" s="478"/>
      <c r="GK258" s="478"/>
      <c r="GL258" s="478"/>
      <c r="GM258" s="478"/>
      <c r="GN258" s="478"/>
      <c r="GO258" s="478"/>
      <c r="GP258" s="478"/>
      <c r="GQ258" s="478"/>
      <c r="GR258" s="478"/>
      <c r="GS258" s="478"/>
      <c r="GT258" s="478"/>
      <c r="GU258" s="478"/>
      <c r="GV258" s="478"/>
      <c r="GW258" s="478"/>
      <c r="GX258" s="478"/>
      <c r="GY258" s="478"/>
      <c r="GZ258" s="478"/>
      <c r="HA258" s="478"/>
      <c r="HB258" s="478"/>
      <c r="HC258" s="478"/>
      <c r="HD258" s="478"/>
      <c r="HE258" s="478"/>
      <c r="HF258" s="478"/>
      <c r="HG258" s="478"/>
      <c r="HH258" s="478"/>
      <c r="HI258" s="478"/>
      <c r="HJ258" s="478"/>
      <c r="HK258" s="478"/>
      <c r="HL258" s="478"/>
      <c r="HM258" s="478"/>
      <c r="HN258" s="478"/>
      <c r="HO258" s="478"/>
      <c r="HP258" s="478"/>
      <c r="HQ258" s="478"/>
      <c r="HR258" s="478"/>
      <c r="HS258" s="478"/>
      <c r="HT258" s="478"/>
      <c r="HU258" s="478"/>
      <c r="HV258" s="478"/>
      <c r="HW258" s="478"/>
      <c r="HX258" s="478"/>
      <c r="HY258" s="478"/>
      <c r="HZ258" s="478"/>
      <c r="IA258" s="478"/>
      <c r="IB258" s="478"/>
      <c r="IC258" s="478"/>
      <c r="ID258" s="478"/>
      <c r="IE258" s="478"/>
      <c r="IF258" s="478"/>
      <c r="IG258" s="478"/>
      <c r="IH258" s="478"/>
      <c r="II258" s="478"/>
      <c r="IJ258" s="478"/>
      <c r="IK258" s="478"/>
      <c r="IL258" s="478"/>
      <c r="IM258" s="478"/>
      <c r="IN258" s="478"/>
      <c r="IO258" s="478"/>
      <c r="IP258" s="478"/>
      <c r="IQ258" s="478"/>
      <c r="IR258" s="478"/>
      <c r="IS258" s="478"/>
    </row>
    <row r="259" spans="1:253" ht="17.25">
      <c r="A259" s="606">
        <v>245</v>
      </c>
      <c r="B259" s="923"/>
      <c r="C259" s="913">
        <v>17</v>
      </c>
      <c r="D259" s="419" t="s">
        <v>1375</v>
      </c>
      <c r="E259" s="420" t="s">
        <v>781</v>
      </c>
      <c r="F259" s="444">
        <f t="shared" si="5"/>
        <v>1000</v>
      </c>
      <c r="G259" s="444"/>
      <c r="H259" s="447"/>
      <c r="I259" s="489"/>
      <c r="J259" s="444">
        <v>1000</v>
      </c>
      <c r="K259" s="859"/>
      <c r="L259" s="407"/>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c r="AK259" s="478"/>
      <c r="AL259" s="478"/>
      <c r="AM259" s="478"/>
      <c r="AN259" s="478"/>
      <c r="AO259" s="478"/>
      <c r="AP259" s="478"/>
      <c r="AQ259" s="478"/>
      <c r="AR259" s="478"/>
      <c r="AS259" s="478"/>
      <c r="AT259" s="478"/>
      <c r="AU259" s="478"/>
      <c r="AV259" s="478"/>
      <c r="AW259" s="478"/>
      <c r="AX259" s="478"/>
      <c r="AY259" s="478"/>
      <c r="AZ259" s="478"/>
      <c r="BA259" s="478"/>
      <c r="BB259" s="478"/>
      <c r="BC259" s="478"/>
      <c r="BD259" s="478"/>
      <c r="BE259" s="478"/>
      <c r="BF259" s="478"/>
      <c r="BG259" s="478"/>
      <c r="BH259" s="478"/>
      <c r="BI259" s="478"/>
      <c r="BJ259" s="478"/>
      <c r="BK259" s="478"/>
      <c r="BL259" s="478"/>
      <c r="BM259" s="478"/>
      <c r="BN259" s="478"/>
      <c r="BO259" s="478"/>
      <c r="BP259" s="478"/>
      <c r="BQ259" s="478"/>
      <c r="BR259" s="478"/>
      <c r="BS259" s="478"/>
      <c r="BT259" s="478"/>
      <c r="BU259" s="478"/>
      <c r="BV259" s="478"/>
      <c r="BW259" s="478"/>
      <c r="BX259" s="478"/>
      <c r="BY259" s="478"/>
      <c r="BZ259" s="478"/>
      <c r="CA259" s="478"/>
      <c r="CB259" s="478"/>
      <c r="CC259" s="478"/>
      <c r="CD259" s="478"/>
      <c r="CE259" s="478"/>
      <c r="CF259" s="478"/>
      <c r="CG259" s="478"/>
      <c r="CH259" s="478"/>
      <c r="CI259" s="478"/>
      <c r="CJ259" s="478"/>
      <c r="CK259" s="478"/>
      <c r="CL259" s="478"/>
      <c r="CM259" s="478"/>
      <c r="CN259" s="478"/>
      <c r="CO259" s="478"/>
      <c r="CP259" s="478"/>
      <c r="CQ259" s="478"/>
      <c r="CR259" s="478"/>
      <c r="CS259" s="478"/>
      <c r="CT259" s="478"/>
      <c r="CU259" s="478"/>
      <c r="CV259" s="478"/>
      <c r="CW259" s="478"/>
      <c r="CX259" s="478"/>
      <c r="CY259" s="478"/>
      <c r="CZ259" s="478"/>
      <c r="DA259" s="478"/>
      <c r="DB259" s="478"/>
      <c r="DC259" s="478"/>
      <c r="DD259" s="478"/>
      <c r="DE259" s="478"/>
      <c r="DF259" s="478"/>
      <c r="DG259" s="478"/>
      <c r="DH259" s="478"/>
      <c r="DI259" s="478"/>
      <c r="DJ259" s="478"/>
      <c r="DK259" s="478"/>
      <c r="DL259" s="478"/>
      <c r="DM259" s="478"/>
      <c r="DN259" s="478"/>
      <c r="DO259" s="478"/>
      <c r="DP259" s="478"/>
      <c r="DQ259" s="478"/>
      <c r="DR259" s="478"/>
      <c r="DS259" s="478"/>
      <c r="DT259" s="478"/>
      <c r="DU259" s="478"/>
      <c r="DV259" s="478"/>
      <c r="DW259" s="478"/>
      <c r="DX259" s="478"/>
      <c r="DY259" s="478"/>
      <c r="DZ259" s="478"/>
      <c r="EA259" s="478"/>
      <c r="EB259" s="478"/>
      <c r="EC259" s="478"/>
      <c r="ED259" s="478"/>
      <c r="EE259" s="478"/>
      <c r="EF259" s="478"/>
      <c r="EG259" s="478"/>
      <c r="EH259" s="478"/>
      <c r="EI259" s="478"/>
      <c r="EJ259" s="478"/>
      <c r="EK259" s="478"/>
      <c r="EL259" s="478"/>
      <c r="EM259" s="478"/>
      <c r="EN259" s="478"/>
      <c r="EO259" s="478"/>
      <c r="EP259" s="478"/>
      <c r="EQ259" s="478"/>
      <c r="ER259" s="478"/>
      <c r="ES259" s="478"/>
      <c r="ET259" s="478"/>
      <c r="EU259" s="478"/>
      <c r="EV259" s="478"/>
      <c r="EW259" s="478"/>
      <c r="EX259" s="478"/>
      <c r="EY259" s="478"/>
      <c r="EZ259" s="478"/>
      <c r="FA259" s="478"/>
      <c r="FB259" s="478"/>
      <c r="FC259" s="478"/>
      <c r="FD259" s="478"/>
      <c r="FE259" s="478"/>
      <c r="FF259" s="478"/>
      <c r="FG259" s="478"/>
      <c r="FH259" s="478"/>
      <c r="FI259" s="478"/>
      <c r="FJ259" s="478"/>
      <c r="FK259" s="478"/>
      <c r="FL259" s="478"/>
      <c r="FM259" s="478"/>
      <c r="FN259" s="478"/>
      <c r="FO259" s="478"/>
      <c r="FP259" s="478"/>
      <c r="FQ259" s="478"/>
      <c r="FR259" s="478"/>
      <c r="FS259" s="478"/>
      <c r="FT259" s="478"/>
      <c r="FU259" s="478"/>
      <c r="FV259" s="478"/>
      <c r="FW259" s="478"/>
      <c r="FX259" s="478"/>
      <c r="FY259" s="478"/>
      <c r="FZ259" s="478"/>
      <c r="GA259" s="478"/>
      <c r="GB259" s="478"/>
      <c r="GC259" s="478"/>
      <c r="GD259" s="478"/>
      <c r="GE259" s="478"/>
      <c r="GF259" s="478"/>
      <c r="GG259" s="478"/>
      <c r="GH259" s="478"/>
      <c r="GI259" s="478"/>
      <c r="GJ259" s="478"/>
      <c r="GK259" s="478"/>
      <c r="GL259" s="478"/>
      <c r="GM259" s="478"/>
      <c r="GN259" s="478"/>
      <c r="GO259" s="478"/>
      <c r="GP259" s="478"/>
      <c r="GQ259" s="478"/>
      <c r="GR259" s="478"/>
      <c r="GS259" s="478"/>
      <c r="GT259" s="478"/>
      <c r="GU259" s="478"/>
      <c r="GV259" s="478"/>
      <c r="GW259" s="478"/>
      <c r="GX259" s="478"/>
      <c r="GY259" s="478"/>
      <c r="GZ259" s="478"/>
      <c r="HA259" s="478"/>
      <c r="HB259" s="478"/>
      <c r="HC259" s="478"/>
      <c r="HD259" s="478"/>
      <c r="HE259" s="478"/>
      <c r="HF259" s="478"/>
      <c r="HG259" s="478"/>
      <c r="HH259" s="478"/>
      <c r="HI259" s="478"/>
      <c r="HJ259" s="478"/>
      <c r="HK259" s="478"/>
      <c r="HL259" s="478"/>
      <c r="HM259" s="478"/>
      <c r="HN259" s="478"/>
      <c r="HO259" s="478"/>
      <c r="HP259" s="478"/>
      <c r="HQ259" s="478"/>
      <c r="HR259" s="478"/>
      <c r="HS259" s="478"/>
      <c r="HT259" s="478"/>
      <c r="HU259" s="478"/>
      <c r="HV259" s="478"/>
      <c r="HW259" s="478"/>
      <c r="HX259" s="478"/>
      <c r="HY259" s="478"/>
      <c r="HZ259" s="478"/>
      <c r="IA259" s="478"/>
      <c r="IB259" s="478"/>
      <c r="IC259" s="478"/>
      <c r="ID259" s="478"/>
      <c r="IE259" s="478"/>
      <c r="IF259" s="478"/>
      <c r="IG259" s="478"/>
      <c r="IH259" s="478"/>
      <c r="II259" s="478"/>
      <c r="IJ259" s="478"/>
      <c r="IK259" s="478"/>
      <c r="IL259" s="478"/>
      <c r="IM259" s="478"/>
      <c r="IN259" s="478"/>
      <c r="IO259" s="478"/>
      <c r="IP259" s="478"/>
      <c r="IQ259" s="478"/>
      <c r="IR259" s="478"/>
      <c r="IS259" s="478"/>
    </row>
    <row r="260" spans="1:253" ht="17.25">
      <c r="A260" s="606">
        <v>246</v>
      </c>
      <c r="B260" s="923"/>
      <c r="C260" s="913">
        <v>18</v>
      </c>
      <c r="D260" s="419" t="s">
        <v>1376</v>
      </c>
      <c r="E260" s="420" t="s">
        <v>781</v>
      </c>
      <c r="F260" s="444">
        <f t="shared" si="5"/>
        <v>1000</v>
      </c>
      <c r="G260" s="444"/>
      <c r="H260" s="447"/>
      <c r="I260" s="489"/>
      <c r="J260" s="444">
        <v>1000</v>
      </c>
      <c r="K260" s="859"/>
      <c r="L260" s="407"/>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c r="AK260" s="478"/>
      <c r="AL260" s="478"/>
      <c r="AM260" s="478"/>
      <c r="AN260" s="478"/>
      <c r="AO260" s="478"/>
      <c r="AP260" s="478"/>
      <c r="AQ260" s="478"/>
      <c r="AR260" s="478"/>
      <c r="AS260" s="478"/>
      <c r="AT260" s="478"/>
      <c r="AU260" s="478"/>
      <c r="AV260" s="478"/>
      <c r="AW260" s="478"/>
      <c r="AX260" s="478"/>
      <c r="AY260" s="478"/>
      <c r="AZ260" s="478"/>
      <c r="BA260" s="478"/>
      <c r="BB260" s="478"/>
      <c r="BC260" s="478"/>
      <c r="BD260" s="478"/>
      <c r="BE260" s="478"/>
      <c r="BF260" s="478"/>
      <c r="BG260" s="478"/>
      <c r="BH260" s="478"/>
      <c r="BI260" s="478"/>
      <c r="BJ260" s="478"/>
      <c r="BK260" s="478"/>
      <c r="BL260" s="478"/>
      <c r="BM260" s="478"/>
      <c r="BN260" s="478"/>
      <c r="BO260" s="478"/>
      <c r="BP260" s="478"/>
      <c r="BQ260" s="478"/>
      <c r="BR260" s="478"/>
      <c r="BS260" s="478"/>
      <c r="BT260" s="478"/>
      <c r="BU260" s="478"/>
      <c r="BV260" s="478"/>
      <c r="BW260" s="478"/>
      <c r="BX260" s="478"/>
      <c r="BY260" s="478"/>
      <c r="BZ260" s="478"/>
      <c r="CA260" s="478"/>
      <c r="CB260" s="478"/>
      <c r="CC260" s="478"/>
      <c r="CD260" s="478"/>
      <c r="CE260" s="478"/>
      <c r="CF260" s="478"/>
      <c r="CG260" s="478"/>
      <c r="CH260" s="478"/>
      <c r="CI260" s="478"/>
      <c r="CJ260" s="478"/>
      <c r="CK260" s="478"/>
      <c r="CL260" s="478"/>
      <c r="CM260" s="478"/>
      <c r="CN260" s="478"/>
      <c r="CO260" s="478"/>
      <c r="CP260" s="478"/>
      <c r="CQ260" s="478"/>
      <c r="CR260" s="478"/>
      <c r="CS260" s="478"/>
      <c r="CT260" s="478"/>
      <c r="CU260" s="478"/>
      <c r="CV260" s="478"/>
      <c r="CW260" s="478"/>
      <c r="CX260" s="478"/>
      <c r="CY260" s="478"/>
      <c r="CZ260" s="478"/>
      <c r="DA260" s="478"/>
      <c r="DB260" s="478"/>
      <c r="DC260" s="478"/>
      <c r="DD260" s="478"/>
      <c r="DE260" s="478"/>
      <c r="DF260" s="478"/>
      <c r="DG260" s="478"/>
      <c r="DH260" s="478"/>
      <c r="DI260" s="478"/>
      <c r="DJ260" s="478"/>
      <c r="DK260" s="478"/>
      <c r="DL260" s="478"/>
      <c r="DM260" s="478"/>
      <c r="DN260" s="478"/>
      <c r="DO260" s="478"/>
      <c r="DP260" s="478"/>
      <c r="DQ260" s="478"/>
      <c r="DR260" s="478"/>
      <c r="DS260" s="478"/>
      <c r="DT260" s="478"/>
      <c r="DU260" s="478"/>
      <c r="DV260" s="478"/>
      <c r="DW260" s="478"/>
      <c r="DX260" s="478"/>
      <c r="DY260" s="478"/>
      <c r="DZ260" s="478"/>
      <c r="EA260" s="478"/>
      <c r="EB260" s="478"/>
      <c r="EC260" s="478"/>
      <c r="ED260" s="478"/>
      <c r="EE260" s="478"/>
      <c r="EF260" s="478"/>
      <c r="EG260" s="478"/>
      <c r="EH260" s="478"/>
      <c r="EI260" s="478"/>
      <c r="EJ260" s="478"/>
      <c r="EK260" s="478"/>
      <c r="EL260" s="478"/>
      <c r="EM260" s="478"/>
      <c r="EN260" s="478"/>
      <c r="EO260" s="478"/>
      <c r="EP260" s="478"/>
      <c r="EQ260" s="478"/>
      <c r="ER260" s="478"/>
      <c r="ES260" s="478"/>
      <c r="ET260" s="478"/>
      <c r="EU260" s="478"/>
      <c r="EV260" s="478"/>
      <c r="EW260" s="478"/>
      <c r="EX260" s="478"/>
      <c r="EY260" s="478"/>
      <c r="EZ260" s="478"/>
      <c r="FA260" s="478"/>
      <c r="FB260" s="478"/>
      <c r="FC260" s="478"/>
      <c r="FD260" s="478"/>
      <c r="FE260" s="478"/>
      <c r="FF260" s="478"/>
      <c r="FG260" s="478"/>
      <c r="FH260" s="478"/>
      <c r="FI260" s="478"/>
      <c r="FJ260" s="478"/>
      <c r="FK260" s="478"/>
      <c r="FL260" s="478"/>
      <c r="FM260" s="478"/>
      <c r="FN260" s="478"/>
      <c r="FO260" s="478"/>
      <c r="FP260" s="478"/>
      <c r="FQ260" s="478"/>
      <c r="FR260" s="478"/>
      <c r="FS260" s="478"/>
      <c r="FT260" s="478"/>
      <c r="FU260" s="478"/>
      <c r="FV260" s="478"/>
      <c r="FW260" s="478"/>
      <c r="FX260" s="478"/>
      <c r="FY260" s="478"/>
      <c r="FZ260" s="478"/>
      <c r="GA260" s="478"/>
      <c r="GB260" s="478"/>
      <c r="GC260" s="478"/>
      <c r="GD260" s="478"/>
      <c r="GE260" s="478"/>
      <c r="GF260" s="478"/>
      <c r="GG260" s="478"/>
      <c r="GH260" s="478"/>
      <c r="GI260" s="478"/>
      <c r="GJ260" s="478"/>
      <c r="GK260" s="478"/>
      <c r="GL260" s="478"/>
      <c r="GM260" s="478"/>
      <c r="GN260" s="478"/>
      <c r="GO260" s="478"/>
      <c r="GP260" s="478"/>
      <c r="GQ260" s="478"/>
      <c r="GR260" s="478"/>
      <c r="GS260" s="478"/>
      <c r="GT260" s="478"/>
      <c r="GU260" s="478"/>
      <c r="GV260" s="478"/>
      <c r="GW260" s="478"/>
      <c r="GX260" s="478"/>
      <c r="GY260" s="478"/>
      <c r="GZ260" s="478"/>
      <c r="HA260" s="478"/>
      <c r="HB260" s="478"/>
      <c r="HC260" s="478"/>
      <c r="HD260" s="478"/>
      <c r="HE260" s="478"/>
      <c r="HF260" s="478"/>
      <c r="HG260" s="478"/>
      <c r="HH260" s="478"/>
      <c r="HI260" s="478"/>
      <c r="HJ260" s="478"/>
      <c r="HK260" s="478"/>
      <c r="HL260" s="478"/>
      <c r="HM260" s="478"/>
      <c r="HN260" s="478"/>
      <c r="HO260" s="478"/>
      <c r="HP260" s="478"/>
      <c r="HQ260" s="478"/>
      <c r="HR260" s="478"/>
      <c r="HS260" s="478"/>
      <c r="HT260" s="478"/>
      <c r="HU260" s="478"/>
      <c r="HV260" s="478"/>
      <c r="HW260" s="478"/>
      <c r="HX260" s="478"/>
      <c r="HY260" s="478"/>
      <c r="HZ260" s="478"/>
      <c r="IA260" s="478"/>
      <c r="IB260" s="478"/>
      <c r="IC260" s="478"/>
      <c r="ID260" s="478"/>
      <c r="IE260" s="478"/>
      <c r="IF260" s="478"/>
      <c r="IG260" s="478"/>
      <c r="IH260" s="478"/>
      <c r="II260" s="478"/>
      <c r="IJ260" s="478"/>
      <c r="IK260" s="478"/>
      <c r="IL260" s="478"/>
      <c r="IM260" s="478"/>
      <c r="IN260" s="478"/>
      <c r="IO260" s="478"/>
      <c r="IP260" s="478"/>
      <c r="IQ260" s="478"/>
      <c r="IR260" s="478"/>
      <c r="IS260" s="478"/>
    </row>
    <row r="261" spans="1:253" ht="17.25">
      <c r="A261" s="606">
        <v>247</v>
      </c>
      <c r="B261" s="923"/>
      <c r="C261" s="913">
        <v>19</v>
      </c>
      <c r="D261" s="419" t="s">
        <v>1377</v>
      </c>
      <c r="E261" s="420" t="s">
        <v>781</v>
      </c>
      <c r="F261" s="444">
        <f t="shared" si="5"/>
        <v>1500</v>
      </c>
      <c r="G261" s="444"/>
      <c r="H261" s="447"/>
      <c r="I261" s="489"/>
      <c r="J261" s="444">
        <v>1500</v>
      </c>
      <c r="K261" s="859"/>
      <c r="L261" s="407"/>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c r="AK261" s="478"/>
      <c r="AL261" s="478"/>
      <c r="AM261" s="478"/>
      <c r="AN261" s="478"/>
      <c r="AO261" s="478"/>
      <c r="AP261" s="478"/>
      <c r="AQ261" s="478"/>
      <c r="AR261" s="478"/>
      <c r="AS261" s="478"/>
      <c r="AT261" s="478"/>
      <c r="AU261" s="478"/>
      <c r="AV261" s="478"/>
      <c r="AW261" s="478"/>
      <c r="AX261" s="478"/>
      <c r="AY261" s="478"/>
      <c r="AZ261" s="478"/>
      <c r="BA261" s="478"/>
      <c r="BB261" s="478"/>
      <c r="BC261" s="478"/>
      <c r="BD261" s="478"/>
      <c r="BE261" s="478"/>
      <c r="BF261" s="478"/>
      <c r="BG261" s="478"/>
      <c r="BH261" s="478"/>
      <c r="BI261" s="478"/>
      <c r="BJ261" s="478"/>
      <c r="BK261" s="478"/>
      <c r="BL261" s="478"/>
      <c r="BM261" s="478"/>
      <c r="BN261" s="478"/>
      <c r="BO261" s="478"/>
      <c r="BP261" s="478"/>
      <c r="BQ261" s="478"/>
      <c r="BR261" s="478"/>
      <c r="BS261" s="478"/>
      <c r="BT261" s="478"/>
      <c r="BU261" s="478"/>
      <c r="BV261" s="478"/>
      <c r="BW261" s="478"/>
      <c r="BX261" s="478"/>
      <c r="BY261" s="478"/>
      <c r="BZ261" s="478"/>
      <c r="CA261" s="478"/>
      <c r="CB261" s="478"/>
      <c r="CC261" s="478"/>
      <c r="CD261" s="478"/>
      <c r="CE261" s="478"/>
      <c r="CF261" s="478"/>
      <c r="CG261" s="478"/>
      <c r="CH261" s="478"/>
      <c r="CI261" s="478"/>
      <c r="CJ261" s="478"/>
      <c r="CK261" s="478"/>
      <c r="CL261" s="478"/>
      <c r="CM261" s="478"/>
      <c r="CN261" s="478"/>
      <c r="CO261" s="478"/>
      <c r="CP261" s="478"/>
      <c r="CQ261" s="478"/>
      <c r="CR261" s="478"/>
      <c r="CS261" s="478"/>
      <c r="CT261" s="478"/>
      <c r="CU261" s="478"/>
      <c r="CV261" s="478"/>
      <c r="CW261" s="478"/>
      <c r="CX261" s="478"/>
      <c r="CY261" s="478"/>
      <c r="CZ261" s="478"/>
      <c r="DA261" s="478"/>
      <c r="DB261" s="478"/>
      <c r="DC261" s="478"/>
      <c r="DD261" s="478"/>
      <c r="DE261" s="478"/>
      <c r="DF261" s="478"/>
      <c r="DG261" s="478"/>
      <c r="DH261" s="478"/>
      <c r="DI261" s="478"/>
      <c r="DJ261" s="478"/>
      <c r="DK261" s="478"/>
      <c r="DL261" s="478"/>
      <c r="DM261" s="478"/>
      <c r="DN261" s="478"/>
      <c r="DO261" s="478"/>
      <c r="DP261" s="478"/>
      <c r="DQ261" s="478"/>
      <c r="DR261" s="478"/>
      <c r="DS261" s="478"/>
      <c r="DT261" s="478"/>
      <c r="DU261" s="478"/>
      <c r="DV261" s="478"/>
      <c r="DW261" s="478"/>
      <c r="DX261" s="478"/>
      <c r="DY261" s="478"/>
      <c r="DZ261" s="478"/>
      <c r="EA261" s="478"/>
      <c r="EB261" s="478"/>
      <c r="EC261" s="478"/>
      <c r="ED261" s="478"/>
      <c r="EE261" s="478"/>
      <c r="EF261" s="478"/>
      <c r="EG261" s="478"/>
      <c r="EH261" s="478"/>
      <c r="EI261" s="478"/>
      <c r="EJ261" s="478"/>
      <c r="EK261" s="478"/>
      <c r="EL261" s="478"/>
      <c r="EM261" s="478"/>
      <c r="EN261" s="478"/>
      <c r="EO261" s="478"/>
      <c r="EP261" s="478"/>
      <c r="EQ261" s="478"/>
      <c r="ER261" s="478"/>
      <c r="ES261" s="478"/>
      <c r="ET261" s="478"/>
      <c r="EU261" s="478"/>
      <c r="EV261" s="478"/>
      <c r="EW261" s="478"/>
      <c r="EX261" s="478"/>
      <c r="EY261" s="478"/>
      <c r="EZ261" s="478"/>
      <c r="FA261" s="478"/>
      <c r="FB261" s="478"/>
      <c r="FC261" s="478"/>
      <c r="FD261" s="478"/>
      <c r="FE261" s="478"/>
      <c r="FF261" s="478"/>
      <c r="FG261" s="478"/>
      <c r="FH261" s="478"/>
      <c r="FI261" s="478"/>
      <c r="FJ261" s="478"/>
      <c r="FK261" s="478"/>
      <c r="FL261" s="478"/>
      <c r="FM261" s="478"/>
      <c r="FN261" s="478"/>
      <c r="FO261" s="478"/>
      <c r="FP261" s="478"/>
      <c r="FQ261" s="478"/>
      <c r="FR261" s="478"/>
      <c r="FS261" s="478"/>
      <c r="FT261" s="478"/>
      <c r="FU261" s="478"/>
      <c r="FV261" s="478"/>
      <c r="FW261" s="478"/>
      <c r="FX261" s="478"/>
      <c r="FY261" s="478"/>
      <c r="FZ261" s="478"/>
      <c r="GA261" s="478"/>
      <c r="GB261" s="478"/>
      <c r="GC261" s="478"/>
      <c r="GD261" s="478"/>
      <c r="GE261" s="478"/>
      <c r="GF261" s="478"/>
      <c r="GG261" s="478"/>
      <c r="GH261" s="478"/>
      <c r="GI261" s="478"/>
      <c r="GJ261" s="478"/>
      <c r="GK261" s="478"/>
      <c r="GL261" s="478"/>
      <c r="GM261" s="478"/>
      <c r="GN261" s="478"/>
      <c r="GO261" s="478"/>
      <c r="GP261" s="478"/>
      <c r="GQ261" s="478"/>
      <c r="GR261" s="478"/>
      <c r="GS261" s="478"/>
      <c r="GT261" s="478"/>
      <c r="GU261" s="478"/>
      <c r="GV261" s="478"/>
      <c r="GW261" s="478"/>
      <c r="GX261" s="478"/>
      <c r="GY261" s="478"/>
      <c r="GZ261" s="478"/>
      <c r="HA261" s="478"/>
      <c r="HB261" s="478"/>
      <c r="HC261" s="478"/>
      <c r="HD261" s="478"/>
      <c r="HE261" s="478"/>
      <c r="HF261" s="478"/>
      <c r="HG261" s="478"/>
      <c r="HH261" s="478"/>
      <c r="HI261" s="478"/>
      <c r="HJ261" s="478"/>
      <c r="HK261" s="478"/>
      <c r="HL261" s="478"/>
      <c r="HM261" s="478"/>
      <c r="HN261" s="478"/>
      <c r="HO261" s="478"/>
      <c r="HP261" s="478"/>
      <c r="HQ261" s="478"/>
      <c r="HR261" s="478"/>
      <c r="HS261" s="478"/>
      <c r="HT261" s="478"/>
      <c r="HU261" s="478"/>
      <c r="HV261" s="478"/>
      <c r="HW261" s="478"/>
      <c r="HX261" s="478"/>
      <c r="HY261" s="478"/>
      <c r="HZ261" s="478"/>
      <c r="IA261" s="478"/>
      <c r="IB261" s="478"/>
      <c r="IC261" s="478"/>
      <c r="ID261" s="478"/>
      <c r="IE261" s="478"/>
      <c r="IF261" s="478"/>
      <c r="IG261" s="478"/>
      <c r="IH261" s="478"/>
      <c r="II261" s="478"/>
      <c r="IJ261" s="478"/>
      <c r="IK261" s="478"/>
      <c r="IL261" s="478"/>
      <c r="IM261" s="478"/>
      <c r="IN261" s="478"/>
      <c r="IO261" s="478"/>
      <c r="IP261" s="478"/>
      <c r="IQ261" s="478"/>
      <c r="IR261" s="478"/>
      <c r="IS261" s="478"/>
    </row>
    <row r="262" spans="1:253" ht="17.25">
      <c r="A262" s="606">
        <v>248</v>
      </c>
      <c r="B262" s="923"/>
      <c r="C262" s="913">
        <v>20</v>
      </c>
      <c r="D262" s="419" t="s">
        <v>1378</v>
      </c>
      <c r="E262" s="420" t="s">
        <v>781</v>
      </c>
      <c r="F262" s="444">
        <f t="shared" si="5"/>
        <v>300</v>
      </c>
      <c r="G262" s="444"/>
      <c r="H262" s="447"/>
      <c r="I262" s="489"/>
      <c r="J262" s="444">
        <v>300</v>
      </c>
      <c r="K262" s="859"/>
      <c r="L262" s="407"/>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c r="AK262" s="478"/>
      <c r="AL262" s="478"/>
      <c r="AM262" s="478"/>
      <c r="AN262" s="478"/>
      <c r="AO262" s="478"/>
      <c r="AP262" s="478"/>
      <c r="AQ262" s="478"/>
      <c r="AR262" s="478"/>
      <c r="AS262" s="478"/>
      <c r="AT262" s="478"/>
      <c r="AU262" s="478"/>
      <c r="AV262" s="478"/>
      <c r="AW262" s="478"/>
      <c r="AX262" s="478"/>
      <c r="AY262" s="478"/>
      <c r="AZ262" s="478"/>
      <c r="BA262" s="478"/>
      <c r="BB262" s="478"/>
      <c r="BC262" s="478"/>
      <c r="BD262" s="478"/>
      <c r="BE262" s="478"/>
      <c r="BF262" s="478"/>
      <c r="BG262" s="478"/>
      <c r="BH262" s="478"/>
      <c r="BI262" s="478"/>
      <c r="BJ262" s="478"/>
      <c r="BK262" s="478"/>
      <c r="BL262" s="478"/>
      <c r="BM262" s="478"/>
      <c r="BN262" s="478"/>
      <c r="BO262" s="478"/>
      <c r="BP262" s="478"/>
      <c r="BQ262" s="478"/>
      <c r="BR262" s="478"/>
      <c r="BS262" s="478"/>
      <c r="BT262" s="478"/>
      <c r="BU262" s="478"/>
      <c r="BV262" s="478"/>
      <c r="BW262" s="478"/>
      <c r="BX262" s="478"/>
      <c r="BY262" s="478"/>
      <c r="BZ262" s="478"/>
      <c r="CA262" s="478"/>
      <c r="CB262" s="478"/>
      <c r="CC262" s="478"/>
      <c r="CD262" s="478"/>
      <c r="CE262" s="478"/>
      <c r="CF262" s="478"/>
      <c r="CG262" s="478"/>
      <c r="CH262" s="478"/>
      <c r="CI262" s="478"/>
      <c r="CJ262" s="478"/>
      <c r="CK262" s="478"/>
      <c r="CL262" s="478"/>
      <c r="CM262" s="478"/>
      <c r="CN262" s="478"/>
      <c r="CO262" s="478"/>
      <c r="CP262" s="478"/>
      <c r="CQ262" s="478"/>
      <c r="CR262" s="478"/>
      <c r="CS262" s="478"/>
      <c r="CT262" s="478"/>
      <c r="CU262" s="478"/>
      <c r="CV262" s="478"/>
      <c r="CW262" s="478"/>
      <c r="CX262" s="478"/>
      <c r="CY262" s="478"/>
      <c r="CZ262" s="478"/>
      <c r="DA262" s="478"/>
      <c r="DB262" s="478"/>
      <c r="DC262" s="478"/>
      <c r="DD262" s="478"/>
      <c r="DE262" s="478"/>
      <c r="DF262" s="478"/>
      <c r="DG262" s="478"/>
      <c r="DH262" s="478"/>
      <c r="DI262" s="478"/>
      <c r="DJ262" s="478"/>
      <c r="DK262" s="478"/>
      <c r="DL262" s="478"/>
      <c r="DM262" s="478"/>
      <c r="DN262" s="478"/>
      <c r="DO262" s="478"/>
      <c r="DP262" s="478"/>
      <c r="DQ262" s="478"/>
      <c r="DR262" s="478"/>
      <c r="DS262" s="478"/>
      <c r="DT262" s="478"/>
      <c r="DU262" s="478"/>
      <c r="DV262" s="478"/>
      <c r="DW262" s="478"/>
      <c r="DX262" s="478"/>
      <c r="DY262" s="478"/>
      <c r="DZ262" s="478"/>
      <c r="EA262" s="478"/>
      <c r="EB262" s="478"/>
      <c r="EC262" s="478"/>
      <c r="ED262" s="478"/>
      <c r="EE262" s="478"/>
      <c r="EF262" s="478"/>
      <c r="EG262" s="478"/>
      <c r="EH262" s="478"/>
      <c r="EI262" s="478"/>
      <c r="EJ262" s="478"/>
      <c r="EK262" s="478"/>
      <c r="EL262" s="478"/>
      <c r="EM262" s="478"/>
      <c r="EN262" s="478"/>
      <c r="EO262" s="478"/>
      <c r="EP262" s="478"/>
      <c r="EQ262" s="478"/>
      <c r="ER262" s="478"/>
      <c r="ES262" s="478"/>
      <c r="ET262" s="478"/>
      <c r="EU262" s="478"/>
      <c r="EV262" s="478"/>
      <c r="EW262" s="478"/>
      <c r="EX262" s="478"/>
      <c r="EY262" s="478"/>
      <c r="EZ262" s="478"/>
      <c r="FA262" s="478"/>
      <c r="FB262" s="478"/>
      <c r="FC262" s="478"/>
      <c r="FD262" s="478"/>
      <c r="FE262" s="478"/>
      <c r="FF262" s="478"/>
      <c r="FG262" s="478"/>
      <c r="FH262" s="478"/>
      <c r="FI262" s="478"/>
      <c r="FJ262" s="478"/>
      <c r="FK262" s="478"/>
      <c r="FL262" s="478"/>
      <c r="FM262" s="478"/>
      <c r="FN262" s="478"/>
      <c r="FO262" s="478"/>
      <c r="FP262" s="478"/>
      <c r="FQ262" s="478"/>
      <c r="FR262" s="478"/>
      <c r="FS262" s="478"/>
      <c r="FT262" s="478"/>
      <c r="FU262" s="478"/>
      <c r="FV262" s="478"/>
      <c r="FW262" s="478"/>
      <c r="FX262" s="478"/>
      <c r="FY262" s="478"/>
      <c r="FZ262" s="478"/>
      <c r="GA262" s="478"/>
      <c r="GB262" s="478"/>
      <c r="GC262" s="478"/>
      <c r="GD262" s="478"/>
      <c r="GE262" s="478"/>
      <c r="GF262" s="478"/>
      <c r="GG262" s="478"/>
      <c r="GH262" s="478"/>
      <c r="GI262" s="478"/>
      <c r="GJ262" s="478"/>
      <c r="GK262" s="478"/>
      <c r="GL262" s="478"/>
      <c r="GM262" s="478"/>
      <c r="GN262" s="478"/>
      <c r="GO262" s="478"/>
      <c r="GP262" s="478"/>
      <c r="GQ262" s="478"/>
      <c r="GR262" s="478"/>
      <c r="GS262" s="478"/>
      <c r="GT262" s="478"/>
      <c r="GU262" s="478"/>
      <c r="GV262" s="478"/>
      <c r="GW262" s="478"/>
      <c r="GX262" s="478"/>
      <c r="GY262" s="478"/>
      <c r="GZ262" s="478"/>
      <c r="HA262" s="478"/>
      <c r="HB262" s="478"/>
      <c r="HC262" s="478"/>
      <c r="HD262" s="478"/>
      <c r="HE262" s="478"/>
      <c r="HF262" s="478"/>
      <c r="HG262" s="478"/>
      <c r="HH262" s="478"/>
      <c r="HI262" s="478"/>
      <c r="HJ262" s="478"/>
      <c r="HK262" s="478"/>
      <c r="HL262" s="478"/>
      <c r="HM262" s="478"/>
      <c r="HN262" s="478"/>
      <c r="HO262" s="478"/>
      <c r="HP262" s="478"/>
      <c r="HQ262" s="478"/>
      <c r="HR262" s="478"/>
      <c r="HS262" s="478"/>
      <c r="HT262" s="478"/>
      <c r="HU262" s="478"/>
      <c r="HV262" s="478"/>
      <c r="HW262" s="478"/>
      <c r="HX262" s="478"/>
      <c r="HY262" s="478"/>
      <c r="HZ262" s="478"/>
      <c r="IA262" s="478"/>
      <c r="IB262" s="478"/>
      <c r="IC262" s="478"/>
      <c r="ID262" s="478"/>
      <c r="IE262" s="478"/>
      <c r="IF262" s="478"/>
      <c r="IG262" s="478"/>
      <c r="IH262" s="478"/>
      <c r="II262" s="478"/>
      <c r="IJ262" s="478"/>
      <c r="IK262" s="478"/>
      <c r="IL262" s="478"/>
      <c r="IM262" s="478"/>
      <c r="IN262" s="478"/>
      <c r="IO262" s="478"/>
      <c r="IP262" s="478"/>
      <c r="IQ262" s="478"/>
      <c r="IR262" s="478"/>
      <c r="IS262" s="478"/>
    </row>
    <row r="263" spans="1:253" ht="17.25">
      <c r="A263" s="606">
        <v>249</v>
      </c>
      <c r="B263" s="923"/>
      <c r="C263" s="913">
        <v>21</v>
      </c>
      <c r="D263" s="419" t="s">
        <v>1379</v>
      </c>
      <c r="E263" s="420" t="s">
        <v>781</v>
      </c>
      <c r="F263" s="444">
        <f t="shared" si="5"/>
        <v>2000</v>
      </c>
      <c r="G263" s="444"/>
      <c r="H263" s="447"/>
      <c r="I263" s="489"/>
      <c r="J263" s="444">
        <v>2000</v>
      </c>
      <c r="K263" s="859"/>
      <c r="L263" s="407"/>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c r="AK263" s="478"/>
      <c r="AL263" s="478"/>
      <c r="AM263" s="478"/>
      <c r="AN263" s="478"/>
      <c r="AO263" s="478"/>
      <c r="AP263" s="478"/>
      <c r="AQ263" s="478"/>
      <c r="AR263" s="478"/>
      <c r="AS263" s="478"/>
      <c r="AT263" s="478"/>
      <c r="AU263" s="478"/>
      <c r="AV263" s="478"/>
      <c r="AW263" s="478"/>
      <c r="AX263" s="478"/>
      <c r="AY263" s="478"/>
      <c r="AZ263" s="478"/>
      <c r="BA263" s="478"/>
      <c r="BB263" s="478"/>
      <c r="BC263" s="478"/>
      <c r="BD263" s="478"/>
      <c r="BE263" s="478"/>
      <c r="BF263" s="478"/>
      <c r="BG263" s="478"/>
      <c r="BH263" s="478"/>
      <c r="BI263" s="478"/>
      <c r="BJ263" s="478"/>
      <c r="BK263" s="478"/>
      <c r="BL263" s="478"/>
      <c r="BM263" s="478"/>
      <c r="BN263" s="478"/>
      <c r="BO263" s="478"/>
      <c r="BP263" s="478"/>
      <c r="BQ263" s="478"/>
      <c r="BR263" s="478"/>
      <c r="BS263" s="478"/>
      <c r="BT263" s="478"/>
      <c r="BU263" s="478"/>
      <c r="BV263" s="478"/>
      <c r="BW263" s="478"/>
      <c r="BX263" s="478"/>
      <c r="BY263" s="478"/>
      <c r="BZ263" s="478"/>
      <c r="CA263" s="478"/>
      <c r="CB263" s="478"/>
      <c r="CC263" s="478"/>
      <c r="CD263" s="478"/>
      <c r="CE263" s="478"/>
      <c r="CF263" s="478"/>
      <c r="CG263" s="478"/>
      <c r="CH263" s="478"/>
      <c r="CI263" s="478"/>
      <c r="CJ263" s="478"/>
      <c r="CK263" s="478"/>
      <c r="CL263" s="478"/>
      <c r="CM263" s="478"/>
      <c r="CN263" s="478"/>
      <c r="CO263" s="478"/>
      <c r="CP263" s="478"/>
      <c r="CQ263" s="478"/>
      <c r="CR263" s="478"/>
      <c r="CS263" s="478"/>
      <c r="CT263" s="478"/>
      <c r="CU263" s="478"/>
      <c r="CV263" s="478"/>
      <c r="CW263" s="478"/>
      <c r="CX263" s="478"/>
      <c r="CY263" s="478"/>
      <c r="CZ263" s="478"/>
      <c r="DA263" s="478"/>
      <c r="DB263" s="478"/>
      <c r="DC263" s="478"/>
      <c r="DD263" s="478"/>
      <c r="DE263" s="478"/>
      <c r="DF263" s="478"/>
      <c r="DG263" s="478"/>
      <c r="DH263" s="478"/>
      <c r="DI263" s="478"/>
      <c r="DJ263" s="478"/>
      <c r="DK263" s="478"/>
      <c r="DL263" s="478"/>
      <c r="DM263" s="478"/>
      <c r="DN263" s="478"/>
      <c r="DO263" s="478"/>
      <c r="DP263" s="478"/>
      <c r="DQ263" s="478"/>
      <c r="DR263" s="478"/>
      <c r="DS263" s="478"/>
      <c r="DT263" s="478"/>
      <c r="DU263" s="478"/>
      <c r="DV263" s="478"/>
      <c r="DW263" s="478"/>
      <c r="DX263" s="478"/>
      <c r="DY263" s="478"/>
      <c r="DZ263" s="478"/>
      <c r="EA263" s="478"/>
      <c r="EB263" s="478"/>
      <c r="EC263" s="478"/>
      <c r="ED263" s="478"/>
      <c r="EE263" s="478"/>
      <c r="EF263" s="478"/>
      <c r="EG263" s="478"/>
      <c r="EH263" s="478"/>
      <c r="EI263" s="478"/>
      <c r="EJ263" s="478"/>
      <c r="EK263" s="478"/>
      <c r="EL263" s="478"/>
      <c r="EM263" s="478"/>
      <c r="EN263" s="478"/>
      <c r="EO263" s="478"/>
      <c r="EP263" s="478"/>
      <c r="EQ263" s="478"/>
      <c r="ER263" s="478"/>
      <c r="ES263" s="478"/>
      <c r="ET263" s="478"/>
      <c r="EU263" s="478"/>
      <c r="EV263" s="478"/>
      <c r="EW263" s="478"/>
      <c r="EX263" s="478"/>
      <c r="EY263" s="478"/>
      <c r="EZ263" s="478"/>
      <c r="FA263" s="478"/>
      <c r="FB263" s="478"/>
      <c r="FC263" s="478"/>
      <c r="FD263" s="478"/>
      <c r="FE263" s="478"/>
      <c r="FF263" s="478"/>
      <c r="FG263" s="478"/>
      <c r="FH263" s="478"/>
      <c r="FI263" s="478"/>
      <c r="FJ263" s="478"/>
      <c r="FK263" s="478"/>
      <c r="FL263" s="478"/>
      <c r="FM263" s="478"/>
      <c r="FN263" s="478"/>
      <c r="FO263" s="478"/>
      <c r="FP263" s="478"/>
      <c r="FQ263" s="478"/>
      <c r="FR263" s="478"/>
      <c r="FS263" s="478"/>
      <c r="FT263" s="478"/>
      <c r="FU263" s="478"/>
      <c r="FV263" s="478"/>
      <c r="FW263" s="478"/>
      <c r="FX263" s="478"/>
      <c r="FY263" s="478"/>
      <c r="FZ263" s="478"/>
      <c r="GA263" s="478"/>
      <c r="GB263" s="478"/>
      <c r="GC263" s="478"/>
      <c r="GD263" s="478"/>
      <c r="GE263" s="478"/>
      <c r="GF263" s="478"/>
      <c r="GG263" s="478"/>
      <c r="GH263" s="478"/>
      <c r="GI263" s="478"/>
      <c r="GJ263" s="478"/>
      <c r="GK263" s="478"/>
      <c r="GL263" s="478"/>
      <c r="GM263" s="478"/>
      <c r="GN263" s="478"/>
      <c r="GO263" s="478"/>
      <c r="GP263" s="478"/>
      <c r="GQ263" s="478"/>
      <c r="GR263" s="478"/>
      <c r="GS263" s="478"/>
      <c r="GT263" s="478"/>
      <c r="GU263" s="478"/>
      <c r="GV263" s="478"/>
      <c r="GW263" s="478"/>
      <c r="GX263" s="478"/>
      <c r="GY263" s="478"/>
      <c r="GZ263" s="478"/>
      <c r="HA263" s="478"/>
      <c r="HB263" s="478"/>
      <c r="HC263" s="478"/>
      <c r="HD263" s="478"/>
      <c r="HE263" s="478"/>
      <c r="HF263" s="478"/>
      <c r="HG263" s="478"/>
      <c r="HH263" s="478"/>
      <c r="HI263" s="478"/>
      <c r="HJ263" s="478"/>
      <c r="HK263" s="478"/>
      <c r="HL263" s="478"/>
      <c r="HM263" s="478"/>
      <c r="HN263" s="478"/>
      <c r="HO263" s="478"/>
      <c r="HP263" s="478"/>
      <c r="HQ263" s="478"/>
      <c r="HR263" s="478"/>
      <c r="HS263" s="478"/>
      <c r="HT263" s="478"/>
      <c r="HU263" s="478"/>
      <c r="HV263" s="478"/>
      <c r="HW263" s="478"/>
      <c r="HX263" s="478"/>
      <c r="HY263" s="478"/>
      <c r="HZ263" s="478"/>
      <c r="IA263" s="478"/>
      <c r="IB263" s="478"/>
      <c r="IC263" s="478"/>
      <c r="ID263" s="478"/>
      <c r="IE263" s="478"/>
      <c r="IF263" s="478"/>
      <c r="IG263" s="478"/>
      <c r="IH263" s="478"/>
      <c r="II263" s="478"/>
      <c r="IJ263" s="478"/>
      <c r="IK263" s="478"/>
      <c r="IL263" s="478"/>
      <c r="IM263" s="478"/>
      <c r="IN263" s="478"/>
      <c r="IO263" s="478"/>
      <c r="IP263" s="478"/>
      <c r="IQ263" s="478"/>
      <c r="IR263" s="478"/>
      <c r="IS263" s="478"/>
    </row>
    <row r="264" spans="1:253" ht="17.25">
      <c r="A264" s="606">
        <v>250</v>
      </c>
      <c r="B264" s="923"/>
      <c r="C264" s="913">
        <v>22</v>
      </c>
      <c r="D264" s="419" t="s">
        <v>1380</v>
      </c>
      <c r="E264" s="420" t="s">
        <v>781</v>
      </c>
      <c r="F264" s="444">
        <f t="shared" si="5"/>
        <v>1000</v>
      </c>
      <c r="G264" s="444"/>
      <c r="H264" s="447"/>
      <c r="I264" s="489"/>
      <c r="J264" s="444">
        <v>1000</v>
      </c>
      <c r="K264" s="859"/>
      <c r="L264" s="407"/>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c r="AK264" s="478"/>
      <c r="AL264" s="478"/>
      <c r="AM264" s="478"/>
      <c r="AN264" s="478"/>
      <c r="AO264" s="478"/>
      <c r="AP264" s="478"/>
      <c r="AQ264" s="478"/>
      <c r="AR264" s="478"/>
      <c r="AS264" s="478"/>
      <c r="AT264" s="478"/>
      <c r="AU264" s="478"/>
      <c r="AV264" s="478"/>
      <c r="AW264" s="478"/>
      <c r="AX264" s="478"/>
      <c r="AY264" s="478"/>
      <c r="AZ264" s="478"/>
      <c r="BA264" s="478"/>
      <c r="BB264" s="478"/>
      <c r="BC264" s="478"/>
      <c r="BD264" s="478"/>
      <c r="BE264" s="478"/>
      <c r="BF264" s="478"/>
      <c r="BG264" s="478"/>
      <c r="BH264" s="478"/>
      <c r="BI264" s="478"/>
      <c r="BJ264" s="478"/>
      <c r="BK264" s="478"/>
      <c r="BL264" s="478"/>
      <c r="BM264" s="478"/>
      <c r="BN264" s="478"/>
      <c r="BO264" s="478"/>
      <c r="BP264" s="478"/>
      <c r="BQ264" s="478"/>
      <c r="BR264" s="478"/>
      <c r="BS264" s="478"/>
      <c r="BT264" s="478"/>
      <c r="BU264" s="478"/>
      <c r="BV264" s="478"/>
      <c r="BW264" s="478"/>
      <c r="BX264" s="478"/>
      <c r="BY264" s="478"/>
      <c r="BZ264" s="478"/>
      <c r="CA264" s="478"/>
      <c r="CB264" s="478"/>
      <c r="CC264" s="478"/>
      <c r="CD264" s="478"/>
      <c r="CE264" s="478"/>
      <c r="CF264" s="478"/>
      <c r="CG264" s="478"/>
      <c r="CH264" s="478"/>
      <c r="CI264" s="478"/>
      <c r="CJ264" s="478"/>
      <c r="CK264" s="478"/>
      <c r="CL264" s="478"/>
      <c r="CM264" s="478"/>
      <c r="CN264" s="478"/>
      <c r="CO264" s="478"/>
      <c r="CP264" s="478"/>
      <c r="CQ264" s="478"/>
      <c r="CR264" s="478"/>
      <c r="CS264" s="478"/>
      <c r="CT264" s="478"/>
      <c r="CU264" s="478"/>
      <c r="CV264" s="478"/>
      <c r="CW264" s="478"/>
      <c r="CX264" s="478"/>
      <c r="CY264" s="478"/>
      <c r="CZ264" s="478"/>
      <c r="DA264" s="478"/>
      <c r="DB264" s="478"/>
      <c r="DC264" s="478"/>
      <c r="DD264" s="478"/>
      <c r="DE264" s="478"/>
      <c r="DF264" s="478"/>
      <c r="DG264" s="478"/>
      <c r="DH264" s="478"/>
      <c r="DI264" s="478"/>
      <c r="DJ264" s="478"/>
      <c r="DK264" s="478"/>
      <c r="DL264" s="478"/>
      <c r="DM264" s="478"/>
      <c r="DN264" s="478"/>
      <c r="DO264" s="478"/>
      <c r="DP264" s="478"/>
      <c r="DQ264" s="478"/>
      <c r="DR264" s="478"/>
      <c r="DS264" s="478"/>
      <c r="DT264" s="478"/>
      <c r="DU264" s="478"/>
      <c r="DV264" s="478"/>
      <c r="DW264" s="478"/>
      <c r="DX264" s="478"/>
      <c r="DY264" s="478"/>
      <c r="DZ264" s="478"/>
      <c r="EA264" s="478"/>
      <c r="EB264" s="478"/>
      <c r="EC264" s="478"/>
      <c r="ED264" s="478"/>
      <c r="EE264" s="478"/>
      <c r="EF264" s="478"/>
      <c r="EG264" s="478"/>
      <c r="EH264" s="478"/>
      <c r="EI264" s="478"/>
      <c r="EJ264" s="478"/>
      <c r="EK264" s="478"/>
      <c r="EL264" s="478"/>
      <c r="EM264" s="478"/>
      <c r="EN264" s="478"/>
      <c r="EO264" s="478"/>
      <c r="EP264" s="478"/>
      <c r="EQ264" s="478"/>
      <c r="ER264" s="478"/>
      <c r="ES264" s="478"/>
      <c r="ET264" s="478"/>
      <c r="EU264" s="478"/>
      <c r="EV264" s="478"/>
      <c r="EW264" s="478"/>
      <c r="EX264" s="478"/>
      <c r="EY264" s="478"/>
      <c r="EZ264" s="478"/>
      <c r="FA264" s="478"/>
      <c r="FB264" s="478"/>
      <c r="FC264" s="478"/>
      <c r="FD264" s="478"/>
      <c r="FE264" s="478"/>
      <c r="FF264" s="478"/>
      <c r="FG264" s="478"/>
      <c r="FH264" s="478"/>
      <c r="FI264" s="478"/>
      <c r="FJ264" s="478"/>
      <c r="FK264" s="478"/>
      <c r="FL264" s="478"/>
      <c r="FM264" s="478"/>
      <c r="FN264" s="478"/>
      <c r="FO264" s="478"/>
      <c r="FP264" s="478"/>
      <c r="FQ264" s="478"/>
      <c r="FR264" s="478"/>
      <c r="FS264" s="478"/>
      <c r="FT264" s="478"/>
      <c r="FU264" s="478"/>
      <c r="FV264" s="478"/>
      <c r="FW264" s="478"/>
      <c r="FX264" s="478"/>
      <c r="FY264" s="478"/>
      <c r="FZ264" s="478"/>
      <c r="GA264" s="478"/>
      <c r="GB264" s="478"/>
      <c r="GC264" s="478"/>
      <c r="GD264" s="478"/>
      <c r="GE264" s="478"/>
      <c r="GF264" s="478"/>
      <c r="GG264" s="478"/>
      <c r="GH264" s="478"/>
      <c r="GI264" s="478"/>
      <c r="GJ264" s="478"/>
      <c r="GK264" s="478"/>
      <c r="GL264" s="478"/>
      <c r="GM264" s="478"/>
      <c r="GN264" s="478"/>
      <c r="GO264" s="478"/>
      <c r="GP264" s="478"/>
      <c r="GQ264" s="478"/>
      <c r="GR264" s="478"/>
      <c r="GS264" s="478"/>
      <c r="GT264" s="478"/>
      <c r="GU264" s="478"/>
      <c r="GV264" s="478"/>
      <c r="GW264" s="478"/>
      <c r="GX264" s="478"/>
      <c r="GY264" s="478"/>
      <c r="GZ264" s="478"/>
      <c r="HA264" s="478"/>
      <c r="HB264" s="478"/>
      <c r="HC264" s="478"/>
      <c r="HD264" s="478"/>
      <c r="HE264" s="478"/>
      <c r="HF264" s="478"/>
      <c r="HG264" s="478"/>
      <c r="HH264" s="478"/>
      <c r="HI264" s="478"/>
      <c r="HJ264" s="478"/>
      <c r="HK264" s="478"/>
      <c r="HL264" s="478"/>
      <c r="HM264" s="478"/>
      <c r="HN264" s="478"/>
      <c r="HO264" s="478"/>
      <c r="HP264" s="478"/>
      <c r="HQ264" s="478"/>
      <c r="HR264" s="478"/>
      <c r="HS264" s="478"/>
      <c r="HT264" s="478"/>
      <c r="HU264" s="478"/>
      <c r="HV264" s="478"/>
      <c r="HW264" s="478"/>
      <c r="HX264" s="478"/>
      <c r="HY264" s="478"/>
      <c r="HZ264" s="478"/>
      <c r="IA264" s="478"/>
      <c r="IB264" s="478"/>
      <c r="IC264" s="478"/>
      <c r="ID264" s="478"/>
      <c r="IE264" s="478"/>
      <c r="IF264" s="478"/>
      <c r="IG264" s="478"/>
      <c r="IH264" s="478"/>
      <c r="II264" s="478"/>
      <c r="IJ264" s="478"/>
      <c r="IK264" s="478"/>
      <c r="IL264" s="478"/>
      <c r="IM264" s="478"/>
      <c r="IN264" s="478"/>
      <c r="IO264" s="478"/>
      <c r="IP264" s="478"/>
      <c r="IQ264" s="478"/>
      <c r="IR264" s="478"/>
      <c r="IS264" s="478"/>
    </row>
    <row r="265" spans="1:253" ht="17.25">
      <c r="A265" s="606">
        <v>251</v>
      </c>
      <c r="B265" s="923"/>
      <c r="C265" s="913">
        <v>23</v>
      </c>
      <c r="D265" s="419" t="s">
        <v>1381</v>
      </c>
      <c r="E265" s="420" t="s">
        <v>781</v>
      </c>
      <c r="F265" s="444">
        <f t="shared" si="5"/>
        <v>800</v>
      </c>
      <c r="G265" s="444"/>
      <c r="H265" s="447"/>
      <c r="I265" s="489"/>
      <c r="J265" s="444">
        <v>800</v>
      </c>
      <c r="K265" s="859"/>
      <c r="L265" s="407"/>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c r="AK265" s="478"/>
      <c r="AL265" s="478"/>
      <c r="AM265" s="478"/>
      <c r="AN265" s="478"/>
      <c r="AO265" s="478"/>
      <c r="AP265" s="478"/>
      <c r="AQ265" s="478"/>
      <c r="AR265" s="478"/>
      <c r="AS265" s="478"/>
      <c r="AT265" s="478"/>
      <c r="AU265" s="478"/>
      <c r="AV265" s="478"/>
      <c r="AW265" s="478"/>
      <c r="AX265" s="478"/>
      <c r="AY265" s="478"/>
      <c r="AZ265" s="478"/>
      <c r="BA265" s="478"/>
      <c r="BB265" s="478"/>
      <c r="BC265" s="478"/>
      <c r="BD265" s="478"/>
      <c r="BE265" s="478"/>
      <c r="BF265" s="478"/>
      <c r="BG265" s="478"/>
      <c r="BH265" s="478"/>
      <c r="BI265" s="478"/>
      <c r="BJ265" s="478"/>
      <c r="BK265" s="478"/>
      <c r="BL265" s="478"/>
      <c r="BM265" s="478"/>
      <c r="BN265" s="478"/>
      <c r="BO265" s="478"/>
      <c r="BP265" s="478"/>
      <c r="BQ265" s="478"/>
      <c r="BR265" s="478"/>
      <c r="BS265" s="478"/>
      <c r="BT265" s="478"/>
      <c r="BU265" s="478"/>
      <c r="BV265" s="478"/>
      <c r="BW265" s="478"/>
      <c r="BX265" s="478"/>
      <c r="BY265" s="478"/>
      <c r="BZ265" s="478"/>
      <c r="CA265" s="478"/>
      <c r="CB265" s="478"/>
      <c r="CC265" s="478"/>
      <c r="CD265" s="478"/>
      <c r="CE265" s="478"/>
      <c r="CF265" s="478"/>
      <c r="CG265" s="478"/>
      <c r="CH265" s="478"/>
      <c r="CI265" s="478"/>
      <c r="CJ265" s="478"/>
      <c r="CK265" s="478"/>
      <c r="CL265" s="478"/>
      <c r="CM265" s="478"/>
      <c r="CN265" s="478"/>
      <c r="CO265" s="478"/>
      <c r="CP265" s="478"/>
      <c r="CQ265" s="478"/>
      <c r="CR265" s="478"/>
      <c r="CS265" s="478"/>
      <c r="CT265" s="478"/>
      <c r="CU265" s="478"/>
      <c r="CV265" s="478"/>
      <c r="CW265" s="478"/>
      <c r="CX265" s="478"/>
      <c r="CY265" s="478"/>
      <c r="CZ265" s="478"/>
      <c r="DA265" s="478"/>
      <c r="DB265" s="478"/>
      <c r="DC265" s="478"/>
      <c r="DD265" s="478"/>
      <c r="DE265" s="478"/>
      <c r="DF265" s="478"/>
      <c r="DG265" s="478"/>
      <c r="DH265" s="478"/>
      <c r="DI265" s="478"/>
      <c r="DJ265" s="478"/>
      <c r="DK265" s="478"/>
      <c r="DL265" s="478"/>
      <c r="DM265" s="478"/>
      <c r="DN265" s="478"/>
      <c r="DO265" s="478"/>
      <c r="DP265" s="478"/>
      <c r="DQ265" s="478"/>
      <c r="DR265" s="478"/>
      <c r="DS265" s="478"/>
      <c r="DT265" s="478"/>
      <c r="DU265" s="478"/>
      <c r="DV265" s="478"/>
      <c r="DW265" s="478"/>
      <c r="DX265" s="478"/>
      <c r="DY265" s="478"/>
      <c r="DZ265" s="478"/>
      <c r="EA265" s="478"/>
      <c r="EB265" s="478"/>
      <c r="EC265" s="478"/>
      <c r="ED265" s="478"/>
      <c r="EE265" s="478"/>
      <c r="EF265" s="478"/>
      <c r="EG265" s="478"/>
      <c r="EH265" s="478"/>
      <c r="EI265" s="478"/>
      <c r="EJ265" s="478"/>
      <c r="EK265" s="478"/>
      <c r="EL265" s="478"/>
      <c r="EM265" s="478"/>
      <c r="EN265" s="478"/>
      <c r="EO265" s="478"/>
      <c r="EP265" s="478"/>
      <c r="EQ265" s="478"/>
      <c r="ER265" s="478"/>
      <c r="ES265" s="478"/>
      <c r="ET265" s="478"/>
      <c r="EU265" s="478"/>
      <c r="EV265" s="478"/>
      <c r="EW265" s="478"/>
      <c r="EX265" s="478"/>
      <c r="EY265" s="478"/>
      <c r="EZ265" s="478"/>
      <c r="FA265" s="478"/>
      <c r="FB265" s="478"/>
      <c r="FC265" s="478"/>
      <c r="FD265" s="478"/>
      <c r="FE265" s="478"/>
      <c r="FF265" s="478"/>
      <c r="FG265" s="478"/>
      <c r="FH265" s="478"/>
      <c r="FI265" s="478"/>
      <c r="FJ265" s="478"/>
      <c r="FK265" s="478"/>
      <c r="FL265" s="478"/>
      <c r="FM265" s="478"/>
      <c r="FN265" s="478"/>
      <c r="FO265" s="478"/>
      <c r="FP265" s="478"/>
      <c r="FQ265" s="478"/>
      <c r="FR265" s="478"/>
      <c r="FS265" s="478"/>
      <c r="FT265" s="478"/>
      <c r="FU265" s="478"/>
      <c r="FV265" s="478"/>
      <c r="FW265" s="478"/>
      <c r="FX265" s="478"/>
      <c r="FY265" s="478"/>
      <c r="FZ265" s="478"/>
      <c r="GA265" s="478"/>
      <c r="GB265" s="478"/>
      <c r="GC265" s="478"/>
      <c r="GD265" s="478"/>
      <c r="GE265" s="478"/>
      <c r="GF265" s="478"/>
      <c r="GG265" s="478"/>
      <c r="GH265" s="478"/>
      <c r="GI265" s="478"/>
      <c r="GJ265" s="478"/>
      <c r="GK265" s="478"/>
      <c r="GL265" s="478"/>
      <c r="GM265" s="478"/>
      <c r="GN265" s="478"/>
      <c r="GO265" s="478"/>
      <c r="GP265" s="478"/>
      <c r="GQ265" s="478"/>
      <c r="GR265" s="478"/>
      <c r="GS265" s="478"/>
      <c r="GT265" s="478"/>
      <c r="GU265" s="478"/>
      <c r="GV265" s="478"/>
      <c r="GW265" s="478"/>
      <c r="GX265" s="478"/>
      <c r="GY265" s="478"/>
      <c r="GZ265" s="478"/>
      <c r="HA265" s="478"/>
      <c r="HB265" s="478"/>
      <c r="HC265" s="478"/>
      <c r="HD265" s="478"/>
      <c r="HE265" s="478"/>
      <c r="HF265" s="478"/>
      <c r="HG265" s="478"/>
      <c r="HH265" s="478"/>
      <c r="HI265" s="478"/>
      <c r="HJ265" s="478"/>
      <c r="HK265" s="478"/>
      <c r="HL265" s="478"/>
      <c r="HM265" s="478"/>
      <c r="HN265" s="478"/>
      <c r="HO265" s="478"/>
      <c r="HP265" s="478"/>
      <c r="HQ265" s="478"/>
      <c r="HR265" s="478"/>
      <c r="HS265" s="478"/>
      <c r="HT265" s="478"/>
      <c r="HU265" s="478"/>
      <c r="HV265" s="478"/>
      <c r="HW265" s="478"/>
      <c r="HX265" s="478"/>
      <c r="HY265" s="478"/>
      <c r="HZ265" s="478"/>
      <c r="IA265" s="478"/>
      <c r="IB265" s="478"/>
      <c r="IC265" s="478"/>
      <c r="ID265" s="478"/>
      <c r="IE265" s="478"/>
      <c r="IF265" s="478"/>
      <c r="IG265" s="478"/>
      <c r="IH265" s="478"/>
      <c r="II265" s="478"/>
      <c r="IJ265" s="478"/>
      <c r="IK265" s="478"/>
      <c r="IL265" s="478"/>
      <c r="IM265" s="478"/>
      <c r="IN265" s="478"/>
      <c r="IO265" s="478"/>
      <c r="IP265" s="478"/>
      <c r="IQ265" s="478"/>
      <c r="IR265" s="478"/>
      <c r="IS265" s="478"/>
    </row>
    <row r="266" spans="1:253" ht="17.25">
      <c r="A266" s="606">
        <v>252</v>
      </c>
      <c r="B266" s="923">
        <v>14</v>
      </c>
      <c r="C266" s="913"/>
      <c r="D266" s="442" t="s">
        <v>730</v>
      </c>
      <c r="E266" s="443"/>
      <c r="F266" s="444"/>
      <c r="G266" s="445"/>
      <c r="H266" s="446"/>
      <c r="I266" s="488"/>
      <c r="J266" s="444"/>
      <c r="K266" s="858"/>
      <c r="L266" s="407"/>
      <c r="M266" s="476"/>
      <c r="N266" s="476"/>
      <c r="O266" s="476"/>
      <c r="P266" s="476"/>
      <c r="Q266" s="476"/>
      <c r="R266" s="476"/>
      <c r="S266" s="476"/>
      <c r="T266" s="476"/>
      <c r="U266" s="476"/>
      <c r="V266" s="476"/>
      <c r="W266" s="476"/>
      <c r="X266" s="476"/>
      <c r="Y266" s="476"/>
      <c r="Z266" s="476"/>
      <c r="AA266" s="476"/>
      <c r="AB266" s="476"/>
      <c r="AC266" s="476"/>
      <c r="AD266" s="476"/>
      <c r="AE266" s="476"/>
      <c r="AF266" s="476"/>
      <c r="AG266" s="476"/>
      <c r="AH266" s="476"/>
      <c r="AI266" s="476"/>
      <c r="AJ266" s="476"/>
      <c r="AK266" s="476"/>
      <c r="AL266" s="476"/>
      <c r="AM266" s="476"/>
      <c r="AN266" s="476"/>
      <c r="AO266" s="476"/>
      <c r="AP266" s="476"/>
      <c r="AQ266" s="476"/>
      <c r="AR266" s="476"/>
      <c r="AS266" s="476"/>
      <c r="AT266" s="476"/>
      <c r="AU266" s="476"/>
      <c r="AV266" s="476"/>
      <c r="AW266" s="476"/>
      <c r="AX266" s="476"/>
      <c r="AY266" s="476"/>
      <c r="AZ266" s="476"/>
      <c r="BA266" s="476"/>
      <c r="BB266" s="476"/>
      <c r="BC266" s="476"/>
      <c r="BD266" s="476"/>
      <c r="BE266" s="476"/>
      <c r="BF266" s="476"/>
      <c r="BG266" s="476"/>
      <c r="BH266" s="476"/>
      <c r="BI266" s="476"/>
      <c r="BJ266" s="476"/>
      <c r="BK266" s="476"/>
      <c r="BL266" s="476"/>
      <c r="BM266" s="476"/>
      <c r="BN266" s="476"/>
      <c r="BO266" s="476"/>
      <c r="BP266" s="476"/>
      <c r="BQ266" s="476"/>
      <c r="BR266" s="476"/>
      <c r="BS266" s="476"/>
      <c r="BT266" s="476"/>
      <c r="BU266" s="476"/>
      <c r="BV266" s="476"/>
      <c r="BW266" s="476"/>
      <c r="BX266" s="476"/>
      <c r="BY266" s="476"/>
      <c r="BZ266" s="476"/>
      <c r="CA266" s="476"/>
      <c r="CB266" s="476"/>
      <c r="CC266" s="476"/>
      <c r="CD266" s="476"/>
      <c r="CE266" s="476"/>
      <c r="CF266" s="476"/>
      <c r="CG266" s="476"/>
      <c r="CH266" s="476"/>
      <c r="CI266" s="476"/>
      <c r="CJ266" s="476"/>
      <c r="CK266" s="476"/>
      <c r="CL266" s="476"/>
      <c r="CM266" s="476"/>
      <c r="CN266" s="476"/>
      <c r="CO266" s="476"/>
      <c r="CP266" s="476"/>
      <c r="CQ266" s="476"/>
      <c r="CR266" s="476"/>
      <c r="CS266" s="476"/>
      <c r="CT266" s="476"/>
      <c r="CU266" s="476"/>
      <c r="CV266" s="476"/>
      <c r="CW266" s="476"/>
      <c r="CX266" s="476"/>
      <c r="CY266" s="476"/>
      <c r="CZ266" s="476"/>
      <c r="DA266" s="476"/>
      <c r="DB266" s="476"/>
      <c r="DC266" s="476"/>
      <c r="DD266" s="476"/>
      <c r="DE266" s="476"/>
      <c r="DF266" s="476"/>
      <c r="DG266" s="476"/>
      <c r="DH266" s="476"/>
      <c r="DI266" s="476"/>
      <c r="DJ266" s="476"/>
      <c r="DK266" s="476"/>
      <c r="DL266" s="476"/>
      <c r="DM266" s="476"/>
      <c r="DN266" s="476"/>
      <c r="DO266" s="476"/>
      <c r="DP266" s="476"/>
      <c r="DQ266" s="476"/>
      <c r="DR266" s="476"/>
      <c r="DS266" s="476"/>
      <c r="DT266" s="476"/>
      <c r="DU266" s="476"/>
      <c r="DV266" s="476"/>
      <c r="DW266" s="476"/>
      <c r="DX266" s="476"/>
      <c r="DY266" s="476"/>
      <c r="DZ266" s="476"/>
      <c r="EA266" s="476"/>
      <c r="EB266" s="476"/>
      <c r="EC266" s="476"/>
      <c r="ED266" s="476"/>
      <c r="EE266" s="476"/>
      <c r="EF266" s="476"/>
      <c r="EG266" s="476"/>
      <c r="EH266" s="476"/>
      <c r="EI266" s="476"/>
      <c r="EJ266" s="476"/>
      <c r="EK266" s="476"/>
      <c r="EL266" s="476"/>
      <c r="EM266" s="476"/>
      <c r="EN266" s="476"/>
      <c r="EO266" s="476"/>
      <c r="EP266" s="476"/>
      <c r="EQ266" s="476"/>
      <c r="ER266" s="476"/>
      <c r="ES266" s="476"/>
      <c r="ET266" s="476"/>
      <c r="EU266" s="476"/>
      <c r="EV266" s="476"/>
      <c r="EW266" s="476"/>
      <c r="EX266" s="476"/>
      <c r="EY266" s="476"/>
      <c r="EZ266" s="476"/>
      <c r="FA266" s="476"/>
      <c r="FB266" s="476"/>
      <c r="FC266" s="476"/>
      <c r="FD266" s="476"/>
      <c r="FE266" s="476"/>
      <c r="FF266" s="476"/>
      <c r="FG266" s="476"/>
      <c r="FH266" s="476"/>
      <c r="FI266" s="476"/>
      <c r="FJ266" s="476"/>
      <c r="FK266" s="476"/>
      <c r="FL266" s="476"/>
      <c r="FM266" s="476"/>
      <c r="FN266" s="476"/>
      <c r="FO266" s="476"/>
      <c r="FP266" s="476"/>
      <c r="FQ266" s="476"/>
      <c r="FR266" s="476"/>
      <c r="FS266" s="476"/>
      <c r="FT266" s="476"/>
      <c r="FU266" s="476"/>
      <c r="FV266" s="476"/>
      <c r="FW266" s="476"/>
      <c r="FX266" s="476"/>
      <c r="FY266" s="476"/>
      <c r="FZ266" s="476"/>
      <c r="GA266" s="476"/>
      <c r="GB266" s="476"/>
      <c r="GC266" s="476"/>
      <c r="GD266" s="476"/>
      <c r="GE266" s="476"/>
      <c r="GF266" s="476"/>
      <c r="GG266" s="476"/>
      <c r="GH266" s="476"/>
      <c r="GI266" s="476"/>
      <c r="GJ266" s="476"/>
      <c r="GK266" s="476"/>
      <c r="GL266" s="476"/>
      <c r="GM266" s="476"/>
      <c r="GN266" s="476"/>
      <c r="GO266" s="476"/>
      <c r="GP266" s="476"/>
      <c r="GQ266" s="476"/>
      <c r="GR266" s="476"/>
      <c r="GS266" s="476"/>
      <c r="GT266" s="476"/>
      <c r="GU266" s="476"/>
      <c r="GV266" s="476"/>
      <c r="GW266" s="476"/>
      <c r="GX266" s="476"/>
      <c r="GY266" s="476"/>
      <c r="GZ266" s="476"/>
      <c r="HA266" s="476"/>
      <c r="HB266" s="476"/>
      <c r="HC266" s="476"/>
      <c r="HD266" s="476"/>
      <c r="HE266" s="476"/>
      <c r="HF266" s="476"/>
      <c r="HG266" s="476"/>
      <c r="HH266" s="476"/>
      <c r="HI266" s="476"/>
      <c r="HJ266" s="476"/>
      <c r="HK266" s="476"/>
      <c r="HL266" s="476"/>
      <c r="HM266" s="476"/>
      <c r="HN266" s="476"/>
      <c r="HO266" s="476"/>
      <c r="HP266" s="476"/>
      <c r="HQ266" s="476"/>
      <c r="HR266" s="476"/>
      <c r="HS266" s="476"/>
      <c r="HT266" s="476"/>
      <c r="HU266" s="476"/>
      <c r="HV266" s="476"/>
      <c r="HW266" s="476"/>
      <c r="HX266" s="476"/>
      <c r="HY266" s="476"/>
      <c r="HZ266" s="476"/>
      <c r="IA266" s="476"/>
      <c r="IB266" s="476"/>
      <c r="IC266" s="476"/>
      <c r="ID266" s="476"/>
      <c r="IE266" s="476"/>
      <c r="IF266" s="476"/>
      <c r="IG266" s="476"/>
      <c r="IH266" s="476"/>
      <c r="II266" s="476"/>
      <c r="IJ266" s="476"/>
      <c r="IK266" s="476"/>
      <c r="IL266" s="476"/>
      <c r="IM266" s="476"/>
      <c r="IN266" s="476"/>
      <c r="IO266" s="476"/>
      <c r="IP266" s="476"/>
      <c r="IQ266" s="476"/>
      <c r="IR266" s="476"/>
      <c r="IS266" s="476"/>
    </row>
    <row r="267" spans="1:12" ht="82.5">
      <c r="A267" s="606">
        <v>253</v>
      </c>
      <c r="B267" s="923"/>
      <c r="C267" s="913">
        <v>1</v>
      </c>
      <c r="D267" s="419" t="s">
        <v>1382</v>
      </c>
      <c r="E267" s="420" t="s">
        <v>781</v>
      </c>
      <c r="F267" s="444">
        <f t="shared" si="4"/>
        <v>1187</v>
      </c>
      <c r="G267" s="444"/>
      <c r="H267" s="447"/>
      <c r="I267" s="489">
        <v>250</v>
      </c>
      <c r="J267" s="444">
        <v>1187</v>
      </c>
      <c r="K267" s="859">
        <v>1181</v>
      </c>
      <c r="L267" s="407"/>
    </row>
    <row r="268" spans="1:12" ht="17.25">
      <c r="A268" s="606">
        <v>254</v>
      </c>
      <c r="B268" s="923"/>
      <c r="C268" s="913">
        <v>2</v>
      </c>
      <c r="D268" s="419" t="s">
        <v>141</v>
      </c>
      <c r="E268" s="420" t="s">
        <v>781</v>
      </c>
      <c r="F268" s="444">
        <f t="shared" si="4"/>
        <v>230</v>
      </c>
      <c r="G268" s="444"/>
      <c r="H268" s="447"/>
      <c r="I268" s="489"/>
      <c r="J268" s="444">
        <v>230</v>
      </c>
      <c r="K268" s="859">
        <v>226</v>
      </c>
      <c r="L268" s="407"/>
    </row>
    <row r="269" spans="1:12" ht="17.25">
      <c r="A269" s="606">
        <v>255</v>
      </c>
      <c r="B269" s="923">
        <v>15</v>
      </c>
      <c r="C269" s="913"/>
      <c r="D269" s="442" t="s">
        <v>562</v>
      </c>
      <c r="E269" s="420"/>
      <c r="F269" s="444"/>
      <c r="G269" s="444"/>
      <c r="H269" s="447"/>
      <c r="I269" s="489"/>
      <c r="J269" s="444"/>
      <c r="K269" s="859"/>
      <c r="L269" s="407"/>
    </row>
    <row r="270" spans="1:12" ht="17.25">
      <c r="A270" s="606">
        <v>256</v>
      </c>
      <c r="B270" s="923"/>
      <c r="C270" s="913">
        <v>1</v>
      </c>
      <c r="D270" s="419" t="s">
        <v>143</v>
      </c>
      <c r="E270" s="420" t="s">
        <v>781</v>
      </c>
      <c r="F270" s="444">
        <f t="shared" si="4"/>
        <v>10000</v>
      </c>
      <c r="G270" s="444"/>
      <c r="H270" s="447"/>
      <c r="I270" s="489"/>
      <c r="J270" s="444">
        <v>10000</v>
      </c>
      <c r="K270" s="859">
        <v>10000</v>
      </c>
      <c r="L270" s="407"/>
    </row>
    <row r="271" spans="1:12" ht="17.25">
      <c r="A271" s="606">
        <v>257</v>
      </c>
      <c r="B271" s="923"/>
      <c r="C271" s="913">
        <v>2</v>
      </c>
      <c r="D271" s="419" t="s">
        <v>144</v>
      </c>
      <c r="E271" s="420" t="s">
        <v>781</v>
      </c>
      <c r="F271" s="444">
        <f t="shared" si="4"/>
        <v>1599</v>
      </c>
      <c r="G271" s="444"/>
      <c r="H271" s="447"/>
      <c r="I271" s="489"/>
      <c r="J271" s="444">
        <v>1599</v>
      </c>
      <c r="K271" s="859">
        <v>1599</v>
      </c>
      <c r="L271" s="407"/>
    </row>
    <row r="272" spans="1:12" ht="17.25">
      <c r="A272" s="606">
        <v>258</v>
      </c>
      <c r="B272" s="923"/>
      <c r="C272" s="913">
        <v>3</v>
      </c>
      <c r="D272" s="419" t="s">
        <v>145</v>
      </c>
      <c r="E272" s="420" t="s">
        <v>781</v>
      </c>
      <c r="F272" s="444">
        <f t="shared" si="4"/>
        <v>635</v>
      </c>
      <c r="G272" s="444"/>
      <c r="H272" s="447"/>
      <c r="I272" s="489"/>
      <c r="J272" s="444">
        <v>635</v>
      </c>
      <c r="K272" s="859">
        <v>635</v>
      </c>
      <c r="L272" s="407"/>
    </row>
    <row r="273" spans="1:12" ht="17.25">
      <c r="A273" s="606">
        <v>259</v>
      </c>
      <c r="B273" s="923"/>
      <c r="C273" s="913">
        <v>4</v>
      </c>
      <c r="D273" s="419" t="s">
        <v>146</v>
      </c>
      <c r="E273" s="420" t="s">
        <v>781</v>
      </c>
      <c r="F273" s="444">
        <f t="shared" si="4"/>
        <v>1630</v>
      </c>
      <c r="G273" s="444"/>
      <c r="H273" s="447"/>
      <c r="I273" s="489"/>
      <c r="J273" s="444">
        <v>1630</v>
      </c>
      <c r="K273" s="859">
        <v>1352</v>
      </c>
      <c r="L273" s="407"/>
    </row>
    <row r="274" spans="1:12" ht="135">
      <c r="A274" s="606">
        <v>260</v>
      </c>
      <c r="B274" s="923"/>
      <c r="C274" s="913">
        <v>5</v>
      </c>
      <c r="D274" s="936" t="s">
        <v>219</v>
      </c>
      <c r="E274" s="420" t="s">
        <v>781</v>
      </c>
      <c r="F274" s="444">
        <f t="shared" si="4"/>
        <v>3920</v>
      </c>
      <c r="G274" s="444"/>
      <c r="H274" s="447"/>
      <c r="I274" s="489"/>
      <c r="J274" s="444">
        <v>3920</v>
      </c>
      <c r="K274" s="859">
        <v>3920</v>
      </c>
      <c r="L274" s="407"/>
    </row>
    <row r="275" spans="1:12" ht="33">
      <c r="A275" s="606">
        <v>261</v>
      </c>
      <c r="B275" s="923"/>
      <c r="C275" s="913">
        <v>6</v>
      </c>
      <c r="D275" s="419" t="s">
        <v>220</v>
      </c>
      <c r="E275" s="420" t="s">
        <v>781</v>
      </c>
      <c r="F275" s="444">
        <f>SUM(G275:H275,J275)</f>
        <v>2863</v>
      </c>
      <c r="G275" s="444"/>
      <c r="H275" s="447"/>
      <c r="I275" s="489"/>
      <c r="J275" s="444">
        <v>2863</v>
      </c>
      <c r="K275" s="859">
        <v>2863</v>
      </c>
      <c r="L275" s="407"/>
    </row>
    <row r="276" spans="1:12" ht="17.25">
      <c r="A276" s="606">
        <v>262</v>
      </c>
      <c r="B276" s="923"/>
      <c r="C276" s="913">
        <v>7</v>
      </c>
      <c r="D276" s="419" t="s">
        <v>221</v>
      </c>
      <c r="E276" s="420" t="s">
        <v>781</v>
      </c>
      <c r="F276" s="444">
        <f>SUM(G276:H276,J276)</f>
        <v>1006</v>
      </c>
      <c r="G276" s="444"/>
      <c r="H276" s="447"/>
      <c r="I276" s="489"/>
      <c r="J276" s="444">
        <v>1006</v>
      </c>
      <c r="K276" s="859">
        <v>1006</v>
      </c>
      <c r="L276" s="407"/>
    </row>
    <row r="277" spans="1:12" ht="17.25">
      <c r="A277" s="606">
        <v>263</v>
      </c>
      <c r="B277" s="923"/>
      <c r="C277" s="913">
        <v>8</v>
      </c>
      <c r="D277" s="419" t="s">
        <v>222</v>
      </c>
      <c r="E277" s="420" t="s">
        <v>781</v>
      </c>
      <c r="F277" s="444">
        <f>SUM(G277:H277,J277)</f>
        <v>755</v>
      </c>
      <c r="G277" s="444"/>
      <c r="H277" s="447"/>
      <c r="I277" s="489"/>
      <c r="J277" s="444">
        <v>755</v>
      </c>
      <c r="K277" s="859">
        <v>755</v>
      </c>
      <c r="L277" s="407"/>
    </row>
    <row r="278" spans="1:12" ht="17.25">
      <c r="A278" s="606">
        <v>264</v>
      </c>
      <c r="B278" s="923"/>
      <c r="C278" s="913">
        <v>9</v>
      </c>
      <c r="D278" s="419" t="s">
        <v>223</v>
      </c>
      <c r="E278" s="420" t="s">
        <v>781</v>
      </c>
      <c r="F278" s="444">
        <f>SUM(G278:H278,J278)</f>
        <v>949</v>
      </c>
      <c r="G278" s="444"/>
      <c r="H278" s="447"/>
      <c r="I278" s="489"/>
      <c r="J278" s="444">
        <v>949</v>
      </c>
      <c r="K278" s="859">
        <v>949</v>
      </c>
      <c r="L278" s="407"/>
    </row>
    <row r="279" spans="1:12" ht="17.25">
      <c r="A279" s="606">
        <v>265</v>
      </c>
      <c r="B279" s="923"/>
      <c r="C279" s="913">
        <v>10</v>
      </c>
      <c r="D279" s="419" t="s">
        <v>224</v>
      </c>
      <c r="E279" s="420" t="s">
        <v>781</v>
      </c>
      <c r="F279" s="444">
        <f>SUM(G279:H279,J279)</f>
        <v>5945</v>
      </c>
      <c r="G279" s="444"/>
      <c r="H279" s="447"/>
      <c r="I279" s="489"/>
      <c r="J279" s="444">
        <v>5945</v>
      </c>
      <c r="K279" s="859">
        <v>5945</v>
      </c>
      <c r="L279" s="407"/>
    </row>
    <row r="280" spans="1:253" ht="17.25">
      <c r="A280" s="606">
        <v>266</v>
      </c>
      <c r="B280" s="923">
        <v>16</v>
      </c>
      <c r="C280" s="913"/>
      <c r="D280" s="442" t="s">
        <v>225</v>
      </c>
      <c r="E280" s="443"/>
      <c r="F280" s="444"/>
      <c r="G280" s="445"/>
      <c r="H280" s="446"/>
      <c r="I280" s="488"/>
      <c r="J280" s="444"/>
      <c r="K280" s="858"/>
      <c r="L280" s="407"/>
      <c r="M280" s="476"/>
      <c r="N280" s="476"/>
      <c r="O280" s="476"/>
      <c r="P280" s="476"/>
      <c r="Q280" s="476"/>
      <c r="R280" s="476"/>
      <c r="S280" s="476"/>
      <c r="T280" s="476"/>
      <c r="U280" s="476"/>
      <c r="V280" s="476"/>
      <c r="W280" s="476"/>
      <c r="X280" s="476"/>
      <c r="Y280" s="476"/>
      <c r="Z280" s="476"/>
      <c r="AA280" s="476"/>
      <c r="AB280" s="476"/>
      <c r="AC280" s="476"/>
      <c r="AD280" s="476"/>
      <c r="AE280" s="476"/>
      <c r="AF280" s="476"/>
      <c r="AG280" s="476"/>
      <c r="AH280" s="476"/>
      <c r="AI280" s="476"/>
      <c r="AJ280" s="476"/>
      <c r="AK280" s="476"/>
      <c r="AL280" s="476"/>
      <c r="AM280" s="476"/>
      <c r="AN280" s="476"/>
      <c r="AO280" s="476"/>
      <c r="AP280" s="476"/>
      <c r="AQ280" s="476"/>
      <c r="AR280" s="476"/>
      <c r="AS280" s="476"/>
      <c r="AT280" s="476"/>
      <c r="AU280" s="476"/>
      <c r="AV280" s="476"/>
      <c r="AW280" s="476"/>
      <c r="AX280" s="476"/>
      <c r="AY280" s="476"/>
      <c r="AZ280" s="476"/>
      <c r="BA280" s="476"/>
      <c r="BB280" s="476"/>
      <c r="BC280" s="476"/>
      <c r="BD280" s="476"/>
      <c r="BE280" s="476"/>
      <c r="BF280" s="476"/>
      <c r="BG280" s="476"/>
      <c r="BH280" s="476"/>
      <c r="BI280" s="476"/>
      <c r="BJ280" s="476"/>
      <c r="BK280" s="476"/>
      <c r="BL280" s="476"/>
      <c r="BM280" s="476"/>
      <c r="BN280" s="476"/>
      <c r="BO280" s="476"/>
      <c r="BP280" s="476"/>
      <c r="BQ280" s="476"/>
      <c r="BR280" s="476"/>
      <c r="BS280" s="476"/>
      <c r="BT280" s="476"/>
      <c r="BU280" s="476"/>
      <c r="BV280" s="476"/>
      <c r="BW280" s="476"/>
      <c r="BX280" s="476"/>
      <c r="BY280" s="476"/>
      <c r="BZ280" s="476"/>
      <c r="CA280" s="476"/>
      <c r="CB280" s="476"/>
      <c r="CC280" s="476"/>
      <c r="CD280" s="476"/>
      <c r="CE280" s="476"/>
      <c r="CF280" s="476"/>
      <c r="CG280" s="476"/>
      <c r="CH280" s="476"/>
      <c r="CI280" s="476"/>
      <c r="CJ280" s="476"/>
      <c r="CK280" s="476"/>
      <c r="CL280" s="476"/>
      <c r="CM280" s="476"/>
      <c r="CN280" s="476"/>
      <c r="CO280" s="476"/>
      <c r="CP280" s="476"/>
      <c r="CQ280" s="476"/>
      <c r="CR280" s="476"/>
      <c r="CS280" s="476"/>
      <c r="CT280" s="476"/>
      <c r="CU280" s="476"/>
      <c r="CV280" s="476"/>
      <c r="CW280" s="476"/>
      <c r="CX280" s="476"/>
      <c r="CY280" s="476"/>
      <c r="CZ280" s="476"/>
      <c r="DA280" s="476"/>
      <c r="DB280" s="476"/>
      <c r="DC280" s="476"/>
      <c r="DD280" s="476"/>
      <c r="DE280" s="476"/>
      <c r="DF280" s="476"/>
      <c r="DG280" s="476"/>
      <c r="DH280" s="476"/>
      <c r="DI280" s="476"/>
      <c r="DJ280" s="476"/>
      <c r="DK280" s="476"/>
      <c r="DL280" s="476"/>
      <c r="DM280" s="476"/>
      <c r="DN280" s="476"/>
      <c r="DO280" s="476"/>
      <c r="DP280" s="476"/>
      <c r="DQ280" s="476"/>
      <c r="DR280" s="476"/>
      <c r="DS280" s="476"/>
      <c r="DT280" s="476"/>
      <c r="DU280" s="476"/>
      <c r="DV280" s="476"/>
      <c r="DW280" s="476"/>
      <c r="DX280" s="476"/>
      <c r="DY280" s="476"/>
      <c r="DZ280" s="476"/>
      <c r="EA280" s="476"/>
      <c r="EB280" s="476"/>
      <c r="EC280" s="476"/>
      <c r="ED280" s="476"/>
      <c r="EE280" s="476"/>
      <c r="EF280" s="476"/>
      <c r="EG280" s="476"/>
      <c r="EH280" s="476"/>
      <c r="EI280" s="476"/>
      <c r="EJ280" s="476"/>
      <c r="EK280" s="476"/>
      <c r="EL280" s="476"/>
      <c r="EM280" s="476"/>
      <c r="EN280" s="476"/>
      <c r="EO280" s="476"/>
      <c r="EP280" s="476"/>
      <c r="EQ280" s="476"/>
      <c r="ER280" s="476"/>
      <c r="ES280" s="476"/>
      <c r="ET280" s="476"/>
      <c r="EU280" s="476"/>
      <c r="EV280" s="476"/>
      <c r="EW280" s="476"/>
      <c r="EX280" s="476"/>
      <c r="EY280" s="476"/>
      <c r="EZ280" s="476"/>
      <c r="FA280" s="476"/>
      <c r="FB280" s="476"/>
      <c r="FC280" s="476"/>
      <c r="FD280" s="476"/>
      <c r="FE280" s="476"/>
      <c r="FF280" s="476"/>
      <c r="FG280" s="476"/>
      <c r="FH280" s="476"/>
      <c r="FI280" s="476"/>
      <c r="FJ280" s="476"/>
      <c r="FK280" s="476"/>
      <c r="FL280" s="476"/>
      <c r="FM280" s="476"/>
      <c r="FN280" s="476"/>
      <c r="FO280" s="476"/>
      <c r="FP280" s="476"/>
      <c r="FQ280" s="476"/>
      <c r="FR280" s="476"/>
      <c r="FS280" s="476"/>
      <c r="FT280" s="476"/>
      <c r="FU280" s="476"/>
      <c r="FV280" s="476"/>
      <c r="FW280" s="476"/>
      <c r="FX280" s="476"/>
      <c r="FY280" s="476"/>
      <c r="FZ280" s="476"/>
      <c r="GA280" s="476"/>
      <c r="GB280" s="476"/>
      <c r="GC280" s="476"/>
      <c r="GD280" s="476"/>
      <c r="GE280" s="476"/>
      <c r="GF280" s="476"/>
      <c r="GG280" s="476"/>
      <c r="GH280" s="476"/>
      <c r="GI280" s="476"/>
      <c r="GJ280" s="476"/>
      <c r="GK280" s="476"/>
      <c r="GL280" s="476"/>
      <c r="GM280" s="476"/>
      <c r="GN280" s="476"/>
      <c r="GO280" s="476"/>
      <c r="GP280" s="476"/>
      <c r="GQ280" s="476"/>
      <c r="GR280" s="476"/>
      <c r="GS280" s="476"/>
      <c r="GT280" s="476"/>
      <c r="GU280" s="476"/>
      <c r="GV280" s="476"/>
      <c r="GW280" s="476"/>
      <c r="GX280" s="476"/>
      <c r="GY280" s="476"/>
      <c r="GZ280" s="476"/>
      <c r="HA280" s="476"/>
      <c r="HB280" s="476"/>
      <c r="HC280" s="476"/>
      <c r="HD280" s="476"/>
      <c r="HE280" s="476"/>
      <c r="HF280" s="476"/>
      <c r="HG280" s="476"/>
      <c r="HH280" s="476"/>
      <c r="HI280" s="476"/>
      <c r="HJ280" s="476"/>
      <c r="HK280" s="476"/>
      <c r="HL280" s="476"/>
      <c r="HM280" s="476"/>
      <c r="HN280" s="476"/>
      <c r="HO280" s="476"/>
      <c r="HP280" s="476"/>
      <c r="HQ280" s="476"/>
      <c r="HR280" s="476"/>
      <c r="HS280" s="476"/>
      <c r="HT280" s="476"/>
      <c r="HU280" s="476"/>
      <c r="HV280" s="476"/>
      <c r="HW280" s="476"/>
      <c r="HX280" s="476"/>
      <c r="HY280" s="476"/>
      <c r="HZ280" s="476"/>
      <c r="IA280" s="476"/>
      <c r="IB280" s="476"/>
      <c r="IC280" s="476"/>
      <c r="ID280" s="476"/>
      <c r="IE280" s="476"/>
      <c r="IF280" s="476"/>
      <c r="IG280" s="476"/>
      <c r="IH280" s="476"/>
      <c r="II280" s="476"/>
      <c r="IJ280" s="476"/>
      <c r="IK280" s="476"/>
      <c r="IL280" s="476"/>
      <c r="IM280" s="476"/>
      <c r="IN280" s="476"/>
      <c r="IO280" s="476"/>
      <c r="IP280" s="476"/>
      <c r="IQ280" s="476"/>
      <c r="IR280" s="476"/>
      <c r="IS280" s="476"/>
    </row>
    <row r="281" spans="1:12" ht="17.25">
      <c r="A281" s="606">
        <v>267</v>
      </c>
      <c r="B281" s="923"/>
      <c r="C281" s="913">
        <v>1</v>
      </c>
      <c r="D281" s="450" t="s">
        <v>147</v>
      </c>
      <c r="E281" s="420" t="s">
        <v>781</v>
      </c>
      <c r="F281" s="444">
        <f t="shared" si="4"/>
        <v>7000</v>
      </c>
      <c r="G281" s="444"/>
      <c r="H281" s="447"/>
      <c r="I281" s="489">
        <v>7000</v>
      </c>
      <c r="J281" s="444">
        <v>7000</v>
      </c>
      <c r="K281" s="859">
        <v>6981</v>
      </c>
      <c r="L281" s="407"/>
    </row>
    <row r="282" spans="1:12" ht="49.5">
      <c r="A282" s="606">
        <v>268</v>
      </c>
      <c r="B282" s="923"/>
      <c r="C282" s="913">
        <v>2</v>
      </c>
      <c r="D282" s="450" t="s">
        <v>226</v>
      </c>
      <c r="E282" s="420" t="s">
        <v>781</v>
      </c>
      <c r="F282" s="444">
        <f t="shared" si="4"/>
        <v>255</v>
      </c>
      <c r="G282" s="444"/>
      <c r="H282" s="447"/>
      <c r="I282" s="489">
        <v>80</v>
      </c>
      <c r="J282" s="444">
        <v>255</v>
      </c>
      <c r="K282" s="859">
        <v>170</v>
      </c>
      <c r="L282" s="407"/>
    </row>
    <row r="283" spans="1:12" ht="33">
      <c r="A283" s="606">
        <v>269</v>
      </c>
      <c r="B283" s="923"/>
      <c r="C283" s="913">
        <v>3</v>
      </c>
      <c r="D283" s="450" t="s">
        <v>227</v>
      </c>
      <c r="E283" s="420" t="s">
        <v>781</v>
      </c>
      <c r="F283" s="444">
        <f t="shared" si="4"/>
        <v>800</v>
      </c>
      <c r="G283" s="444"/>
      <c r="H283" s="447"/>
      <c r="I283" s="489">
        <v>480</v>
      </c>
      <c r="J283" s="444">
        <v>800</v>
      </c>
      <c r="K283" s="859">
        <v>729</v>
      </c>
      <c r="L283" s="407"/>
    </row>
    <row r="284" spans="1:12" ht="34.5">
      <c r="A284" s="606">
        <v>270</v>
      </c>
      <c r="B284" s="923"/>
      <c r="C284" s="913">
        <v>4</v>
      </c>
      <c r="D284" s="450" t="s">
        <v>228</v>
      </c>
      <c r="E284" s="420" t="s">
        <v>781</v>
      </c>
      <c r="F284" s="444">
        <f t="shared" si="4"/>
        <v>90</v>
      </c>
      <c r="G284" s="444"/>
      <c r="H284" s="447"/>
      <c r="I284" s="489">
        <v>60</v>
      </c>
      <c r="J284" s="444">
        <v>90</v>
      </c>
      <c r="K284" s="859">
        <v>63</v>
      </c>
      <c r="L284" s="407"/>
    </row>
    <row r="285" spans="1:12" ht="17.25">
      <c r="A285" s="606">
        <v>271</v>
      </c>
      <c r="B285" s="923"/>
      <c r="C285" s="913">
        <v>5</v>
      </c>
      <c r="D285" s="450" t="s">
        <v>229</v>
      </c>
      <c r="E285" s="420" t="s">
        <v>781</v>
      </c>
      <c r="F285" s="444">
        <f t="shared" si="4"/>
        <v>100</v>
      </c>
      <c r="G285" s="444"/>
      <c r="H285" s="447"/>
      <c r="I285" s="489"/>
      <c r="J285" s="444">
        <v>100</v>
      </c>
      <c r="K285" s="859">
        <v>95</v>
      </c>
      <c r="L285" s="407"/>
    </row>
    <row r="286" spans="1:12" ht="33">
      <c r="A286" s="606">
        <v>272</v>
      </c>
      <c r="B286" s="923"/>
      <c r="C286" s="913">
        <v>6</v>
      </c>
      <c r="D286" s="450" t="s">
        <v>230</v>
      </c>
      <c r="E286" s="420" t="s">
        <v>781</v>
      </c>
      <c r="F286" s="444">
        <f t="shared" si="4"/>
        <v>352</v>
      </c>
      <c r="G286" s="444"/>
      <c r="H286" s="447"/>
      <c r="I286" s="489"/>
      <c r="J286" s="444">
        <v>352</v>
      </c>
      <c r="K286" s="859">
        <v>347</v>
      </c>
      <c r="L286" s="407"/>
    </row>
    <row r="287" spans="1:12" ht="33">
      <c r="A287" s="606">
        <v>273</v>
      </c>
      <c r="B287" s="923"/>
      <c r="C287" s="913">
        <v>7</v>
      </c>
      <c r="D287" s="450" t="s">
        <v>231</v>
      </c>
      <c r="E287" s="420" t="s">
        <v>781</v>
      </c>
      <c r="F287" s="444">
        <f t="shared" si="4"/>
        <v>375</v>
      </c>
      <c r="G287" s="444"/>
      <c r="H287" s="447"/>
      <c r="I287" s="489"/>
      <c r="J287" s="444">
        <v>375</v>
      </c>
      <c r="K287" s="859">
        <v>369</v>
      </c>
      <c r="L287" s="407"/>
    </row>
    <row r="288" spans="1:12" ht="49.5">
      <c r="A288" s="606">
        <v>274</v>
      </c>
      <c r="B288" s="923"/>
      <c r="C288" s="913">
        <v>8</v>
      </c>
      <c r="D288" s="450" t="s">
        <v>232</v>
      </c>
      <c r="E288" s="420" t="s">
        <v>781</v>
      </c>
      <c r="F288" s="444">
        <f t="shared" si="4"/>
        <v>698</v>
      </c>
      <c r="G288" s="444"/>
      <c r="H288" s="447"/>
      <c r="I288" s="489"/>
      <c r="J288" s="444">
        <v>698</v>
      </c>
      <c r="K288" s="859">
        <v>676</v>
      </c>
      <c r="L288" s="407"/>
    </row>
    <row r="289" spans="1:12" ht="17.25">
      <c r="A289" s="606">
        <v>275</v>
      </c>
      <c r="B289" s="923"/>
      <c r="C289" s="913">
        <v>9</v>
      </c>
      <c r="D289" s="450" t="s">
        <v>233</v>
      </c>
      <c r="E289" s="420" t="s">
        <v>781</v>
      </c>
      <c r="F289" s="444">
        <f t="shared" si="4"/>
        <v>158</v>
      </c>
      <c r="G289" s="444"/>
      <c r="H289" s="447"/>
      <c r="I289" s="489"/>
      <c r="J289" s="444">
        <v>158</v>
      </c>
      <c r="K289" s="859">
        <v>158</v>
      </c>
      <c r="L289" s="407"/>
    </row>
    <row r="290" spans="1:12" ht="33">
      <c r="A290" s="606">
        <v>276</v>
      </c>
      <c r="B290" s="923"/>
      <c r="C290" s="913">
        <v>10</v>
      </c>
      <c r="D290" s="450" t="s">
        <v>234</v>
      </c>
      <c r="E290" s="420" t="s">
        <v>781</v>
      </c>
      <c r="F290" s="444">
        <f t="shared" si="4"/>
        <v>40</v>
      </c>
      <c r="G290" s="444"/>
      <c r="H290" s="447"/>
      <c r="I290" s="489"/>
      <c r="J290" s="444">
        <v>40</v>
      </c>
      <c r="K290" s="859">
        <v>37</v>
      </c>
      <c r="L290" s="407"/>
    </row>
    <row r="291" spans="1:12" ht="17.25">
      <c r="A291" s="606">
        <v>277</v>
      </c>
      <c r="B291" s="923"/>
      <c r="C291" s="913">
        <v>11</v>
      </c>
      <c r="D291" s="450" t="s">
        <v>235</v>
      </c>
      <c r="E291" s="420" t="s">
        <v>781</v>
      </c>
      <c r="F291" s="444">
        <f t="shared" si="4"/>
        <v>211</v>
      </c>
      <c r="G291" s="444"/>
      <c r="H291" s="447"/>
      <c r="I291" s="489"/>
      <c r="J291" s="444">
        <v>211</v>
      </c>
      <c r="K291" s="859">
        <v>185</v>
      </c>
      <c r="L291" s="407"/>
    </row>
    <row r="292" spans="1:12" ht="17.25">
      <c r="A292" s="606">
        <v>278</v>
      </c>
      <c r="B292" s="923"/>
      <c r="C292" s="913">
        <v>12</v>
      </c>
      <c r="D292" s="450" t="s">
        <v>236</v>
      </c>
      <c r="E292" s="420" t="s">
        <v>781</v>
      </c>
      <c r="F292" s="444">
        <f t="shared" si="4"/>
        <v>90</v>
      </c>
      <c r="G292" s="444"/>
      <c r="H292" s="447"/>
      <c r="I292" s="489"/>
      <c r="J292" s="444">
        <v>90</v>
      </c>
      <c r="K292" s="859">
        <v>86</v>
      </c>
      <c r="L292" s="407"/>
    </row>
    <row r="293" spans="1:12" ht="17.25">
      <c r="A293" s="606">
        <v>279</v>
      </c>
      <c r="B293" s="923"/>
      <c r="C293" s="913">
        <v>13</v>
      </c>
      <c r="D293" s="450" t="s">
        <v>237</v>
      </c>
      <c r="E293" s="420" t="s">
        <v>781</v>
      </c>
      <c r="F293" s="444">
        <f t="shared" si="4"/>
        <v>158</v>
      </c>
      <c r="G293" s="444"/>
      <c r="H293" s="447"/>
      <c r="I293" s="489"/>
      <c r="J293" s="444">
        <v>158</v>
      </c>
      <c r="K293" s="859">
        <v>158</v>
      </c>
      <c r="L293" s="407"/>
    </row>
    <row r="294" spans="1:12" ht="49.5">
      <c r="A294" s="606">
        <v>280</v>
      </c>
      <c r="B294" s="923"/>
      <c r="C294" s="913">
        <v>14</v>
      </c>
      <c r="D294" s="450" t="s">
        <v>238</v>
      </c>
      <c r="E294" s="420" t="s">
        <v>781</v>
      </c>
      <c r="F294" s="444">
        <f t="shared" si="4"/>
        <v>439</v>
      </c>
      <c r="G294" s="444"/>
      <c r="H294" s="447"/>
      <c r="I294" s="489"/>
      <c r="J294" s="444">
        <v>439</v>
      </c>
      <c r="K294" s="859">
        <v>439</v>
      </c>
      <c r="L294" s="407"/>
    </row>
    <row r="295" spans="1:12" ht="17.25">
      <c r="A295" s="606">
        <v>281</v>
      </c>
      <c r="B295" s="923"/>
      <c r="C295" s="913">
        <v>15</v>
      </c>
      <c r="D295" s="450" t="s">
        <v>239</v>
      </c>
      <c r="E295" s="420" t="s">
        <v>781</v>
      </c>
      <c r="F295" s="444">
        <f t="shared" si="4"/>
        <v>60</v>
      </c>
      <c r="G295" s="444"/>
      <c r="H295" s="447"/>
      <c r="I295" s="489"/>
      <c r="J295" s="444">
        <v>60</v>
      </c>
      <c r="K295" s="859">
        <v>56</v>
      </c>
      <c r="L295" s="407"/>
    </row>
    <row r="296" spans="1:12" ht="17.25">
      <c r="A296" s="606">
        <v>282</v>
      </c>
      <c r="B296" s="923"/>
      <c r="C296" s="913">
        <v>16</v>
      </c>
      <c r="D296" s="450" t="s">
        <v>148</v>
      </c>
      <c r="E296" s="420" t="s">
        <v>781</v>
      </c>
      <c r="F296" s="444">
        <f t="shared" si="4"/>
        <v>227</v>
      </c>
      <c r="G296" s="444"/>
      <c r="H296" s="447"/>
      <c r="I296" s="489"/>
      <c r="J296" s="444">
        <v>227</v>
      </c>
      <c r="K296" s="859">
        <v>94</v>
      </c>
      <c r="L296" s="407"/>
    </row>
    <row r="297" spans="1:12" ht="33">
      <c r="A297" s="606">
        <v>283</v>
      </c>
      <c r="B297" s="923"/>
      <c r="C297" s="913">
        <v>17</v>
      </c>
      <c r="D297" s="450" t="s">
        <v>240</v>
      </c>
      <c r="E297" s="420" t="s">
        <v>781</v>
      </c>
      <c r="F297" s="444">
        <f t="shared" si="4"/>
        <v>1819</v>
      </c>
      <c r="G297" s="444"/>
      <c r="H297" s="447"/>
      <c r="I297" s="489"/>
      <c r="J297" s="444">
        <v>1819</v>
      </c>
      <c r="K297" s="859">
        <v>1663</v>
      </c>
      <c r="L297" s="407"/>
    </row>
    <row r="298" spans="1:253" ht="17.25">
      <c r="A298" s="606">
        <v>284</v>
      </c>
      <c r="B298" s="923">
        <v>17</v>
      </c>
      <c r="C298" s="913"/>
      <c r="D298" s="442" t="s">
        <v>563</v>
      </c>
      <c r="E298" s="443"/>
      <c r="F298" s="444"/>
      <c r="G298" s="445"/>
      <c r="H298" s="446"/>
      <c r="I298" s="488"/>
      <c r="J298" s="444"/>
      <c r="K298" s="858"/>
      <c r="L298" s="407"/>
      <c r="M298" s="476"/>
      <c r="N298" s="476"/>
      <c r="O298" s="476"/>
      <c r="P298" s="476"/>
      <c r="Q298" s="476"/>
      <c r="R298" s="476"/>
      <c r="S298" s="476"/>
      <c r="T298" s="476"/>
      <c r="U298" s="476"/>
      <c r="V298" s="476"/>
      <c r="W298" s="476"/>
      <c r="X298" s="476"/>
      <c r="Y298" s="476"/>
      <c r="Z298" s="476"/>
      <c r="AA298" s="476"/>
      <c r="AB298" s="476"/>
      <c r="AC298" s="476"/>
      <c r="AD298" s="476"/>
      <c r="AE298" s="476"/>
      <c r="AF298" s="476"/>
      <c r="AG298" s="476"/>
      <c r="AH298" s="476"/>
      <c r="AI298" s="476"/>
      <c r="AJ298" s="476"/>
      <c r="AK298" s="476"/>
      <c r="AL298" s="476"/>
      <c r="AM298" s="476"/>
      <c r="AN298" s="476"/>
      <c r="AO298" s="476"/>
      <c r="AP298" s="476"/>
      <c r="AQ298" s="476"/>
      <c r="AR298" s="476"/>
      <c r="AS298" s="476"/>
      <c r="AT298" s="476"/>
      <c r="AU298" s="476"/>
      <c r="AV298" s="476"/>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6"/>
      <c r="CJ298" s="476"/>
      <c r="CK298" s="476"/>
      <c r="CL298" s="476"/>
      <c r="CM298" s="476"/>
      <c r="CN298" s="476"/>
      <c r="CO298" s="476"/>
      <c r="CP298" s="476"/>
      <c r="CQ298" s="476"/>
      <c r="CR298" s="476"/>
      <c r="CS298" s="476"/>
      <c r="CT298" s="476"/>
      <c r="CU298" s="476"/>
      <c r="CV298" s="476"/>
      <c r="CW298" s="476"/>
      <c r="CX298" s="476"/>
      <c r="CY298" s="476"/>
      <c r="CZ298" s="476"/>
      <c r="DA298" s="476"/>
      <c r="DB298" s="476"/>
      <c r="DC298" s="476"/>
      <c r="DD298" s="476"/>
      <c r="DE298" s="476"/>
      <c r="DF298" s="476"/>
      <c r="DG298" s="476"/>
      <c r="DH298" s="476"/>
      <c r="DI298" s="476"/>
      <c r="DJ298" s="476"/>
      <c r="DK298" s="476"/>
      <c r="DL298" s="476"/>
      <c r="DM298" s="476"/>
      <c r="DN298" s="476"/>
      <c r="DO298" s="476"/>
      <c r="DP298" s="476"/>
      <c r="DQ298" s="476"/>
      <c r="DR298" s="476"/>
      <c r="DS298" s="476"/>
      <c r="DT298" s="476"/>
      <c r="DU298" s="476"/>
      <c r="DV298" s="476"/>
      <c r="DW298" s="476"/>
      <c r="DX298" s="476"/>
      <c r="DY298" s="476"/>
      <c r="DZ298" s="476"/>
      <c r="EA298" s="476"/>
      <c r="EB298" s="476"/>
      <c r="EC298" s="476"/>
      <c r="ED298" s="476"/>
      <c r="EE298" s="476"/>
      <c r="EF298" s="476"/>
      <c r="EG298" s="476"/>
      <c r="EH298" s="476"/>
      <c r="EI298" s="476"/>
      <c r="EJ298" s="476"/>
      <c r="EK298" s="476"/>
      <c r="EL298" s="476"/>
      <c r="EM298" s="476"/>
      <c r="EN298" s="476"/>
      <c r="EO298" s="476"/>
      <c r="EP298" s="476"/>
      <c r="EQ298" s="476"/>
      <c r="ER298" s="476"/>
      <c r="ES298" s="476"/>
      <c r="ET298" s="476"/>
      <c r="EU298" s="476"/>
      <c r="EV298" s="476"/>
      <c r="EW298" s="476"/>
      <c r="EX298" s="476"/>
      <c r="EY298" s="476"/>
      <c r="EZ298" s="476"/>
      <c r="FA298" s="476"/>
      <c r="FB298" s="476"/>
      <c r="FC298" s="476"/>
      <c r="FD298" s="476"/>
      <c r="FE298" s="476"/>
      <c r="FF298" s="476"/>
      <c r="FG298" s="476"/>
      <c r="FH298" s="476"/>
      <c r="FI298" s="476"/>
      <c r="FJ298" s="476"/>
      <c r="FK298" s="476"/>
      <c r="FL298" s="476"/>
      <c r="FM298" s="476"/>
      <c r="FN298" s="476"/>
      <c r="FO298" s="476"/>
      <c r="FP298" s="476"/>
      <c r="FQ298" s="476"/>
      <c r="FR298" s="476"/>
      <c r="FS298" s="476"/>
      <c r="FT298" s="476"/>
      <c r="FU298" s="476"/>
      <c r="FV298" s="476"/>
      <c r="FW298" s="476"/>
      <c r="FX298" s="476"/>
      <c r="FY298" s="476"/>
      <c r="FZ298" s="476"/>
      <c r="GA298" s="476"/>
      <c r="GB298" s="476"/>
      <c r="GC298" s="476"/>
      <c r="GD298" s="476"/>
      <c r="GE298" s="476"/>
      <c r="GF298" s="476"/>
      <c r="GG298" s="476"/>
      <c r="GH298" s="476"/>
      <c r="GI298" s="476"/>
      <c r="GJ298" s="476"/>
      <c r="GK298" s="476"/>
      <c r="GL298" s="476"/>
      <c r="GM298" s="476"/>
      <c r="GN298" s="476"/>
      <c r="GO298" s="476"/>
      <c r="GP298" s="476"/>
      <c r="GQ298" s="476"/>
      <c r="GR298" s="476"/>
      <c r="GS298" s="476"/>
      <c r="GT298" s="476"/>
      <c r="GU298" s="476"/>
      <c r="GV298" s="476"/>
      <c r="GW298" s="476"/>
      <c r="GX298" s="476"/>
      <c r="GY298" s="476"/>
      <c r="GZ298" s="476"/>
      <c r="HA298" s="476"/>
      <c r="HB298" s="476"/>
      <c r="HC298" s="476"/>
      <c r="HD298" s="476"/>
      <c r="HE298" s="476"/>
      <c r="HF298" s="476"/>
      <c r="HG298" s="476"/>
      <c r="HH298" s="476"/>
      <c r="HI298" s="476"/>
      <c r="HJ298" s="476"/>
      <c r="HK298" s="476"/>
      <c r="HL298" s="476"/>
      <c r="HM298" s="476"/>
      <c r="HN298" s="476"/>
      <c r="HO298" s="476"/>
      <c r="HP298" s="476"/>
      <c r="HQ298" s="476"/>
      <c r="HR298" s="476"/>
      <c r="HS298" s="476"/>
      <c r="HT298" s="476"/>
      <c r="HU298" s="476"/>
      <c r="HV298" s="476"/>
      <c r="HW298" s="476"/>
      <c r="HX298" s="476"/>
      <c r="HY298" s="476"/>
      <c r="HZ298" s="476"/>
      <c r="IA298" s="476"/>
      <c r="IB298" s="476"/>
      <c r="IC298" s="476"/>
      <c r="ID298" s="476"/>
      <c r="IE298" s="476"/>
      <c r="IF298" s="476"/>
      <c r="IG298" s="476"/>
      <c r="IH298" s="476"/>
      <c r="II298" s="476"/>
      <c r="IJ298" s="476"/>
      <c r="IK298" s="476"/>
      <c r="IL298" s="476"/>
      <c r="IM298" s="476"/>
      <c r="IN298" s="476"/>
      <c r="IO298" s="476"/>
      <c r="IP298" s="476"/>
      <c r="IQ298" s="476"/>
      <c r="IR298" s="476"/>
      <c r="IS298" s="476"/>
    </row>
    <row r="299" spans="1:12" ht="17.25">
      <c r="A299" s="606">
        <v>285</v>
      </c>
      <c r="B299" s="923"/>
      <c r="C299" s="913">
        <v>1</v>
      </c>
      <c r="D299" s="450" t="s">
        <v>633</v>
      </c>
      <c r="E299" s="420" t="s">
        <v>781</v>
      </c>
      <c r="F299" s="444">
        <f t="shared" si="4"/>
        <v>34815</v>
      </c>
      <c r="G299" s="444"/>
      <c r="H299" s="447"/>
      <c r="I299" s="489">
        <v>17550</v>
      </c>
      <c r="J299" s="444">
        <v>34815</v>
      </c>
      <c r="K299" s="859">
        <v>21146</v>
      </c>
      <c r="L299" s="407"/>
    </row>
    <row r="300" spans="1:12" ht="17.25">
      <c r="A300" s="606">
        <v>286</v>
      </c>
      <c r="B300" s="928"/>
      <c r="C300" s="916">
        <v>2</v>
      </c>
      <c r="D300" s="455" t="s">
        <v>149</v>
      </c>
      <c r="E300" s="456" t="s">
        <v>781</v>
      </c>
      <c r="F300" s="444">
        <f t="shared" si="4"/>
        <v>15200</v>
      </c>
      <c r="G300" s="457"/>
      <c r="H300" s="458"/>
      <c r="I300" s="489"/>
      <c r="J300" s="444">
        <v>15200</v>
      </c>
      <c r="K300" s="859">
        <v>15200</v>
      </c>
      <c r="L300" s="407"/>
    </row>
    <row r="301" spans="1:12" ht="17.25">
      <c r="A301" s="606">
        <v>287</v>
      </c>
      <c r="B301" s="928"/>
      <c r="C301" s="916">
        <v>3</v>
      </c>
      <c r="D301" s="455" t="s">
        <v>150</v>
      </c>
      <c r="E301" s="456" t="s">
        <v>781</v>
      </c>
      <c r="F301" s="444">
        <f t="shared" si="4"/>
        <v>444</v>
      </c>
      <c r="G301" s="457"/>
      <c r="H301" s="458"/>
      <c r="I301" s="489"/>
      <c r="J301" s="444">
        <v>444</v>
      </c>
      <c r="K301" s="859"/>
      <c r="L301" s="407"/>
    </row>
    <row r="302" spans="1:12" ht="17.25">
      <c r="A302" s="606">
        <v>288</v>
      </c>
      <c r="B302" s="928"/>
      <c r="C302" s="916">
        <v>4</v>
      </c>
      <c r="D302" s="455" t="s">
        <v>151</v>
      </c>
      <c r="E302" s="456" t="s">
        <v>781</v>
      </c>
      <c r="F302" s="444">
        <f t="shared" si="4"/>
        <v>381</v>
      </c>
      <c r="G302" s="457"/>
      <c r="H302" s="458"/>
      <c r="I302" s="489"/>
      <c r="J302" s="444">
        <v>381</v>
      </c>
      <c r="K302" s="859">
        <v>343</v>
      </c>
      <c r="L302" s="407"/>
    </row>
    <row r="303" spans="1:12" ht="49.5">
      <c r="A303" s="606">
        <v>289</v>
      </c>
      <c r="B303" s="929"/>
      <c r="C303" s="915">
        <v>5</v>
      </c>
      <c r="D303" s="459" t="s">
        <v>152</v>
      </c>
      <c r="E303" s="437" t="s">
        <v>781</v>
      </c>
      <c r="F303" s="444">
        <f t="shared" si="4"/>
        <v>2426</v>
      </c>
      <c r="G303" s="460"/>
      <c r="H303" s="461"/>
      <c r="I303" s="493"/>
      <c r="J303" s="460">
        <v>2426</v>
      </c>
      <c r="K303" s="1238">
        <v>834</v>
      </c>
      <c r="L303" s="407"/>
    </row>
    <row r="304" spans="1:253" ht="30" customHeight="1" thickBot="1">
      <c r="A304" s="606">
        <v>290</v>
      </c>
      <c r="B304" s="925"/>
      <c r="C304" s="914"/>
      <c r="D304" s="462" t="s">
        <v>731</v>
      </c>
      <c r="E304" s="463"/>
      <c r="F304" s="464">
        <f>SUM(F129:F303)</f>
        <v>252822</v>
      </c>
      <c r="G304" s="464">
        <f>SUM(G129:G303)</f>
        <v>0</v>
      </c>
      <c r="H304" s="465">
        <f>SUM(H129:H303)</f>
        <v>0</v>
      </c>
      <c r="I304" s="494">
        <f>SUM(I129:I303)</f>
        <v>64149</v>
      </c>
      <c r="J304" s="464">
        <f>SUM(J129:J303)</f>
        <v>250988</v>
      </c>
      <c r="K304" s="816">
        <f>SUM(K129:K299)+K300+K301+K302+K303</f>
        <v>205508</v>
      </c>
      <c r="L304" s="408"/>
      <c r="M304" s="478"/>
      <c r="N304" s="478"/>
      <c r="O304" s="478"/>
      <c r="P304" s="478"/>
      <c r="Q304" s="478"/>
      <c r="R304" s="478"/>
      <c r="S304" s="478"/>
      <c r="T304" s="478"/>
      <c r="U304" s="478"/>
      <c r="V304" s="478"/>
      <c r="W304" s="478"/>
      <c r="X304" s="478"/>
      <c r="Y304" s="478"/>
      <c r="Z304" s="478"/>
      <c r="AA304" s="478"/>
      <c r="AB304" s="478"/>
      <c r="AC304" s="478"/>
      <c r="AD304" s="478"/>
      <c r="AE304" s="478"/>
      <c r="AF304" s="478"/>
      <c r="AG304" s="478"/>
      <c r="AH304" s="478"/>
      <c r="AI304" s="478"/>
      <c r="AJ304" s="478"/>
      <c r="AK304" s="478"/>
      <c r="AL304" s="478"/>
      <c r="AM304" s="478"/>
      <c r="AN304" s="478"/>
      <c r="AO304" s="478"/>
      <c r="AP304" s="478"/>
      <c r="AQ304" s="478"/>
      <c r="AR304" s="478"/>
      <c r="AS304" s="478"/>
      <c r="AT304" s="478"/>
      <c r="AU304" s="478"/>
      <c r="AV304" s="478"/>
      <c r="AW304" s="478"/>
      <c r="AX304" s="478"/>
      <c r="AY304" s="478"/>
      <c r="AZ304" s="478"/>
      <c r="BA304" s="478"/>
      <c r="BB304" s="478"/>
      <c r="BC304" s="478"/>
      <c r="BD304" s="478"/>
      <c r="BE304" s="478"/>
      <c r="BF304" s="478"/>
      <c r="BG304" s="478"/>
      <c r="BH304" s="478"/>
      <c r="BI304" s="478"/>
      <c r="BJ304" s="478"/>
      <c r="BK304" s="478"/>
      <c r="BL304" s="478"/>
      <c r="BM304" s="478"/>
      <c r="BN304" s="478"/>
      <c r="BO304" s="478"/>
      <c r="BP304" s="478"/>
      <c r="BQ304" s="478"/>
      <c r="BR304" s="478"/>
      <c r="BS304" s="478"/>
      <c r="BT304" s="478"/>
      <c r="BU304" s="478"/>
      <c r="BV304" s="478"/>
      <c r="BW304" s="478"/>
      <c r="BX304" s="478"/>
      <c r="BY304" s="478"/>
      <c r="BZ304" s="478"/>
      <c r="CA304" s="478"/>
      <c r="CB304" s="478"/>
      <c r="CC304" s="478"/>
      <c r="CD304" s="478"/>
      <c r="CE304" s="478"/>
      <c r="CF304" s="478"/>
      <c r="CG304" s="478"/>
      <c r="CH304" s="478"/>
      <c r="CI304" s="478"/>
      <c r="CJ304" s="478"/>
      <c r="CK304" s="478"/>
      <c r="CL304" s="478"/>
      <c r="CM304" s="478"/>
      <c r="CN304" s="478"/>
      <c r="CO304" s="478"/>
      <c r="CP304" s="478"/>
      <c r="CQ304" s="478"/>
      <c r="CR304" s="478"/>
      <c r="CS304" s="478"/>
      <c r="CT304" s="478"/>
      <c r="CU304" s="478"/>
      <c r="CV304" s="478"/>
      <c r="CW304" s="478"/>
      <c r="CX304" s="478"/>
      <c r="CY304" s="478"/>
      <c r="CZ304" s="478"/>
      <c r="DA304" s="478"/>
      <c r="DB304" s="478"/>
      <c r="DC304" s="478"/>
      <c r="DD304" s="478"/>
      <c r="DE304" s="478"/>
      <c r="DF304" s="478"/>
      <c r="DG304" s="478"/>
      <c r="DH304" s="478"/>
      <c r="DI304" s="478"/>
      <c r="DJ304" s="478"/>
      <c r="DK304" s="478"/>
      <c r="DL304" s="478"/>
      <c r="DM304" s="478"/>
      <c r="DN304" s="478"/>
      <c r="DO304" s="478"/>
      <c r="DP304" s="478"/>
      <c r="DQ304" s="478"/>
      <c r="DR304" s="478"/>
      <c r="DS304" s="478"/>
      <c r="DT304" s="478"/>
      <c r="DU304" s="478"/>
      <c r="DV304" s="478"/>
      <c r="DW304" s="478"/>
      <c r="DX304" s="478"/>
      <c r="DY304" s="478"/>
      <c r="DZ304" s="478"/>
      <c r="EA304" s="478"/>
      <c r="EB304" s="478"/>
      <c r="EC304" s="478"/>
      <c r="ED304" s="478"/>
      <c r="EE304" s="478"/>
      <c r="EF304" s="478"/>
      <c r="EG304" s="478"/>
      <c r="EH304" s="478"/>
      <c r="EI304" s="478"/>
      <c r="EJ304" s="478"/>
      <c r="EK304" s="478"/>
      <c r="EL304" s="478"/>
      <c r="EM304" s="478"/>
      <c r="EN304" s="478"/>
      <c r="EO304" s="478"/>
      <c r="EP304" s="478"/>
      <c r="EQ304" s="478"/>
      <c r="ER304" s="478"/>
      <c r="ES304" s="478"/>
      <c r="ET304" s="478"/>
      <c r="EU304" s="478"/>
      <c r="EV304" s="478"/>
      <c r="EW304" s="478"/>
      <c r="EX304" s="478"/>
      <c r="EY304" s="478"/>
      <c r="EZ304" s="478"/>
      <c r="FA304" s="478"/>
      <c r="FB304" s="478"/>
      <c r="FC304" s="478"/>
      <c r="FD304" s="478"/>
      <c r="FE304" s="478"/>
      <c r="FF304" s="478"/>
      <c r="FG304" s="478"/>
      <c r="FH304" s="478"/>
      <c r="FI304" s="478"/>
      <c r="FJ304" s="478"/>
      <c r="FK304" s="478"/>
      <c r="FL304" s="478"/>
      <c r="FM304" s="478"/>
      <c r="FN304" s="478"/>
      <c r="FO304" s="478"/>
      <c r="FP304" s="478"/>
      <c r="FQ304" s="478"/>
      <c r="FR304" s="478"/>
      <c r="FS304" s="478"/>
      <c r="FT304" s="478"/>
      <c r="FU304" s="478"/>
      <c r="FV304" s="478"/>
      <c r="FW304" s="478"/>
      <c r="FX304" s="478"/>
      <c r="FY304" s="478"/>
      <c r="FZ304" s="478"/>
      <c r="GA304" s="478"/>
      <c r="GB304" s="478"/>
      <c r="GC304" s="478"/>
      <c r="GD304" s="478"/>
      <c r="GE304" s="478"/>
      <c r="GF304" s="478"/>
      <c r="GG304" s="478"/>
      <c r="GH304" s="478"/>
      <c r="GI304" s="478"/>
      <c r="GJ304" s="478"/>
      <c r="GK304" s="478"/>
      <c r="GL304" s="478"/>
      <c r="GM304" s="478"/>
      <c r="GN304" s="478"/>
      <c r="GO304" s="478"/>
      <c r="GP304" s="478"/>
      <c r="GQ304" s="478"/>
      <c r="GR304" s="478"/>
      <c r="GS304" s="478"/>
      <c r="GT304" s="478"/>
      <c r="GU304" s="478"/>
      <c r="GV304" s="478"/>
      <c r="GW304" s="478"/>
      <c r="GX304" s="478"/>
      <c r="GY304" s="478"/>
      <c r="GZ304" s="478"/>
      <c r="HA304" s="478"/>
      <c r="HB304" s="478"/>
      <c r="HC304" s="478"/>
      <c r="HD304" s="478"/>
      <c r="HE304" s="478"/>
      <c r="HF304" s="478"/>
      <c r="HG304" s="478"/>
      <c r="HH304" s="478"/>
      <c r="HI304" s="478"/>
      <c r="HJ304" s="478"/>
      <c r="HK304" s="478"/>
      <c r="HL304" s="478"/>
      <c r="HM304" s="478"/>
      <c r="HN304" s="478"/>
      <c r="HO304" s="478"/>
      <c r="HP304" s="478"/>
      <c r="HQ304" s="478"/>
      <c r="HR304" s="478"/>
      <c r="HS304" s="478"/>
      <c r="HT304" s="478"/>
      <c r="HU304" s="478"/>
      <c r="HV304" s="478"/>
      <c r="HW304" s="478"/>
      <c r="HX304" s="478"/>
      <c r="HY304" s="478"/>
      <c r="HZ304" s="478"/>
      <c r="IA304" s="478"/>
      <c r="IB304" s="478"/>
      <c r="IC304" s="478"/>
      <c r="ID304" s="478"/>
      <c r="IE304" s="478"/>
      <c r="IF304" s="478"/>
      <c r="IG304" s="478"/>
      <c r="IH304" s="478"/>
      <c r="II304" s="478"/>
      <c r="IJ304" s="478"/>
      <c r="IK304" s="478"/>
      <c r="IL304" s="478"/>
      <c r="IM304" s="478"/>
      <c r="IN304" s="478"/>
      <c r="IO304" s="478"/>
      <c r="IP304" s="478"/>
      <c r="IQ304" s="478"/>
      <c r="IR304" s="478"/>
      <c r="IS304" s="478"/>
    </row>
    <row r="305" spans="1:253" ht="30" customHeight="1" thickBot="1" thickTop="1">
      <c r="A305" s="606">
        <v>291</v>
      </c>
      <c r="B305" s="930"/>
      <c r="C305" s="917"/>
      <c r="D305" s="468" t="s">
        <v>153</v>
      </c>
      <c r="E305" s="467"/>
      <c r="F305" s="469">
        <f aca="true" t="shared" si="6" ref="F305:K305">+F304+F114+F126</f>
        <v>11900604</v>
      </c>
      <c r="G305" s="469">
        <f t="shared" si="6"/>
        <v>3992836</v>
      </c>
      <c r="H305" s="470">
        <f t="shared" si="6"/>
        <v>2767979</v>
      </c>
      <c r="I305" s="495">
        <f t="shared" si="6"/>
        <v>2525358</v>
      </c>
      <c r="J305" s="469">
        <f t="shared" si="6"/>
        <v>5137955</v>
      </c>
      <c r="K305" s="497">
        <f t="shared" si="6"/>
        <v>4545935</v>
      </c>
      <c r="L305" s="408"/>
      <c r="M305" s="478"/>
      <c r="N305" s="478"/>
      <c r="O305" s="478"/>
      <c r="P305" s="478"/>
      <c r="Q305" s="478"/>
      <c r="R305" s="478"/>
      <c r="S305" s="478"/>
      <c r="T305" s="478"/>
      <c r="U305" s="478"/>
      <c r="V305" s="478"/>
      <c r="W305" s="478"/>
      <c r="X305" s="478"/>
      <c r="Y305" s="478"/>
      <c r="Z305" s="478"/>
      <c r="AA305" s="478"/>
      <c r="AB305" s="478"/>
      <c r="AC305" s="478"/>
      <c r="AD305" s="478"/>
      <c r="AE305" s="478"/>
      <c r="AF305" s="478"/>
      <c r="AG305" s="478"/>
      <c r="AH305" s="478"/>
      <c r="AI305" s="478"/>
      <c r="AJ305" s="478"/>
      <c r="AK305" s="478"/>
      <c r="AL305" s="478"/>
      <c r="AM305" s="478"/>
      <c r="AN305" s="478"/>
      <c r="AO305" s="478"/>
      <c r="AP305" s="478"/>
      <c r="AQ305" s="478"/>
      <c r="AR305" s="478"/>
      <c r="AS305" s="478"/>
      <c r="AT305" s="478"/>
      <c r="AU305" s="478"/>
      <c r="AV305" s="478"/>
      <c r="AW305" s="478"/>
      <c r="AX305" s="478"/>
      <c r="AY305" s="478"/>
      <c r="AZ305" s="478"/>
      <c r="BA305" s="478"/>
      <c r="BB305" s="478"/>
      <c r="BC305" s="478"/>
      <c r="BD305" s="478"/>
      <c r="BE305" s="478"/>
      <c r="BF305" s="478"/>
      <c r="BG305" s="478"/>
      <c r="BH305" s="478"/>
      <c r="BI305" s="478"/>
      <c r="BJ305" s="478"/>
      <c r="BK305" s="478"/>
      <c r="BL305" s="478"/>
      <c r="BM305" s="478"/>
      <c r="BN305" s="478"/>
      <c r="BO305" s="478"/>
      <c r="BP305" s="478"/>
      <c r="BQ305" s="478"/>
      <c r="BR305" s="478"/>
      <c r="BS305" s="478"/>
      <c r="BT305" s="478"/>
      <c r="BU305" s="478"/>
      <c r="BV305" s="478"/>
      <c r="BW305" s="478"/>
      <c r="BX305" s="478"/>
      <c r="BY305" s="478"/>
      <c r="BZ305" s="478"/>
      <c r="CA305" s="478"/>
      <c r="CB305" s="478"/>
      <c r="CC305" s="478"/>
      <c r="CD305" s="478"/>
      <c r="CE305" s="478"/>
      <c r="CF305" s="478"/>
      <c r="CG305" s="478"/>
      <c r="CH305" s="478"/>
      <c r="CI305" s="478"/>
      <c r="CJ305" s="478"/>
      <c r="CK305" s="478"/>
      <c r="CL305" s="478"/>
      <c r="CM305" s="478"/>
      <c r="CN305" s="478"/>
      <c r="CO305" s="478"/>
      <c r="CP305" s="478"/>
      <c r="CQ305" s="478"/>
      <c r="CR305" s="478"/>
      <c r="CS305" s="478"/>
      <c r="CT305" s="478"/>
      <c r="CU305" s="478"/>
      <c r="CV305" s="478"/>
      <c r="CW305" s="478"/>
      <c r="CX305" s="478"/>
      <c r="CY305" s="478"/>
      <c r="CZ305" s="478"/>
      <c r="DA305" s="478"/>
      <c r="DB305" s="478"/>
      <c r="DC305" s="478"/>
      <c r="DD305" s="478"/>
      <c r="DE305" s="478"/>
      <c r="DF305" s="478"/>
      <c r="DG305" s="478"/>
      <c r="DH305" s="478"/>
      <c r="DI305" s="478"/>
      <c r="DJ305" s="478"/>
      <c r="DK305" s="478"/>
      <c r="DL305" s="478"/>
      <c r="DM305" s="478"/>
      <c r="DN305" s="478"/>
      <c r="DO305" s="478"/>
      <c r="DP305" s="478"/>
      <c r="DQ305" s="478"/>
      <c r="DR305" s="478"/>
      <c r="DS305" s="478"/>
      <c r="DT305" s="478"/>
      <c r="DU305" s="478"/>
      <c r="DV305" s="478"/>
      <c r="DW305" s="478"/>
      <c r="DX305" s="478"/>
      <c r="DY305" s="478"/>
      <c r="DZ305" s="478"/>
      <c r="EA305" s="478"/>
      <c r="EB305" s="478"/>
      <c r="EC305" s="478"/>
      <c r="ED305" s="478"/>
      <c r="EE305" s="478"/>
      <c r="EF305" s="478"/>
      <c r="EG305" s="478"/>
      <c r="EH305" s="478"/>
      <c r="EI305" s="478"/>
      <c r="EJ305" s="478"/>
      <c r="EK305" s="478"/>
      <c r="EL305" s="478"/>
      <c r="EM305" s="478"/>
      <c r="EN305" s="478"/>
      <c r="EO305" s="478"/>
      <c r="EP305" s="478"/>
      <c r="EQ305" s="478"/>
      <c r="ER305" s="478"/>
      <c r="ES305" s="478"/>
      <c r="ET305" s="478"/>
      <c r="EU305" s="478"/>
      <c r="EV305" s="478"/>
      <c r="EW305" s="478"/>
      <c r="EX305" s="478"/>
      <c r="EY305" s="478"/>
      <c r="EZ305" s="478"/>
      <c r="FA305" s="478"/>
      <c r="FB305" s="478"/>
      <c r="FC305" s="478"/>
      <c r="FD305" s="478"/>
      <c r="FE305" s="478"/>
      <c r="FF305" s="478"/>
      <c r="FG305" s="478"/>
      <c r="FH305" s="478"/>
      <c r="FI305" s="478"/>
      <c r="FJ305" s="478"/>
      <c r="FK305" s="478"/>
      <c r="FL305" s="478"/>
      <c r="FM305" s="478"/>
      <c r="FN305" s="478"/>
      <c r="FO305" s="478"/>
      <c r="FP305" s="478"/>
      <c r="FQ305" s="478"/>
      <c r="FR305" s="478"/>
      <c r="FS305" s="478"/>
      <c r="FT305" s="478"/>
      <c r="FU305" s="478"/>
      <c r="FV305" s="478"/>
      <c r="FW305" s="478"/>
      <c r="FX305" s="478"/>
      <c r="FY305" s="478"/>
      <c r="FZ305" s="478"/>
      <c r="GA305" s="478"/>
      <c r="GB305" s="478"/>
      <c r="GC305" s="478"/>
      <c r="GD305" s="478"/>
      <c r="GE305" s="478"/>
      <c r="GF305" s="478"/>
      <c r="GG305" s="478"/>
      <c r="GH305" s="478"/>
      <c r="GI305" s="478"/>
      <c r="GJ305" s="478"/>
      <c r="GK305" s="478"/>
      <c r="GL305" s="478"/>
      <c r="GM305" s="478"/>
      <c r="GN305" s="478"/>
      <c r="GO305" s="478"/>
      <c r="GP305" s="478"/>
      <c r="GQ305" s="478"/>
      <c r="GR305" s="478"/>
      <c r="GS305" s="478"/>
      <c r="GT305" s="478"/>
      <c r="GU305" s="478"/>
      <c r="GV305" s="478"/>
      <c r="GW305" s="478"/>
      <c r="GX305" s="478"/>
      <c r="GY305" s="478"/>
      <c r="GZ305" s="478"/>
      <c r="HA305" s="478"/>
      <c r="HB305" s="478"/>
      <c r="HC305" s="478"/>
      <c r="HD305" s="478"/>
      <c r="HE305" s="478"/>
      <c r="HF305" s="478"/>
      <c r="HG305" s="478"/>
      <c r="HH305" s="478"/>
      <c r="HI305" s="478"/>
      <c r="HJ305" s="478"/>
      <c r="HK305" s="478"/>
      <c r="HL305" s="478"/>
      <c r="HM305" s="478"/>
      <c r="HN305" s="478"/>
      <c r="HO305" s="478"/>
      <c r="HP305" s="478"/>
      <c r="HQ305" s="478"/>
      <c r="HR305" s="478"/>
      <c r="HS305" s="478"/>
      <c r="HT305" s="478"/>
      <c r="HU305" s="478"/>
      <c r="HV305" s="478"/>
      <c r="HW305" s="478"/>
      <c r="HX305" s="478"/>
      <c r="HY305" s="478"/>
      <c r="HZ305" s="478"/>
      <c r="IA305" s="478"/>
      <c r="IB305" s="478"/>
      <c r="IC305" s="478"/>
      <c r="ID305" s="478"/>
      <c r="IE305" s="478"/>
      <c r="IF305" s="478"/>
      <c r="IG305" s="478"/>
      <c r="IH305" s="478"/>
      <c r="II305" s="478"/>
      <c r="IJ305" s="478"/>
      <c r="IK305" s="478"/>
      <c r="IL305" s="478"/>
      <c r="IM305" s="478"/>
      <c r="IN305" s="478"/>
      <c r="IO305" s="478"/>
      <c r="IP305" s="478"/>
      <c r="IQ305" s="478"/>
      <c r="IR305" s="478"/>
      <c r="IS305" s="478"/>
    </row>
    <row r="306" spans="2:253" ht="15">
      <c r="B306" s="931" t="s">
        <v>783</v>
      </c>
      <c r="C306" s="918"/>
      <c r="D306" s="471"/>
      <c r="E306" s="472"/>
      <c r="F306" s="473"/>
      <c r="G306" s="473"/>
      <c r="H306" s="473"/>
      <c r="I306" s="496"/>
      <c r="J306" s="473"/>
      <c r="K306" s="597"/>
      <c r="L306" s="473"/>
      <c r="M306" s="480"/>
      <c r="N306" s="480"/>
      <c r="O306" s="480"/>
      <c r="P306" s="480"/>
      <c r="Q306" s="480"/>
      <c r="R306" s="480"/>
      <c r="S306" s="480"/>
      <c r="T306" s="480"/>
      <c r="U306" s="480"/>
      <c r="V306" s="480"/>
      <c r="W306" s="480"/>
      <c r="X306" s="480"/>
      <c r="Y306" s="480"/>
      <c r="Z306" s="480"/>
      <c r="AA306" s="480"/>
      <c r="AB306" s="480"/>
      <c r="AC306" s="480"/>
      <c r="AD306" s="480"/>
      <c r="AE306" s="480"/>
      <c r="AF306" s="480"/>
      <c r="AG306" s="480"/>
      <c r="AH306" s="480"/>
      <c r="AI306" s="480"/>
      <c r="AJ306" s="480"/>
      <c r="AK306" s="480"/>
      <c r="AL306" s="480"/>
      <c r="AM306" s="480"/>
      <c r="AN306" s="480"/>
      <c r="AO306" s="480"/>
      <c r="AP306" s="480"/>
      <c r="AQ306" s="480"/>
      <c r="AR306" s="480"/>
      <c r="AS306" s="480"/>
      <c r="AT306" s="480"/>
      <c r="AU306" s="480"/>
      <c r="AV306" s="480"/>
      <c r="AW306" s="480"/>
      <c r="AX306" s="480"/>
      <c r="AY306" s="480"/>
      <c r="AZ306" s="480"/>
      <c r="BA306" s="480"/>
      <c r="BB306" s="480"/>
      <c r="BC306" s="480"/>
      <c r="BD306" s="480"/>
      <c r="BE306" s="480"/>
      <c r="BF306" s="480"/>
      <c r="BG306" s="480"/>
      <c r="BH306" s="480"/>
      <c r="BI306" s="480"/>
      <c r="BJ306" s="480"/>
      <c r="BK306" s="480"/>
      <c r="BL306" s="480"/>
      <c r="BM306" s="480"/>
      <c r="BN306" s="480"/>
      <c r="BO306" s="480"/>
      <c r="BP306" s="480"/>
      <c r="BQ306" s="480"/>
      <c r="BR306" s="480"/>
      <c r="BS306" s="480"/>
      <c r="BT306" s="480"/>
      <c r="BU306" s="480"/>
      <c r="BV306" s="480"/>
      <c r="BW306" s="480"/>
      <c r="BX306" s="480"/>
      <c r="BY306" s="480"/>
      <c r="BZ306" s="480"/>
      <c r="CA306" s="480"/>
      <c r="CB306" s="480"/>
      <c r="CC306" s="480"/>
      <c r="CD306" s="480"/>
      <c r="CE306" s="480"/>
      <c r="CF306" s="480"/>
      <c r="CG306" s="480"/>
      <c r="CH306" s="480"/>
      <c r="CI306" s="480"/>
      <c r="CJ306" s="480"/>
      <c r="CK306" s="480"/>
      <c r="CL306" s="480"/>
      <c r="CM306" s="480"/>
      <c r="CN306" s="480"/>
      <c r="CO306" s="480"/>
      <c r="CP306" s="480"/>
      <c r="CQ306" s="480"/>
      <c r="CR306" s="480"/>
      <c r="CS306" s="480"/>
      <c r="CT306" s="480"/>
      <c r="CU306" s="480"/>
      <c r="CV306" s="480"/>
      <c r="CW306" s="480"/>
      <c r="CX306" s="480"/>
      <c r="CY306" s="480"/>
      <c r="CZ306" s="480"/>
      <c r="DA306" s="480"/>
      <c r="DB306" s="480"/>
      <c r="DC306" s="480"/>
      <c r="DD306" s="480"/>
      <c r="DE306" s="480"/>
      <c r="DF306" s="480"/>
      <c r="DG306" s="480"/>
      <c r="DH306" s="480"/>
      <c r="DI306" s="480"/>
      <c r="DJ306" s="480"/>
      <c r="DK306" s="480"/>
      <c r="DL306" s="480"/>
      <c r="DM306" s="480"/>
      <c r="DN306" s="480"/>
      <c r="DO306" s="480"/>
      <c r="DP306" s="480"/>
      <c r="DQ306" s="480"/>
      <c r="DR306" s="480"/>
      <c r="DS306" s="480"/>
      <c r="DT306" s="480"/>
      <c r="DU306" s="480"/>
      <c r="DV306" s="480"/>
      <c r="DW306" s="480"/>
      <c r="DX306" s="480"/>
      <c r="DY306" s="480"/>
      <c r="DZ306" s="480"/>
      <c r="EA306" s="480"/>
      <c r="EB306" s="480"/>
      <c r="EC306" s="480"/>
      <c r="ED306" s="480"/>
      <c r="EE306" s="480"/>
      <c r="EF306" s="480"/>
      <c r="EG306" s="480"/>
      <c r="EH306" s="480"/>
      <c r="EI306" s="480"/>
      <c r="EJ306" s="480"/>
      <c r="EK306" s="480"/>
      <c r="EL306" s="480"/>
      <c r="EM306" s="480"/>
      <c r="EN306" s="480"/>
      <c r="EO306" s="480"/>
      <c r="EP306" s="480"/>
      <c r="EQ306" s="480"/>
      <c r="ER306" s="480"/>
      <c r="ES306" s="480"/>
      <c r="ET306" s="480"/>
      <c r="EU306" s="480"/>
      <c r="EV306" s="480"/>
      <c r="EW306" s="480"/>
      <c r="EX306" s="480"/>
      <c r="EY306" s="480"/>
      <c r="EZ306" s="480"/>
      <c r="FA306" s="480"/>
      <c r="FB306" s="480"/>
      <c r="FC306" s="480"/>
      <c r="FD306" s="480"/>
      <c r="FE306" s="480"/>
      <c r="FF306" s="480"/>
      <c r="FG306" s="480"/>
      <c r="FH306" s="480"/>
      <c r="FI306" s="480"/>
      <c r="FJ306" s="480"/>
      <c r="FK306" s="480"/>
      <c r="FL306" s="480"/>
      <c r="FM306" s="480"/>
      <c r="FN306" s="480"/>
      <c r="FO306" s="480"/>
      <c r="FP306" s="480"/>
      <c r="FQ306" s="480"/>
      <c r="FR306" s="480"/>
      <c r="FS306" s="480"/>
      <c r="FT306" s="480"/>
      <c r="FU306" s="480"/>
      <c r="FV306" s="480"/>
      <c r="FW306" s="480"/>
      <c r="FX306" s="480"/>
      <c r="FY306" s="480"/>
      <c r="FZ306" s="480"/>
      <c r="GA306" s="480"/>
      <c r="GB306" s="480"/>
      <c r="GC306" s="480"/>
      <c r="GD306" s="480"/>
      <c r="GE306" s="480"/>
      <c r="GF306" s="480"/>
      <c r="GG306" s="480"/>
      <c r="GH306" s="480"/>
      <c r="GI306" s="480"/>
      <c r="GJ306" s="480"/>
      <c r="GK306" s="480"/>
      <c r="GL306" s="480"/>
      <c r="GM306" s="480"/>
      <c r="GN306" s="480"/>
      <c r="GO306" s="480"/>
      <c r="GP306" s="480"/>
      <c r="GQ306" s="480"/>
      <c r="GR306" s="480"/>
      <c r="GS306" s="480"/>
      <c r="GT306" s="480"/>
      <c r="GU306" s="480"/>
      <c r="GV306" s="480"/>
      <c r="GW306" s="480"/>
      <c r="GX306" s="480"/>
      <c r="GY306" s="480"/>
      <c r="GZ306" s="480"/>
      <c r="HA306" s="480"/>
      <c r="HB306" s="480"/>
      <c r="HC306" s="480"/>
      <c r="HD306" s="480"/>
      <c r="HE306" s="480"/>
      <c r="HF306" s="480"/>
      <c r="HG306" s="480"/>
      <c r="HH306" s="480"/>
      <c r="HI306" s="480"/>
      <c r="HJ306" s="480"/>
      <c r="HK306" s="480"/>
      <c r="HL306" s="480"/>
      <c r="HM306" s="480"/>
      <c r="HN306" s="480"/>
      <c r="HO306" s="480"/>
      <c r="HP306" s="480"/>
      <c r="HQ306" s="480"/>
      <c r="HR306" s="480"/>
      <c r="HS306" s="480"/>
      <c r="HT306" s="480"/>
      <c r="HU306" s="480"/>
      <c r="HV306" s="480"/>
      <c r="HW306" s="480"/>
      <c r="HX306" s="480"/>
      <c r="HY306" s="480"/>
      <c r="HZ306" s="480"/>
      <c r="IA306" s="480"/>
      <c r="IB306" s="480"/>
      <c r="IC306" s="480"/>
      <c r="ID306" s="480"/>
      <c r="IE306" s="480"/>
      <c r="IF306" s="480"/>
      <c r="IG306" s="480"/>
      <c r="IH306" s="480"/>
      <c r="II306" s="480"/>
      <c r="IJ306" s="480"/>
      <c r="IK306" s="480"/>
      <c r="IL306" s="480"/>
      <c r="IM306" s="480"/>
      <c r="IN306" s="480"/>
      <c r="IO306" s="480"/>
      <c r="IP306" s="480"/>
      <c r="IQ306" s="480"/>
      <c r="IR306" s="480"/>
      <c r="IS306" s="480"/>
    </row>
    <row r="307" spans="2:253" ht="15">
      <c r="B307" s="931" t="s">
        <v>368</v>
      </c>
      <c r="C307" s="918"/>
      <c r="D307" s="471"/>
      <c r="E307" s="472"/>
      <c r="F307" s="473"/>
      <c r="G307" s="473"/>
      <c r="H307" s="473"/>
      <c r="I307" s="496"/>
      <c r="J307" s="473"/>
      <c r="K307" s="597"/>
      <c r="L307" s="473"/>
      <c r="M307" s="480"/>
      <c r="N307" s="480"/>
      <c r="O307" s="480"/>
      <c r="P307" s="480"/>
      <c r="Q307" s="480"/>
      <c r="R307" s="480"/>
      <c r="S307" s="480"/>
      <c r="T307" s="480"/>
      <c r="U307" s="480"/>
      <c r="V307" s="480"/>
      <c r="W307" s="480"/>
      <c r="X307" s="480"/>
      <c r="Y307" s="480"/>
      <c r="Z307" s="480"/>
      <c r="AA307" s="480"/>
      <c r="AB307" s="480"/>
      <c r="AC307" s="480"/>
      <c r="AD307" s="480"/>
      <c r="AE307" s="480"/>
      <c r="AF307" s="480"/>
      <c r="AG307" s="480"/>
      <c r="AH307" s="480"/>
      <c r="AI307" s="480"/>
      <c r="AJ307" s="480"/>
      <c r="AK307" s="480"/>
      <c r="AL307" s="480"/>
      <c r="AM307" s="480"/>
      <c r="AN307" s="480"/>
      <c r="AO307" s="480"/>
      <c r="AP307" s="480"/>
      <c r="AQ307" s="480"/>
      <c r="AR307" s="480"/>
      <c r="AS307" s="480"/>
      <c r="AT307" s="480"/>
      <c r="AU307" s="480"/>
      <c r="AV307" s="480"/>
      <c r="AW307" s="480"/>
      <c r="AX307" s="480"/>
      <c r="AY307" s="480"/>
      <c r="AZ307" s="480"/>
      <c r="BA307" s="480"/>
      <c r="BB307" s="480"/>
      <c r="BC307" s="480"/>
      <c r="BD307" s="480"/>
      <c r="BE307" s="480"/>
      <c r="BF307" s="480"/>
      <c r="BG307" s="480"/>
      <c r="BH307" s="480"/>
      <c r="BI307" s="480"/>
      <c r="BJ307" s="480"/>
      <c r="BK307" s="480"/>
      <c r="BL307" s="480"/>
      <c r="BM307" s="480"/>
      <c r="BN307" s="480"/>
      <c r="BO307" s="480"/>
      <c r="BP307" s="480"/>
      <c r="BQ307" s="480"/>
      <c r="BR307" s="480"/>
      <c r="BS307" s="480"/>
      <c r="BT307" s="480"/>
      <c r="BU307" s="480"/>
      <c r="BV307" s="480"/>
      <c r="BW307" s="480"/>
      <c r="BX307" s="480"/>
      <c r="BY307" s="480"/>
      <c r="BZ307" s="480"/>
      <c r="CA307" s="480"/>
      <c r="CB307" s="480"/>
      <c r="CC307" s="480"/>
      <c r="CD307" s="480"/>
      <c r="CE307" s="480"/>
      <c r="CF307" s="480"/>
      <c r="CG307" s="480"/>
      <c r="CH307" s="480"/>
      <c r="CI307" s="480"/>
      <c r="CJ307" s="480"/>
      <c r="CK307" s="480"/>
      <c r="CL307" s="480"/>
      <c r="CM307" s="480"/>
      <c r="CN307" s="480"/>
      <c r="CO307" s="480"/>
      <c r="CP307" s="480"/>
      <c r="CQ307" s="480"/>
      <c r="CR307" s="480"/>
      <c r="CS307" s="480"/>
      <c r="CT307" s="480"/>
      <c r="CU307" s="480"/>
      <c r="CV307" s="480"/>
      <c r="CW307" s="480"/>
      <c r="CX307" s="480"/>
      <c r="CY307" s="480"/>
      <c r="CZ307" s="480"/>
      <c r="DA307" s="480"/>
      <c r="DB307" s="480"/>
      <c r="DC307" s="480"/>
      <c r="DD307" s="480"/>
      <c r="DE307" s="480"/>
      <c r="DF307" s="480"/>
      <c r="DG307" s="480"/>
      <c r="DH307" s="480"/>
      <c r="DI307" s="480"/>
      <c r="DJ307" s="480"/>
      <c r="DK307" s="480"/>
      <c r="DL307" s="480"/>
      <c r="DM307" s="480"/>
      <c r="DN307" s="480"/>
      <c r="DO307" s="480"/>
      <c r="DP307" s="480"/>
      <c r="DQ307" s="480"/>
      <c r="DR307" s="480"/>
      <c r="DS307" s="480"/>
      <c r="DT307" s="480"/>
      <c r="DU307" s="480"/>
      <c r="DV307" s="480"/>
      <c r="DW307" s="480"/>
      <c r="DX307" s="480"/>
      <c r="DY307" s="480"/>
      <c r="DZ307" s="480"/>
      <c r="EA307" s="480"/>
      <c r="EB307" s="480"/>
      <c r="EC307" s="480"/>
      <c r="ED307" s="480"/>
      <c r="EE307" s="480"/>
      <c r="EF307" s="480"/>
      <c r="EG307" s="480"/>
      <c r="EH307" s="480"/>
      <c r="EI307" s="480"/>
      <c r="EJ307" s="480"/>
      <c r="EK307" s="480"/>
      <c r="EL307" s="480"/>
      <c r="EM307" s="480"/>
      <c r="EN307" s="480"/>
      <c r="EO307" s="480"/>
      <c r="EP307" s="480"/>
      <c r="EQ307" s="480"/>
      <c r="ER307" s="480"/>
      <c r="ES307" s="480"/>
      <c r="ET307" s="480"/>
      <c r="EU307" s="480"/>
      <c r="EV307" s="480"/>
      <c r="EW307" s="480"/>
      <c r="EX307" s="480"/>
      <c r="EY307" s="480"/>
      <c r="EZ307" s="480"/>
      <c r="FA307" s="480"/>
      <c r="FB307" s="480"/>
      <c r="FC307" s="480"/>
      <c r="FD307" s="480"/>
      <c r="FE307" s="480"/>
      <c r="FF307" s="480"/>
      <c r="FG307" s="480"/>
      <c r="FH307" s="480"/>
      <c r="FI307" s="480"/>
      <c r="FJ307" s="480"/>
      <c r="FK307" s="480"/>
      <c r="FL307" s="480"/>
      <c r="FM307" s="480"/>
      <c r="FN307" s="480"/>
      <c r="FO307" s="480"/>
      <c r="FP307" s="480"/>
      <c r="FQ307" s="480"/>
      <c r="FR307" s="480"/>
      <c r="FS307" s="480"/>
      <c r="FT307" s="480"/>
      <c r="FU307" s="480"/>
      <c r="FV307" s="480"/>
      <c r="FW307" s="480"/>
      <c r="FX307" s="480"/>
      <c r="FY307" s="480"/>
      <c r="FZ307" s="480"/>
      <c r="GA307" s="480"/>
      <c r="GB307" s="480"/>
      <c r="GC307" s="480"/>
      <c r="GD307" s="480"/>
      <c r="GE307" s="480"/>
      <c r="GF307" s="480"/>
      <c r="GG307" s="480"/>
      <c r="GH307" s="480"/>
      <c r="GI307" s="480"/>
      <c r="GJ307" s="480"/>
      <c r="GK307" s="480"/>
      <c r="GL307" s="480"/>
      <c r="GM307" s="480"/>
      <c r="GN307" s="480"/>
      <c r="GO307" s="480"/>
      <c r="GP307" s="480"/>
      <c r="GQ307" s="480"/>
      <c r="GR307" s="480"/>
      <c r="GS307" s="480"/>
      <c r="GT307" s="480"/>
      <c r="GU307" s="480"/>
      <c r="GV307" s="480"/>
      <c r="GW307" s="480"/>
      <c r="GX307" s="480"/>
      <c r="GY307" s="480"/>
      <c r="GZ307" s="480"/>
      <c r="HA307" s="480"/>
      <c r="HB307" s="480"/>
      <c r="HC307" s="480"/>
      <c r="HD307" s="480"/>
      <c r="HE307" s="480"/>
      <c r="HF307" s="480"/>
      <c r="HG307" s="480"/>
      <c r="HH307" s="480"/>
      <c r="HI307" s="480"/>
      <c r="HJ307" s="480"/>
      <c r="HK307" s="480"/>
      <c r="HL307" s="480"/>
      <c r="HM307" s="480"/>
      <c r="HN307" s="480"/>
      <c r="HO307" s="480"/>
      <c r="HP307" s="480"/>
      <c r="HQ307" s="480"/>
      <c r="HR307" s="480"/>
      <c r="HS307" s="480"/>
      <c r="HT307" s="480"/>
      <c r="HU307" s="480"/>
      <c r="HV307" s="480"/>
      <c r="HW307" s="480"/>
      <c r="HX307" s="480"/>
      <c r="HY307" s="480"/>
      <c r="HZ307" s="480"/>
      <c r="IA307" s="480"/>
      <c r="IB307" s="480"/>
      <c r="IC307" s="480"/>
      <c r="ID307" s="480"/>
      <c r="IE307" s="480"/>
      <c r="IF307" s="480"/>
      <c r="IG307" s="480"/>
      <c r="IH307" s="480"/>
      <c r="II307" s="480"/>
      <c r="IJ307" s="480"/>
      <c r="IK307" s="480"/>
      <c r="IL307" s="480"/>
      <c r="IM307" s="480"/>
      <c r="IN307" s="480"/>
      <c r="IO307" s="480"/>
      <c r="IP307" s="480"/>
      <c r="IQ307" s="480"/>
      <c r="IR307" s="480"/>
      <c r="IS307" s="480"/>
    </row>
    <row r="308" spans="2:253" ht="15">
      <c r="B308" s="931" t="s">
        <v>369</v>
      </c>
      <c r="C308" s="918"/>
      <c r="D308" s="471"/>
      <c r="E308" s="472"/>
      <c r="F308" s="473"/>
      <c r="G308" s="473"/>
      <c r="H308" s="473"/>
      <c r="I308" s="496"/>
      <c r="J308" s="473"/>
      <c r="K308" s="597"/>
      <c r="L308" s="473"/>
      <c r="M308" s="480"/>
      <c r="N308" s="480"/>
      <c r="O308" s="480"/>
      <c r="P308" s="480"/>
      <c r="Q308" s="480"/>
      <c r="R308" s="480"/>
      <c r="S308" s="480"/>
      <c r="T308" s="480"/>
      <c r="U308" s="480"/>
      <c r="V308" s="480"/>
      <c r="W308" s="480"/>
      <c r="X308" s="480"/>
      <c r="Y308" s="480"/>
      <c r="Z308" s="480"/>
      <c r="AA308" s="480"/>
      <c r="AB308" s="480"/>
      <c r="AC308" s="480"/>
      <c r="AD308" s="480"/>
      <c r="AE308" s="480"/>
      <c r="AF308" s="480"/>
      <c r="AG308" s="480"/>
      <c r="AH308" s="480"/>
      <c r="AI308" s="480"/>
      <c r="AJ308" s="480"/>
      <c r="AK308" s="480"/>
      <c r="AL308" s="480"/>
      <c r="AM308" s="480"/>
      <c r="AN308" s="480"/>
      <c r="AO308" s="480"/>
      <c r="AP308" s="480"/>
      <c r="AQ308" s="480"/>
      <c r="AR308" s="480"/>
      <c r="AS308" s="480"/>
      <c r="AT308" s="480"/>
      <c r="AU308" s="480"/>
      <c r="AV308" s="480"/>
      <c r="AW308" s="480"/>
      <c r="AX308" s="480"/>
      <c r="AY308" s="480"/>
      <c r="AZ308" s="480"/>
      <c r="BA308" s="480"/>
      <c r="BB308" s="480"/>
      <c r="BC308" s="480"/>
      <c r="BD308" s="480"/>
      <c r="BE308" s="480"/>
      <c r="BF308" s="480"/>
      <c r="BG308" s="480"/>
      <c r="BH308" s="480"/>
      <c r="BI308" s="480"/>
      <c r="BJ308" s="480"/>
      <c r="BK308" s="480"/>
      <c r="BL308" s="480"/>
      <c r="BM308" s="480"/>
      <c r="BN308" s="480"/>
      <c r="BO308" s="480"/>
      <c r="BP308" s="480"/>
      <c r="BQ308" s="480"/>
      <c r="BR308" s="480"/>
      <c r="BS308" s="480"/>
      <c r="BT308" s="480"/>
      <c r="BU308" s="480"/>
      <c r="BV308" s="480"/>
      <c r="BW308" s="480"/>
      <c r="BX308" s="480"/>
      <c r="BY308" s="480"/>
      <c r="BZ308" s="480"/>
      <c r="CA308" s="480"/>
      <c r="CB308" s="480"/>
      <c r="CC308" s="480"/>
      <c r="CD308" s="480"/>
      <c r="CE308" s="480"/>
      <c r="CF308" s="480"/>
      <c r="CG308" s="480"/>
      <c r="CH308" s="480"/>
      <c r="CI308" s="480"/>
      <c r="CJ308" s="480"/>
      <c r="CK308" s="480"/>
      <c r="CL308" s="480"/>
      <c r="CM308" s="480"/>
      <c r="CN308" s="480"/>
      <c r="CO308" s="480"/>
      <c r="CP308" s="480"/>
      <c r="CQ308" s="480"/>
      <c r="CR308" s="480"/>
      <c r="CS308" s="480"/>
      <c r="CT308" s="480"/>
      <c r="CU308" s="480"/>
      <c r="CV308" s="480"/>
      <c r="CW308" s="480"/>
      <c r="CX308" s="480"/>
      <c r="CY308" s="480"/>
      <c r="CZ308" s="480"/>
      <c r="DA308" s="480"/>
      <c r="DB308" s="480"/>
      <c r="DC308" s="480"/>
      <c r="DD308" s="480"/>
      <c r="DE308" s="480"/>
      <c r="DF308" s="480"/>
      <c r="DG308" s="480"/>
      <c r="DH308" s="480"/>
      <c r="DI308" s="480"/>
      <c r="DJ308" s="480"/>
      <c r="DK308" s="480"/>
      <c r="DL308" s="480"/>
      <c r="DM308" s="480"/>
      <c r="DN308" s="480"/>
      <c r="DO308" s="480"/>
      <c r="DP308" s="480"/>
      <c r="DQ308" s="480"/>
      <c r="DR308" s="480"/>
      <c r="DS308" s="480"/>
      <c r="DT308" s="480"/>
      <c r="DU308" s="480"/>
      <c r="DV308" s="480"/>
      <c r="DW308" s="480"/>
      <c r="DX308" s="480"/>
      <c r="DY308" s="480"/>
      <c r="DZ308" s="480"/>
      <c r="EA308" s="480"/>
      <c r="EB308" s="480"/>
      <c r="EC308" s="480"/>
      <c r="ED308" s="480"/>
      <c r="EE308" s="480"/>
      <c r="EF308" s="480"/>
      <c r="EG308" s="480"/>
      <c r="EH308" s="480"/>
      <c r="EI308" s="480"/>
      <c r="EJ308" s="480"/>
      <c r="EK308" s="480"/>
      <c r="EL308" s="480"/>
      <c r="EM308" s="480"/>
      <c r="EN308" s="480"/>
      <c r="EO308" s="480"/>
      <c r="EP308" s="480"/>
      <c r="EQ308" s="480"/>
      <c r="ER308" s="480"/>
      <c r="ES308" s="480"/>
      <c r="ET308" s="480"/>
      <c r="EU308" s="480"/>
      <c r="EV308" s="480"/>
      <c r="EW308" s="480"/>
      <c r="EX308" s="480"/>
      <c r="EY308" s="480"/>
      <c r="EZ308" s="480"/>
      <c r="FA308" s="480"/>
      <c r="FB308" s="480"/>
      <c r="FC308" s="480"/>
      <c r="FD308" s="480"/>
      <c r="FE308" s="480"/>
      <c r="FF308" s="480"/>
      <c r="FG308" s="480"/>
      <c r="FH308" s="480"/>
      <c r="FI308" s="480"/>
      <c r="FJ308" s="480"/>
      <c r="FK308" s="480"/>
      <c r="FL308" s="480"/>
      <c r="FM308" s="480"/>
      <c r="FN308" s="480"/>
      <c r="FO308" s="480"/>
      <c r="FP308" s="480"/>
      <c r="FQ308" s="480"/>
      <c r="FR308" s="480"/>
      <c r="FS308" s="480"/>
      <c r="FT308" s="480"/>
      <c r="FU308" s="480"/>
      <c r="FV308" s="480"/>
      <c r="FW308" s="480"/>
      <c r="FX308" s="480"/>
      <c r="FY308" s="480"/>
      <c r="FZ308" s="480"/>
      <c r="GA308" s="480"/>
      <c r="GB308" s="480"/>
      <c r="GC308" s="480"/>
      <c r="GD308" s="480"/>
      <c r="GE308" s="480"/>
      <c r="GF308" s="480"/>
      <c r="GG308" s="480"/>
      <c r="GH308" s="480"/>
      <c r="GI308" s="480"/>
      <c r="GJ308" s="480"/>
      <c r="GK308" s="480"/>
      <c r="GL308" s="480"/>
      <c r="GM308" s="480"/>
      <c r="GN308" s="480"/>
      <c r="GO308" s="480"/>
      <c r="GP308" s="480"/>
      <c r="GQ308" s="480"/>
      <c r="GR308" s="480"/>
      <c r="GS308" s="480"/>
      <c r="GT308" s="480"/>
      <c r="GU308" s="480"/>
      <c r="GV308" s="480"/>
      <c r="GW308" s="480"/>
      <c r="GX308" s="480"/>
      <c r="GY308" s="480"/>
      <c r="GZ308" s="480"/>
      <c r="HA308" s="480"/>
      <c r="HB308" s="480"/>
      <c r="HC308" s="480"/>
      <c r="HD308" s="480"/>
      <c r="HE308" s="480"/>
      <c r="HF308" s="480"/>
      <c r="HG308" s="480"/>
      <c r="HH308" s="480"/>
      <c r="HI308" s="480"/>
      <c r="HJ308" s="480"/>
      <c r="HK308" s="480"/>
      <c r="HL308" s="480"/>
      <c r="HM308" s="480"/>
      <c r="HN308" s="480"/>
      <c r="HO308" s="480"/>
      <c r="HP308" s="480"/>
      <c r="HQ308" s="480"/>
      <c r="HR308" s="480"/>
      <c r="HS308" s="480"/>
      <c r="HT308" s="480"/>
      <c r="HU308" s="480"/>
      <c r="HV308" s="480"/>
      <c r="HW308" s="480"/>
      <c r="HX308" s="480"/>
      <c r="HY308" s="480"/>
      <c r="HZ308" s="480"/>
      <c r="IA308" s="480"/>
      <c r="IB308" s="480"/>
      <c r="IC308" s="480"/>
      <c r="ID308" s="480"/>
      <c r="IE308" s="480"/>
      <c r="IF308" s="480"/>
      <c r="IG308" s="480"/>
      <c r="IH308" s="480"/>
      <c r="II308" s="480"/>
      <c r="IJ308" s="480"/>
      <c r="IK308" s="480"/>
      <c r="IL308" s="480"/>
      <c r="IM308" s="480"/>
      <c r="IN308" s="480"/>
      <c r="IO308" s="480"/>
      <c r="IP308" s="480"/>
      <c r="IQ308" s="480"/>
      <c r="IR308" s="480"/>
      <c r="IS308" s="480"/>
    </row>
  </sheetData>
  <sheetProtection/>
  <mergeCells count="4">
    <mergeCell ref="D134:E134"/>
    <mergeCell ref="B1:D1"/>
    <mergeCell ref="B2:K2"/>
    <mergeCell ref="B3:K3"/>
  </mergeCells>
  <printOptions horizontalCentered="1"/>
  <pageMargins left="0.31496062992125984" right="0.31496062992125984" top="0.5511811023622047" bottom="0.5511811023622047" header="0.31496062992125984" footer="0.31496062992125984"/>
  <pageSetup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dimension ref="A1:H165"/>
  <sheetViews>
    <sheetView view="pageBreakPreview" zoomScale="80" zoomScaleNormal="70" zoomScaleSheetLayoutView="80" zoomScalePageLayoutView="0" workbookViewId="0" topLeftCell="A1">
      <selection activeCell="B1" sqref="B1:D1"/>
    </sheetView>
  </sheetViews>
  <sheetFormatPr defaultColWidth="9.00390625" defaultRowHeight="12.75"/>
  <cols>
    <col min="1" max="1" width="3.375" style="498" bestFit="1" customWidth="1"/>
    <col min="2" max="3" width="4.75390625" style="501" customWidth="1"/>
    <col min="4" max="4" width="74.875" style="502" bestFit="1" customWidth="1"/>
    <col min="5" max="5" width="7.75390625" style="503" customWidth="1"/>
    <col min="6" max="6" width="16.75390625" style="504" customWidth="1"/>
    <col min="7" max="7" width="16.75390625" style="1408" customWidth="1"/>
    <col min="8" max="8" width="16.75390625" style="600" customWidth="1"/>
    <col min="9" max="16384" width="9.125" style="551" customWidth="1"/>
  </cols>
  <sheetData>
    <row r="1" spans="1:8" s="550" customFormat="1" ht="17.25">
      <c r="A1" s="498"/>
      <c r="B1" s="1551" t="s">
        <v>1640</v>
      </c>
      <c r="C1" s="1551"/>
      <c r="D1" s="1551"/>
      <c r="E1" s="499"/>
      <c r="F1" s="500"/>
      <c r="G1" s="1407"/>
      <c r="H1" s="598"/>
    </row>
    <row r="2" spans="2:8" ht="17.25">
      <c r="B2" s="1552" t="s">
        <v>663</v>
      </c>
      <c r="C2" s="1552"/>
      <c r="D2" s="1552"/>
      <c r="E2" s="1552"/>
      <c r="F2" s="1552"/>
      <c r="G2" s="1552"/>
      <c r="H2" s="1552"/>
    </row>
    <row r="3" spans="2:8" ht="17.25">
      <c r="B3" s="1552" t="s">
        <v>1197</v>
      </c>
      <c r="C3" s="1552"/>
      <c r="D3" s="1552"/>
      <c r="E3" s="1552"/>
      <c r="F3" s="1552"/>
      <c r="G3" s="1552"/>
      <c r="H3" s="1552"/>
    </row>
    <row r="4" spans="4:8" ht="16.5">
      <c r="D4" s="1207"/>
      <c r="H4" s="602" t="s">
        <v>496</v>
      </c>
    </row>
    <row r="5" spans="1:8" s="511" customFormat="1" ht="15" thickBot="1">
      <c r="A5" s="498"/>
      <c r="B5" s="498" t="s">
        <v>504</v>
      </c>
      <c r="C5" s="498" t="s">
        <v>505</v>
      </c>
      <c r="D5" s="505" t="s">
        <v>506</v>
      </c>
      <c r="E5" s="505" t="s">
        <v>507</v>
      </c>
      <c r="F5" s="506" t="s">
        <v>508</v>
      </c>
      <c r="G5" s="1409" t="s">
        <v>509</v>
      </c>
      <c r="H5" s="599" t="s">
        <v>510</v>
      </c>
    </row>
    <row r="6" spans="2:8" ht="57.75" thickBot="1">
      <c r="B6" s="507" t="s">
        <v>770</v>
      </c>
      <c r="C6" s="508" t="s">
        <v>638</v>
      </c>
      <c r="D6" s="509" t="s">
        <v>497</v>
      </c>
      <c r="E6" s="413" t="s">
        <v>782</v>
      </c>
      <c r="F6" s="510" t="s">
        <v>45</v>
      </c>
      <c r="G6" s="1410" t="s">
        <v>154</v>
      </c>
      <c r="H6" s="854" t="s">
        <v>1199</v>
      </c>
    </row>
    <row r="7" spans="1:8" ht="30" customHeight="1">
      <c r="A7" s="511">
        <v>1</v>
      </c>
      <c r="B7" s="512">
        <v>18</v>
      </c>
      <c r="C7" s="513"/>
      <c r="D7" s="514" t="s">
        <v>849</v>
      </c>
      <c r="E7" s="515"/>
      <c r="F7" s="516"/>
      <c r="G7" s="1411"/>
      <c r="H7" s="855"/>
    </row>
    <row r="8" spans="1:8" ht="17.25">
      <c r="A8" s="498">
        <v>2</v>
      </c>
      <c r="B8" s="517"/>
      <c r="C8" s="518">
        <v>1</v>
      </c>
      <c r="D8" s="519" t="s">
        <v>732</v>
      </c>
      <c r="E8" s="520" t="s">
        <v>815</v>
      </c>
      <c r="F8" s="521">
        <v>10000</v>
      </c>
      <c r="G8" s="1412">
        <v>10000</v>
      </c>
      <c r="H8" s="856"/>
    </row>
    <row r="9" spans="1:8" s="552" customFormat="1" ht="17.25">
      <c r="A9" s="498">
        <v>3</v>
      </c>
      <c r="B9" s="517"/>
      <c r="C9" s="518">
        <v>2</v>
      </c>
      <c r="D9" s="522" t="s">
        <v>735</v>
      </c>
      <c r="E9" s="443" t="s">
        <v>781</v>
      </c>
      <c r="F9" s="523">
        <v>5000</v>
      </c>
      <c r="G9" s="1412">
        <v>0</v>
      </c>
      <c r="H9" s="857"/>
    </row>
    <row r="10" spans="1:8" s="553" customFormat="1" ht="17.25">
      <c r="A10" s="498">
        <v>4</v>
      </c>
      <c r="B10" s="517"/>
      <c r="C10" s="518">
        <v>3</v>
      </c>
      <c r="D10" s="524" t="s">
        <v>736</v>
      </c>
      <c r="E10" s="443" t="s">
        <v>781</v>
      </c>
      <c r="F10" s="525">
        <v>7000</v>
      </c>
      <c r="G10" s="1412">
        <v>8402</v>
      </c>
      <c r="H10" s="857">
        <v>8295</v>
      </c>
    </row>
    <row r="11" spans="1:8" ht="17.25">
      <c r="A11" s="498">
        <v>5</v>
      </c>
      <c r="B11" s="517"/>
      <c r="C11" s="518">
        <v>4</v>
      </c>
      <c r="D11" s="526" t="s">
        <v>739</v>
      </c>
      <c r="E11" s="520" t="s">
        <v>781</v>
      </c>
      <c r="F11" s="453">
        <v>2000</v>
      </c>
      <c r="G11" s="1412">
        <v>3122</v>
      </c>
      <c r="H11" s="858">
        <v>801</v>
      </c>
    </row>
    <row r="12" spans="1:8" ht="17.25">
      <c r="A12" s="498">
        <v>6</v>
      </c>
      <c r="B12" s="517"/>
      <c r="C12" s="518">
        <v>5</v>
      </c>
      <c r="D12" s="526" t="s">
        <v>155</v>
      </c>
      <c r="E12" s="520" t="s">
        <v>815</v>
      </c>
      <c r="F12" s="453">
        <v>31750</v>
      </c>
      <c r="G12" s="1412">
        <v>31750</v>
      </c>
      <c r="H12" s="858">
        <v>31735</v>
      </c>
    </row>
    <row r="13" spans="1:8" ht="17.25">
      <c r="A13" s="498">
        <v>7</v>
      </c>
      <c r="B13" s="517"/>
      <c r="C13" s="518">
        <v>6</v>
      </c>
      <c r="D13" s="522" t="s">
        <v>733</v>
      </c>
      <c r="E13" s="520" t="s">
        <v>815</v>
      </c>
      <c r="F13" s="453">
        <v>8000</v>
      </c>
      <c r="G13" s="1412">
        <v>22150</v>
      </c>
      <c r="H13" s="858">
        <v>22150</v>
      </c>
    </row>
    <row r="14" spans="1:8" s="553" customFormat="1" ht="69.75" customHeight="1">
      <c r="A14" s="498">
        <v>8</v>
      </c>
      <c r="B14" s="527"/>
      <c r="C14" s="528">
        <v>7</v>
      </c>
      <c r="D14" s="419" t="s">
        <v>156</v>
      </c>
      <c r="E14" s="529" t="s">
        <v>781</v>
      </c>
      <c r="F14" s="454">
        <v>190000</v>
      </c>
      <c r="G14" s="444">
        <v>192323</v>
      </c>
      <c r="H14" s="859">
        <v>189800</v>
      </c>
    </row>
    <row r="15" spans="1:8" ht="17.25">
      <c r="A15" s="498">
        <v>9</v>
      </c>
      <c r="B15" s="517"/>
      <c r="C15" s="518">
        <v>8</v>
      </c>
      <c r="D15" s="522" t="s">
        <v>734</v>
      </c>
      <c r="E15" s="520" t="s">
        <v>781</v>
      </c>
      <c r="F15" s="453">
        <v>2000</v>
      </c>
      <c r="G15" s="1412">
        <v>2000</v>
      </c>
      <c r="H15" s="858">
        <v>1900</v>
      </c>
    </row>
    <row r="16" spans="1:8" ht="17.25">
      <c r="A16" s="498">
        <v>10</v>
      </c>
      <c r="B16" s="517"/>
      <c r="C16" s="518">
        <v>9</v>
      </c>
      <c r="D16" s="526" t="s">
        <v>157</v>
      </c>
      <c r="E16" s="520" t="s">
        <v>781</v>
      </c>
      <c r="F16" s="453">
        <v>9000</v>
      </c>
      <c r="G16" s="1412">
        <v>9000</v>
      </c>
      <c r="H16" s="858"/>
    </row>
    <row r="17" spans="1:8" ht="17.25">
      <c r="A17" s="498">
        <v>11</v>
      </c>
      <c r="B17" s="517"/>
      <c r="C17" s="518">
        <v>10</v>
      </c>
      <c r="D17" s="526" t="s">
        <v>158</v>
      </c>
      <c r="E17" s="520" t="s">
        <v>781</v>
      </c>
      <c r="F17" s="453">
        <v>3000</v>
      </c>
      <c r="G17" s="1412">
        <v>0</v>
      </c>
      <c r="H17" s="858"/>
    </row>
    <row r="18" spans="1:8" ht="17.25">
      <c r="A18" s="498">
        <v>12</v>
      </c>
      <c r="B18" s="517"/>
      <c r="C18" s="518">
        <v>11</v>
      </c>
      <c r="D18" s="526" t="s">
        <v>159</v>
      </c>
      <c r="E18" s="520" t="s">
        <v>781</v>
      </c>
      <c r="F18" s="453">
        <v>1350</v>
      </c>
      <c r="G18" s="1412">
        <v>1350</v>
      </c>
      <c r="H18" s="858"/>
    </row>
    <row r="19" spans="1:8" ht="17.25">
      <c r="A19" s="498">
        <v>13</v>
      </c>
      <c r="B19" s="517"/>
      <c r="C19" s="518">
        <v>12</v>
      </c>
      <c r="D19" s="526" t="s">
        <v>160</v>
      </c>
      <c r="E19" s="520" t="s">
        <v>781</v>
      </c>
      <c r="F19" s="453">
        <v>10000</v>
      </c>
      <c r="G19" s="1412">
        <v>10000</v>
      </c>
      <c r="H19" s="858">
        <v>9834</v>
      </c>
    </row>
    <row r="20" spans="1:8" ht="17.25">
      <c r="A20" s="498">
        <v>14</v>
      </c>
      <c r="B20" s="517"/>
      <c r="C20" s="518">
        <v>13</v>
      </c>
      <c r="D20" s="526" t="s">
        <v>161</v>
      </c>
      <c r="E20" s="520" t="s">
        <v>781</v>
      </c>
      <c r="F20" s="453">
        <v>1500</v>
      </c>
      <c r="G20" s="1412">
        <v>1500</v>
      </c>
      <c r="H20" s="858">
        <v>27</v>
      </c>
    </row>
    <row r="21" spans="1:8" ht="17.25">
      <c r="A21" s="498">
        <v>15</v>
      </c>
      <c r="B21" s="517"/>
      <c r="C21" s="518">
        <v>14</v>
      </c>
      <c r="D21" s="526" t="s">
        <v>162</v>
      </c>
      <c r="E21" s="520" t="s">
        <v>781</v>
      </c>
      <c r="F21" s="453">
        <v>10000</v>
      </c>
      <c r="G21" s="1412">
        <v>10000</v>
      </c>
      <c r="H21" s="858">
        <v>10000</v>
      </c>
    </row>
    <row r="22" spans="1:8" ht="17.25">
      <c r="A22" s="498">
        <v>16</v>
      </c>
      <c r="B22" s="517"/>
      <c r="C22" s="518">
        <v>15</v>
      </c>
      <c r="D22" s="526" t="s">
        <v>599</v>
      </c>
      <c r="E22" s="520" t="s">
        <v>781</v>
      </c>
      <c r="F22" s="453">
        <v>5000</v>
      </c>
      <c r="G22" s="1412">
        <v>5000</v>
      </c>
      <c r="H22" s="858"/>
    </row>
    <row r="23" spans="1:8" ht="17.25">
      <c r="A23" s="498">
        <v>17</v>
      </c>
      <c r="B23" s="517"/>
      <c r="C23" s="518">
        <v>16</v>
      </c>
      <c r="D23" s="522" t="s">
        <v>163</v>
      </c>
      <c r="E23" s="520" t="s">
        <v>781</v>
      </c>
      <c r="F23" s="453">
        <v>900</v>
      </c>
      <c r="G23" s="1412">
        <v>910</v>
      </c>
      <c r="H23" s="858"/>
    </row>
    <row r="24" spans="1:8" ht="17.25">
      <c r="A24" s="498">
        <v>18</v>
      </c>
      <c r="B24" s="517"/>
      <c r="C24" s="518">
        <v>17</v>
      </c>
      <c r="D24" s="522" t="s">
        <v>738</v>
      </c>
      <c r="E24" s="520" t="s">
        <v>781</v>
      </c>
      <c r="F24" s="453"/>
      <c r="G24" s="1412">
        <v>665</v>
      </c>
      <c r="H24" s="858"/>
    </row>
    <row r="25" spans="1:8" ht="17.25">
      <c r="A25" s="498">
        <v>19</v>
      </c>
      <c r="B25" s="517"/>
      <c r="C25" s="518">
        <v>18</v>
      </c>
      <c r="D25" s="522" t="s">
        <v>164</v>
      </c>
      <c r="E25" s="520" t="s">
        <v>781</v>
      </c>
      <c r="F25" s="453"/>
      <c r="G25" s="1412">
        <v>2802</v>
      </c>
      <c r="H25" s="858">
        <v>2788</v>
      </c>
    </row>
    <row r="26" spans="1:8" ht="33.75">
      <c r="A26" s="498">
        <v>20</v>
      </c>
      <c r="B26" s="517"/>
      <c r="C26" s="518">
        <v>19</v>
      </c>
      <c r="D26" s="522" t="s">
        <v>165</v>
      </c>
      <c r="E26" s="520" t="s">
        <v>781</v>
      </c>
      <c r="F26" s="453"/>
      <c r="G26" s="1412">
        <v>1832</v>
      </c>
      <c r="H26" s="858">
        <v>1035</v>
      </c>
    </row>
    <row r="27" spans="1:8" ht="33.75">
      <c r="A27" s="498">
        <v>21</v>
      </c>
      <c r="B27" s="517"/>
      <c r="C27" s="518">
        <v>20</v>
      </c>
      <c r="D27" s="522" t="s">
        <v>1131</v>
      </c>
      <c r="E27" s="520" t="s">
        <v>781</v>
      </c>
      <c r="F27" s="453"/>
      <c r="G27" s="1412">
        <v>5000</v>
      </c>
      <c r="H27" s="858"/>
    </row>
    <row r="28" spans="1:8" ht="17.25">
      <c r="A28" s="498">
        <v>22</v>
      </c>
      <c r="B28" s="517"/>
      <c r="C28" s="518">
        <v>21</v>
      </c>
      <c r="D28" s="522" t="s">
        <v>166</v>
      </c>
      <c r="E28" s="520" t="s">
        <v>781</v>
      </c>
      <c r="F28" s="453"/>
      <c r="G28" s="1412">
        <v>188</v>
      </c>
      <c r="H28" s="858"/>
    </row>
    <row r="29" spans="1:8" ht="17.25">
      <c r="A29" s="498">
        <v>23</v>
      </c>
      <c r="B29" s="517"/>
      <c r="C29" s="518">
        <v>22</v>
      </c>
      <c r="D29" s="522" t="s">
        <v>241</v>
      </c>
      <c r="E29" s="520" t="s">
        <v>781</v>
      </c>
      <c r="F29" s="453"/>
      <c r="G29" s="1412">
        <v>2000</v>
      </c>
      <c r="H29" s="858"/>
    </row>
    <row r="30" spans="1:8" ht="17.25">
      <c r="A30" s="498">
        <v>24</v>
      </c>
      <c r="B30" s="517"/>
      <c r="C30" s="518"/>
      <c r="D30" s="530" t="s">
        <v>167</v>
      </c>
      <c r="E30" s="520"/>
      <c r="F30" s="453"/>
      <c r="G30" s="1412"/>
      <c r="H30" s="858"/>
    </row>
    <row r="31" spans="1:8" ht="17.25">
      <c r="A31" s="498">
        <v>25</v>
      </c>
      <c r="B31" s="517"/>
      <c r="C31" s="518">
        <v>23</v>
      </c>
      <c r="D31" s="531" t="s">
        <v>168</v>
      </c>
      <c r="E31" s="520" t="s">
        <v>781</v>
      </c>
      <c r="F31" s="453">
        <v>1800</v>
      </c>
      <c r="G31" s="1412">
        <v>1580</v>
      </c>
      <c r="H31" s="858">
        <v>1573</v>
      </c>
    </row>
    <row r="32" spans="1:8" ht="17.25">
      <c r="A32" s="498">
        <v>26</v>
      </c>
      <c r="B32" s="517"/>
      <c r="C32" s="518"/>
      <c r="D32" s="530" t="s">
        <v>169</v>
      </c>
      <c r="E32" s="520"/>
      <c r="F32" s="453"/>
      <c r="G32" s="1412"/>
      <c r="H32" s="858"/>
    </row>
    <row r="33" spans="1:8" ht="17.25">
      <c r="A33" s="498">
        <v>27</v>
      </c>
      <c r="B33" s="517"/>
      <c r="C33" s="518">
        <v>24</v>
      </c>
      <c r="D33" s="531" t="s">
        <v>170</v>
      </c>
      <c r="E33" s="520" t="s">
        <v>781</v>
      </c>
      <c r="F33" s="453">
        <v>3300</v>
      </c>
      <c r="G33" s="1412">
        <v>1570</v>
      </c>
      <c r="H33" s="858">
        <v>1563</v>
      </c>
    </row>
    <row r="34" spans="1:8" ht="17.25">
      <c r="A34" s="498">
        <v>28</v>
      </c>
      <c r="B34" s="517"/>
      <c r="C34" s="518"/>
      <c r="D34" s="530" t="s">
        <v>171</v>
      </c>
      <c r="E34" s="520"/>
      <c r="F34" s="453"/>
      <c r="G34" s="1412"/>
      <c r="H34" s="858"/>
    </row>
    <row r="35" spans="1:8" ht="17.25">
      <c r="A35" s="498">
        <v>29</v>
      </c>
      <c r="B35" s="517"/>
      <c r="C35" s="518">
        <v>25</v>
      </c>
      <c r="D35" s="531" t="s">
        <v>172</v>
      </c>
      <c r="E35" s="520" t="s">
        <v>781</v>
      </c>
      <c r="F35" s="453">
        <v>3600</v>
      </c>
      <c r="G35" s="1412">
        <v>3570</v>
      </c>
      <c r="H35" s="858">
        <v>3567</v>
      </c>
    </row>
    <row r="36" spans="1:8" ht="17.25">
      <c r="A36" s="498">
        <v>30</v>
      </c>
      <c r="B36" s="517"/>
      <c r="C36" s="518"/>
      <c r="D36" s="530" t="s">
        <v>742</v>
      </c>
      <c r="E36" s="520"/>
      <c r="F36" s="453"/>
      <c r="G36" s="1412"/>
      <c r="H36" s="858"/>
    </row>
    <row r="37" spans="1:8" ht="17.25">
      <c r="A37" s="498">
        <v>31</v>
      </c>
      <c r="B37" s="517"/>
      <c r="C37" s="518">
        <v>26</v>
      </c>
      <c r="D37" s="531" t="s">
        <v>173</v>
      </c>
      <c r="E37" s="520" t="s">
        <v>781</v>
      </c>
      <c r="F37" s="453">
        <v>19500</v>
      </c>
      <c r="G37" s="1412">
        <v>2638</v>
      </c>
      <c r="H37" s="858">
        <v>1949</v>
      </c>
    </row>
    <row r="38" spans="1:8" ht="17.25">
      <c r="A38" s="498">
        <v>32</v>
      </c>
      <c r="B38" s="517"/>
      <c r="C38" s="518"/>
      <c r="D38" s="530" t="s">
        <v>640</v>
      </c>
      <c r="E38" s="520"/>
      <c r="F38" s="453"/>
      <c r="G38" s="1412"/>
      <c r="H38" s="858"/>
    </row>
    <row r="39" spans="1:8" ht="17.25">
      <c r="A39" s="498">
        <v>33</v>
      </c>
      <c r="B39" s="517"/>
      <c r="C39" s="518">
        <v>27</v>
      </c>
      <c r="D39" s="531" t="s">
        <v>174</v>
      </c>
      <c r="E39" s="520" t="s">
        <v>781</v>
      </c>
      <c r="F39" s="453">
        <v>3300</v>
      </c>
      <c r="G39" s="1412">
        <v>0</v>
      </c>
      <c r="H39" s="858"/>
    </row>
    <row r="40" spans="1:8" ht="17.25">
      <c r="A40" s="498">
        <v>34</v>
      </c>
      <c r="B40" s="517"/>
      <c r="C40" s="518">
        <v>28</v>
      </c>
      <c r="D40" s="531" t="s">
        <v>175</v>
      </c>
      <c r="E40" s="520" t="s">
        <v>781</v>
      </c>
      <c r="F40" s="453"/>
      <c r="G40" s="1412">
        <v>1780</v>
      </c>
      <c r="H40" s="858">
        <v>1779</v>
      </c>
    </row>
    <row r="41" spans="1:8" ht="17.25">
      <c r="A41" s="498">
        <v>35</v>
      </c>
      <c r="B41" s="517"/>
      <c r="C41" s="518">
        <v>29</v>
      </c>
      <c r="D41" s="531" t="s">
        <v>176</v>
      </c>
      <c r="E41" s="520" t="s">
        <v>781</v>
      </c>
      <c r="F41" s="453"/>
      <c r="G41" s="1412">
        <v>1494</v>
      </c>
      <c r="H41" s="858">
        <v>1492</v>
      </c>
    </row>
    <row r="42" spans="1:8" ht="17.25">
      <c r="A42" s="498">
        <v>36</v>
      </c>
      <c r="B42" s="517"/>
      <c r="C42" s="518"/>
      <c r="D42" s="530" t="s">
        <v>740</v>
      </c>
      <c r="E42" s="520"/>
      <c r="F42" s="453"/>
      <c r="G42" s="1412"/>
      <c r="H42" s="858"/>
    </row>
    <row r="43" spans="1:8" ht="17.25">
      <c r="A43" s="498">
        <v>37</v>
      </c>
      <c r="B43" s="517"/>
      <c r="C43" s="518">
        <v>30</v>
      </c>
      <c r="D43" s="531" t="s">
        <v>177</v>
      </c>
      <c r="E43" s="520" t="s">
        <v>781</v>
      </c>
      <c r="F43" s="453">
        <v>5000</v>
      </c>
      <c r="G43" s="1412">
        <v>4974</v>
      </c>
      <c r="H43" s="858"/>
    </row>
    <row r="44" spans="1:8" ht="17.25">
      <c r="A44" s="498">
        <v>38</v>
      </c>
      <c r="B44" s="517"/>
      <c r="C44" s="518"/>
      <c r="D44" s="530" t="s">
        <v>644</v>
      </c>
      <c r="E44" s="520"/>
      <c r="F44" s="453"/>
      <c r="G44" s="1412"/>
      <c r="H44" s="858"/>
    </row>
    <row r="45" spans="1:8" ht="17.25">
      <c r="A45" s="498">
        <v>39</v>
      </c>
      <c r="B45" s="517"/>
      <c r="C45" s="518">
        <v>31</v>
      </c>
      <c r="D45" s="531" t="s">
        <v>178</v>
      </c>
      <c r="E45" s="520" t="s">
        <v>781</v>
      </c>
      <c r="F45" s="453">
        <v>2350</v>
      </c>
      <c r="G45" s="1412">
        <v>0</v>
      </c>
      <c r="H45" s="858"/>
    </row>
    <row r="46" spans="1:8" ht="17.25">
      <c r="A46" s="498">
        <v>40</v>
      </c>
      <c r="B46" s="517"/>
      <c r="C46" s="518"/>
      <c r="D46" s="530" t="s">
        <v>725</v>
      </c>
      <c r="E46" s="520"/>
      <c r="F46" s="453"/>
      <c r="G46" s="1412"/>
      <c r="H46" s="858"/>
    </row>
    <row r="47" spans="1:8" ht="17.25">
      <c r="A47" s="498">
        <v>41</v>
      </c>
      <c r="B47" s="517"/>
      <c r="C47" s="518">
        <v>32</v>
      </c>
      <c r="D47" s="531" t="s">
        <v>179</v>
      </c>
      <c r="E47" s="520" t="s">
        <v>781</v>
      </c>
      <c r="F47" s="453">
        <v>1500</v>
      </c>
      <c r="G47" s="1412">
        <v>1200</v>
      </c>
      <c r="H47" s="858">
        <v>1196</v>
      </c>
    </row>
    <row r="48" spans="1:8" ht="17.25">
      <c r="A48" s="498">
        <v>42</v>
      </c>
      <c r="B48" s="517"/>
      <c r="C48" s="518">
        <v>33</v>
      </c>
      <c r="D48" s="531" t="s">
        <v>180</v>
      </c>
      <c r="E48" s="520" t="s">
        <v>781</v>
      </c>
      <c r="F48" s="453">
        <v>7200</v>
      </c>
      <c r="G48" s="1412">
        <v>7162</v>
      </c>
      <c r="H48" s="858"/>
    </row>
    <row r="49" spans="1:8" ht="17.25">
      <c r="A49" s="498">
        <v>43</v>
      </c>
      <c r="B49" s="517"/>
      <c r="C49" s="518">
        <v>34</v>
      </c>
      <c r="D49" s="531" t="s">
        <v>181</v>
      </c>
      <c r="E49" s="520" t="s">
        <v>781</v>
      </c>
      <c r="F49" s="453"/>
      <c r="G49" s="1412">
        <v>247</v>
      </c>
      <c r="H49" s="858">
        <v>238</v>
      </c>
    </row>
    <row r="50" spans="1:8" ht="17.25">
      <c r="A50" s="498">
        <v>44</v>
      </c>
      <c r="B50" s="517"/>
      <c r="C50" s="518"/>
      <c r="D50" s="530" t="s">
        <v>646</v>
      </c>
      <c r="E50" s="520"/>
      <c r="F50" s="453"/>
      <c r="G50" s="1412"/>
      <c r="H50" s="858"/>
    </row>
    <row r="51" spans="1:8" ht="17.25">
      <c r="A51" s="498">
        <v>45</v>
      </c>
      <c r="B51" s="517"/>
      <c r="C51" s="518">
        <v>35</v>
      </c>
      <c r="D51" s="531" t="s">
        <v>182</v>
      </c>
      <c r="E51" s="520" t="s">
        <v>781</v>
      </c>
      <c r="F51" s="453">
        <v>3500</v>
      </c>
      <c r="G51" s="1412">
        <v>3482</v>
      </c>
      <c r="H51" s="858">
        <v>3482</v>
      </c>
    </row>
    <row r="52" spans="1:8" ht="17.25">
      <c r="A52" s="498">
        <v>46</v>
      </c>
      <c r="B52" s="517"/>
      <c r="C52" s="518"/>
      <c r="D52" s="530" t="s">
        <v>741</v>
      </c>
      <c r="E52" s="520"/>
      <c r="F52" s="453"/>
      <c r="G52" s="1412"/>
      <c r="H52" s="858"/>
    </row>
    <row r="53" spans="1:8" ht="17.25">
      <c r="A53" s="498">
        <v>47</v>
      </c>
      <c r="B53" s="517"/>
      <c r="C53" s="518">
        <v>36</v>
      </c>
      <c r="D53" s="532" t="s">
        <v>182</v>
      </c>
      <c r="E53" s="520" t="s">
        <v>781</v>
      </c>
      <c r="F53" s="453">
        <v>3500</v>
      </c>
      <c r="G53" s="1412">
        <v>0</v>
      </c>
      <c r="H53" s="858"/>
    </row>
    <row r="54" spans="1:8" ht="17.25">
      <c r="A54" s="498">
        <v>48</v>
      </c>
      <c r="B54" s="517"/>
      <c r="C54" s="518">
        <v>37</v>
      </c>
      <c r="D54" s="532" t="s">
        <v>367</v>
      </c>
      <c r="E54" s="520" t="s">
        <v>781</v>
      </c>
      <c r="F54" s="453"/>
      <c r="G54" s="1412">
        <v>3250</v>
      </c>
      <c r="H54" s="858">
        <v>3248</v>
      </c>
    </row>
    <row r="55" spans="1:8" ht="17.25">
      <c r="A55" s="498">
        <v>49</v>
      </c>
      <c r="B55" s="517"/>
      <c r="C55" s="518"/>
      <c r="D55" s="530" t="s">
        <v>648</v>
      </c>
      <c r="E55" s="520"/>
      <c r="F55" s="453"/>
      <c r="G55" s="1412"/>
      <c r="H55" s="858"/>
    </row>
    <row r="56" spans="1:8" ht="17.25">
      <c r="A56" s="498">
        <v>50</v>
      </c>
      <c r="B56" s="517"/>
      <c r="C56" s="518">
        <v>38</v>
      </c>
      <c r="D56" s="532" t="s">
        <v>183</v>
      </c>
      <c r="E56" s="520" t="s">
        <v>781</v>
      </c>
      <c r="F56" s="453">
        <v>4750</v>
      </c>
      <c r="G56" s="1412">
        <v>4730</v>
      </c>
      <c r="H56" s="858">
        <v>4689</v>
      </c>
    </row>
    <row r="57" spans="1:8" ht="33.75">
      <c r="A57" s="498">
        <v>51</v>
      </c>
      <c r="B57" s="517"/>
      <c r="C57" s="518">
        <v>39</v>
      </c>
      <c r="D57" s="532" t="s">
        <v>1132</v>
      </c>
      <c r="E57" s="520" t="s">
        <v>781</v>
      </c>
      <c r="F57" s="453">
        <v>8500</v>
      </c>
      <c r="G57" s="1412">
        <v>0</v>
      </c>
      <c r="H57" s="858"/>
    </row>
    <row r="58" spans="1:8" ht="17.25">
      <c r="A58" s="498">
        <v>52</v>
      </c>
      <c r="B58" s="517"/>
      <c r="C58" s="518">
        <v>40</v>
      </c>
      <c r="D58" s="532" t="s">
        <v>242</v>
      </c>
      <c r="E58" s="520" t="s">
        <v>781</v>
      </c>
      <c r="F58" s="453"/>
      <c r="G58" s="1412">
        <v>1500</v>
      </c>
      <c r="H58" s="858"/>
    </row>
    <row r="59" spans="1:8" ht="17.25">
      <c r="A59" s="498">
        <v>53</v>
      </c>
      <c r="B59" s="517"/>
      <c r="C59" s="518"/>
      <c r="D59" s="530" t="s">
        <v>727</v>
      </c>
      <c r="E59" s="520"/>
      <c r="F59" s="453"/>
      <c r="G59" s="1412"/>
      <c r="H59" s="858"/>
    </row>
    <row r="60" spans="1:8" ht="17.25">
      <c r="A60" s="498">
        <v>54</v>
      </c>
      <c r="B60" s="517"/>
      <c r="C60" s="518">
        <v>41</v>
      </c>
      <c r="D60" s="532" t="s">
        <v>184</v>
      </c>
      <c r="E60" s="520" t="s">
        <v>781</v>
      </c>
      <c r="F60" s="453">
        <v>3000</v>
      </c>
      <c r="G60" s="1412">
        <v>0</v>
      </c>
      <c r="H60" s="858"/>
    </row>
    <row r="61" spans="1:8" ht="17.25">
      <c r="A61" s="498">
        <v>55</v>
      </c>
      <c r="B61" s="517"/>
      <c r="C61" s="518"/>
      <c r="D61" s="530" t="s">
        <v>642</v>
      </c>
      <c r="E61" s="520" t="s">
        <v>781</v>
      </c>
      <c r="F61" s="453"/>
      <c r="G61" s="1412"/>
      <c r="H61" s="858"/>
    </row>
    <row r="62" spans="1:8" ht="17.25">
      <c r="A62" s="498">
        <v>56</v>
      </c>
      <c r="B62" s="517"/>
      <c r="C62" s="518">
        <v>42</v>
      </c>
      <c r="D62" s="532" t="s">
        <v>185</v>
      </c>
      <c r="E62" s="520"/>
      <c r="F62" s="453"/>
      <c r="G62" s="1412">
        <v>8984</v>
      </c>
      <c r="H62" s="858"/>
    </row>
    <row r="63" spans="1:8" ht="17.25">
      <c r="A63" s="498">
        <v>57</v>
      </c>
      <c r="B63" s="517"/>
      <c r="C63" s="518"/>
      <c r="D63" s="530" t="s">
        <v>797</v>
      </c>
      <c r="E63" s="520"/>
      <c r="F63" s="453"/>
      <c r="G63" s="1412"/>
      <c r="H63" s="858"/>
    </row>
    <row r="64" spans="1:8" ht="17.25">
      <c r="A64" s="498">
        <v>58</v>
      </c>
      <c r="B64" s="517"/>
      <c r="C64" s="518">
        <v>43</v>
      </c>
      <c r="D64" s="532" t="s">
        <v>186</v>
      </c>
      <c r="E64" s="520" t="s">
        <v>781</v>
      </c>
      <c r="F64" s="453">
        <v>3500</v>
      </c>
      <c r="G64" s="1412">
        <v>3407</v>
      </c>
      <c r="H64" s="858">
        <v>3406</v>
      </c>
    </row>
    <row r="65" spans="1:8" ht="17.25">
      <c r="A65" s="498">
        <v>59</v>
      </c>
      <c r="B65" s="517"/>
      <c r="C65" s="518">
        <v>44</v>
      </c>
      <c r="D65" s="532" t="s">
        <v>187</v>
      </c>
      <c r="E65" s="520" t="s">
        <v>781</v>
      </c>
      <c r="F65" s="453">
        <v>3300</v>
      </c>
      <c r="G65" s="1412">
        <v>4320</v>
      </c>
      <c r="H65" s="858">
        <v>4319</v>
      </c>
    </row>
    <row r="66" spans="1:8" ht="17.25">
      <c r="A66" s="498">
        <v>60</v>
      </c>
      <c r="B66" s="517"/>
      <c r="C66" s="518"/>
      <c r="D66" s="530" t="s">
        <v>188</v>
      </c>
      <c r="E66" s="520"/>
      <c r="F66" s="453"/>
      <c r="G66" s="1412"/>
      <c r="H66" s="858"/>
    </row>
    <row r="67" spans="1:8" ht="17.25">
      <c r="A67" s="498">
        <v>61</v>
      </c>
      <c r="B67" s="517"/>
      <c r="C67" s="518">
        <v>45</v>
      </c>
      <c r="D67" s="532" t="s">
        <v>189</v>
      </c>
      <c r="E67" s="520" t="s">
        <v>781</v>
      </c>
      <c r="F67" s="453"/>
      <c r="G67" s="1412">
        <v>1500</v>
      </c>
      <c r="H67" s="858">
        <v>1000</v>
      </c>
    </row>
    <row r="68" spans="1:8" ht="17.25">
      <c r="A68" s="498">
        <v>62</v>
      </c>
      <c r="B68" s="517"/>
      <c r="C68" s="518">
        <v>46</v>
      </c>
      <c r="D68" s="532" t="s">
        <v>190</v>
      </c>
      <c r="E68" s="520" t="s">
        <v>781</v>
      </c>
      <c r="F68" s="453">
        <v>7000</v>
      </c>
      <c r="G68" s="1412">
        <v>6980</v>
      </c>
      <c r="H68" s="858">
        <v>6964</v>
      </c>
    </row>
    <row r="69" spans="1:8" ht="17.25">
      <c r="A69" s="498">
        <v>63</v>
      </c>
      <c r="B69" s="517"/>
      <c r="C69" s="518">
        <v>47</v>
      </c>
      <c r="D69" s="532" t="s">
        <v>191</v>
      </c>
      <c r="E69" s="520" t="s">
        <v>781</v>
      </c>
      <c r="F69" s="453"/>
      <c r="G69" s="1412">
        <v>2600</v>
      </c>
      <c r="H69" s="858">
        <v>2583</v>
      </c>
    </row>
    <row r="70" spans="1:8" ht="17.25">
      <c r="A70" s="498">
        <v>64</v>
      </c>
      <c r="B70" s="517"/>
      <c r="C70" s="518"/>
      <c r="D70" s="530" t="s">
        <v>798</v>
      </c>
      <c r="E70" s="520"/>
      <c r="F70" s="453"/>
      <c r="G70" s="1412"/>
      <c r="H70" s="858"/>
    </row>
    <row r="71" spans="1:8" ht="17.25">
      <c r="A71" s="498">
        <v>65</v>
      </c>
      <c r="B71" s="517"/>
      <c r="C71" s="518">
        <v>48</v>
      </c>
      <c r="D71" s="532" t="s">
        <v>192</v>
      </c>
      <c r="E71" s="520" t="s">
        <v>781</v>
      </c>
      <c r="F71" s="453">
        <v>8600</v>
      </c>
      <c r="G71" s="1412">
        <v>0</v>
      </c>
      <c r="H71" s="860"/>
    </row>
    <row r="72" spans="1:8" ht="17.25">
      <c r="A72" s="498">
        <v>66</v>
      </c>
      <c r="B72" s="517"/>
      <c r="C72" s="518">
        <v>49</v>
      </c>
      <c r="D72" s="532" t="s">
        <v>193</v>
      </c>
      <c r="E72" s="520" t="s">
        <v>781</v>
      </c>
      <c r="F72" s="453"/>
      <c r="G72" s="1412">
        <v>16410</v>
      </c>
      <c r="H72" s="860">
        <v>16256</v>
      </c>
    </row>
    <row r="73" spans="1:8" ht="17.25">
      <c r="A73" s="498">
        <v>67</v>
      </c>
      <c r="B73" s="517"/>
      <c r="C73" s="518"/>
      <c r="D73" s="530" t="s">
        <v>800</v>
      </c>
      <c r="E73" s="520"/>
      <c r="F73" s="453"/>
      <c r="G73" s="1412"/>
      <c r="H73" s="858"/>
    </row>
    <row r="74" spans="1:8" ht="33.75">
      <c r="A74" s="498">
        <v>68</v>
      </c>
      <c r="B74" s="517"/>
      <c r="C74" s="518">
        <v>50</v>
      </c>
      <c r="D74" s="532" t="s">
        <v>194</v>
      </c>
      <c r="E74" s="520" t="s">
        <v>781</v>
      </c>
      <c r="F74" s="453">
        <v>8800</v>
      </c>
      <c r="G74" s="1412">
        <v>0</v>
      </c>
      <c r="H74" s="858"/>
    </row>
    <row r="75" spans="1:8" ht="17.25">
      <c r="A75" s="498">
        <v>69</v>
      </c>
      <c r="B75" s="517"/>
      <c r="C75" s="518">
        <v>51</v>
      </c>
      <c r="D75" s="532" t="s">
        <v>195</v>
      </c>
      <c r="E75" s="520" t="s">
        <v>781</v>
      </c>
      <c r="F75" s="453">
        <v>2000</v>
      </c>
      <c r="G75" s="1412">
        <v>1960</v>
      </c>
      <c r="H75" s="858"/>
    </row>
    <row r="76" spans="1:8" s="552" customFormat="1" ht="17.25">
      <c r="A76" s="498">
        <v>70</v>
      </c>
      <c r="B76" s="517"/>
      <c r="C76" s="518"/>
      <c r="D76" s="530" t="s">
        <v>802</v>
      </c>
      <c r="E76" s="443"/>
      <c r="F76" s="521"/>
      <c r="G76" s="1412"/>
      <c r="H76" s="856"/>
    </row>
    <row r="77" spans="1:8" s="552" customFormat="1" ht="17.25">
      <c r="A77" s="498">
        <v>71</v>
      </c>
      <c r="B77" s="517"/>
      <c r="C77" s="518">
        <v>52</v>
      </c>
      <c r="D77" s="532" t="s">
        <v>744</v>
      </c>
      <c r="E77" s="443" t="s">
        <v>781</v>
      </c>
      <c r="F77" s="521"/>
      <c r="G77" s="1412">
        <v>80</v>
      </c>
      <c r="H77" s="856"/>
    </row>
    <row r="78" spans="1:8" ht="17.25">
      <c r="A78" s="498">
        <v>72</v>
      </c>
      <c r="B78" s="517"/>
      <c r="C78" s="518">
        <v>53</v>
      </c>
      <c r="D78" s="532" t="s">
        <v>196</v>
      </c>
      <c r="E78" s="443" t="s">
        <v>781</v>
      </c>
      <c r="F78" s="453">
        <v>3800</v>
      </c>
      <c r="G78" s="1412">
        <v>3780</v>
      </c>
      <c r="H78" s="856"/>
    </row>
    <row r="79" spans="1:8" s="552" customFormat="1" ht="17.25">
      <c r="A79" s="498">
        <v>73</v>
      </c>
      <c r="B79" s="517"/>
      <c r="C79" s="518">
        <v>54</v>
      </c>
      <c r="D79" s="532" t="s">
        <v>254</v>
      </c>
      <c r="E79" s="520" t="s">
        <v>781</v>
      </c>
      <c r="F79" s="453">
        <v>2600</v>
      </c>
      <c r="G79" s="1412">
        <v>1740</v>
      </c>
      <c r="H79" s="856">
        <v>1732</v>
      </c>
    </row>
    <row r="80" spans="1:8" s="552" customFormat="1" ht="17.25">
      <c r="A80" s="498">
        <v>74</v>
      </c>
      <c r="B80" s="517"/>
      <c r="C80" s="518">
        <v>55</v>
      </c>
      <c r="D80" s="532" t="s">
        <v>197</v>
      </c>
      <c r="E80" s="520" t="s">
        <v>781</v>
      </c>
      <c r="F80" s="453">
        <v>3500</v>
      </c>
      <c r="G80" s="1412">
        <v>3481</v>
      </c>
      <c r="H80" s="856"/>
    </row>
    <row r="81" spans="1:8" ht="17.25">
      <c r="A81" s="498">
        <v>75</v>
      </c>
      <c r="B81" s="517"/>
      <c r="C81" s="518"/>
      <c r="D81" s="530" t="s">
        <v>198</v>
      </c>
      <c r="E81" s="443"/>
      <c r="F81" s="533"/>
      <c r="G81" s="1412"/>
      <c r="H81" s="857"/>
    </row>
    <row r="82" spans="1:8" s="552" customFormat="1" ht="33.75">
      <c r="A82" s="498">
        <v>76</v>
      </c>
      <c r="B82" s="517"/>
      <c r="C82" s="518">
        <v>56</v>
      </c>
      <c r="D82" s="532" t="s">
        <v>199</v>
      </c>
      <c r="E82" s="520" t="s">
        <v>781</v>
      </c>
      <c r="F82" s="453">
        <v>18000</v>
      </c>
      <c r="G82" s="1412">
        <v>0</v>
      </c>
      <c r="H82" s="856"/>
    </row>
    <row r="83" spans="1:8" s="552" customFormat="1" ht="17.25">
      <c r="A83" s="498">
        <v>77</v>
      </c>
      <c r="B83" s="517"/>
      <c r="C83" s="518">
        <v>57</v>
      </c>
      <c r="D83" s="532" t="s">
        <v>243</v>
      </c>
      <c r="E83" s="520" t="s">
        <v>781</v>
      </c>
      <c r="F83" s="453"/>
      <c r="G83" s="1412">
        <v>19420</v>
      </c>
      <c r="H83" s="856">
        <v>19396</v>
      </c>
    </row>
    <row r="84" spans="1:8" ht="17.25">
      <c r="A84" s="498">
        <v>78</v>
      </c>
      <c r="B84" s="517"/>
      <c r="C84" s="518">
        <v>58</v>
      </c>
      <c r="D84" s="532" t="s">
        <v>200</v>
      </c>
      <c r="E84" s="520" t="s">
        <v>781</v>
      </c>
      <c r="F84" s="453">
        <v>8700</v>
      </c>
      <c r="G84" s="1412">
        <v>8630</v>
      </c>
      <c r="H84" s="857">
        <v>8630</v>
      </c>
    </row>
    <row r="85" spans="1:8" ht="33.75">
      <c r="A85" s="498">
        <v>79</v>
      </c>
      <c r="B85" s="517"/>
      <c r="C85" s="518">
        <v>59</v>
      </c>
      <c r="D85" s="532" t="s">
        <v>201</v>
      </c>
      <c r="E85" s="520" t="s">
        <v>781</v>
      </c>
      <c r="F85" s="453"/>
      <c r="G85" s="1412">
        <v>2950</v>
      </c>
      <c r="H85" s="857">
        <v>2430</v>
      </c>
    </row>
    <row r="86" spans="1:8" ht="17.25">
      <c r="A86" s="498">
        <v>80</v>
      </c>
      <c r="B86" s="517"/>
      <c r="C86" s="518">
        <v>60</v>
      </c>
      <c r="D86" s="532" t="s">
        <v>202</v>
      </c>
      <c r="E86" s="520" t="s">
        <v>781</v>
      </c>
      <c r="F86" s="453"/>
      <c r="G86" s="1412">
        <v>0</v>
      </c>
      <c r="H86" s="857"/>
    </row>
    <row r="87" spans="1:8" ht="17.25">
      <c r="A87" s="498">
        <v>81</v>
      </c>
      <c r="B87" s="517"/>
      <c r="C87" s="518">
        <v>61</v>
      </c>
      <c r="D87" s="532" t="s">
        <v>244</v>
      </c>
      <c r="E87" s="520" t="s">
        <v>781</v>
      </c>
      <c r="F87" s="453"/>
      <c r="G87" s="1412">
        <v>7850</v>
      </c>
      <c r="H87" s="857"/>
    </row>
    <row r="88" spans="1:8" s="554" customFormat="1" ht="21.75" customHeight="1">
      <c r="A88" s="511">
        <v>82</v>
      </c>
      <c r="B88" s="517"/>
      <c r="C88" s="518"/>
      <c r="D88" s="530" t="s">
        <v>203</v>
      </c>
      <c r="E88" s="443"/>
      <c r="F88" s="521"/>
      <c r="G88" s="1412"/>
      <c r="H88" s="856"/>
    </row>
    <row r="89" spans="1:8" ht="33.75">
      <c r="A89" s="498">
        <v>83</v>
      </c>
      <c r="B89" s="517"/>
      <c r="C89" s="518">
        <v>62</v>
      </c>
      <c r="D89" s="532" t="s">
        <v>251</v>
      </c>
      <c r="E89" s="443" t="s">
        <v>781</v>
      </c>
      <c r="F89" s="453">
        <v>16000</v>
      </c>
      <c r="G89" s="1412">
        <v>15840</v>
      </c>
      <c r="H89" s="857"/>
    </row>
    <row r="90" spans="1:8" s="554" customFormat="1" ht="21.75" customHeight="1">
      <c r="A90" s="511">
        <v>84</v>
      </c>
      <c r="B90" s="517"/>
      <c r="C90" s="518"/>
      <c r="D90" s="530" t="s">
        <v>801</v>
      </c>
      <c r="E90" s="443"/>
      <c r="F90" s="521"/>
      <c r="G90" s="1412"/>
      <c r="H90" s="856"/>
    </row>
    <row r="91" spans="1:8" s="554" customFormat="1" ht="17.25">
      <c r="A91" s="498">
        <v>85</v>
      </c>
      <c r="B91" s="534"/>
      <c r="C91" s="518">
        <v>63</v>
      </c>
      <c r="D91" s="532" t="s">
        <v>204</v>
      </c>
      <c r="E91" s="520" t="s">
        <v>781</v>
      </c>
      <c r="F91" s="453">
        <v>2500</v>
      </c>
      <c r="G91" s="1412">
        <v>2465</v>
      </c>
      <c r="H91" s="861">
        <v>2461</v>
      </c>
    </row>
    <row r="92" spans="1:8" s="552" customFormat="1" ht="17.25">
      <c r="A92" s="498">
        <v>86</v>
      </c>
      <c r="B92" s="517"/>
      <c r="C92" s="518">
        <v>64</v>
      </c>
      <c r="D92" s="532" t="s">
        <v>205</v>
      </c>
      <c r="E92" s="520" t="s">
        <v>781</v>
      </c>
      <c r="F92" s="453">
        <v>9500</v>
      </c>
      <c r="G92" s="1412">
        <v>9480</v>
      </c>
      <c r="H92" s="856">
        <v>9452</v>
      </c>
    </row>
    <row r="93" spans="1:8" s="554" customFormat="1" ht="21.75" customHeight="1">
      <c r="A93" s="511">
        <v>87</v>
      </c>
      <c r="B93" s="517"/>
      <c r="C93" s="518"/>
      <c r="D93" s="530" t="s">
        <v>598</v>
      </c>
      <c r="E93" s="443"/>
      <c r="F93" s="521"/>
      <c r="G93" s="1412"/>
      <c r="H93" s="856"/>
    </row>
    <row r="94" spans="1:8" ht="33.75">
      <c r="A94" s="498">
        <v>88</v>
      </c>
      <c r="B94" s="517"/>
      <c r="C94" s="518">
        <v>65</v>
      </c>
      <c r="D94" s="532" t="s">
        <v>206</v>
      </c>
      <c r="E94" s="520" t="s">
        <v>781</v>
      </c>
      <c r="F94" s="453">
        <v>15000</v>
      </c>
      <c r="G94" s="1412">
        <v>14840</v>
      </c>
      <c r="H94" s="857"/>
    </row>
    <row r="95" spans="1:8" ht="21.75" customHeight="1">
      <c r="A95" s="511">
        <v>89</v>
      </c>
      <c r="B95" s="517"/>
      <c r="C95" s="518"/>
      <c r="D95" s="530" t="s">
        <v>806</v>
      </c>
      <c r="E95" s="520"/>
      <c r="F95" s="453"/>
      <c r="G95" s="1412"/>
      <c r="H95" s="857"/>
    </row>
    <row r="96" spans="1:8" ht="17.25">
      <c r="A96" s="498">
        <v>90</v>
      </c>
      <c r="B96" s="517"/>
      <c r="C96" s="518">
        <v>66</v>
      </c>
      <c r="D96" s="532" t="s">
        <v>207</v>
      </c>
      <c r="E96" s="520" t="s">
        <v>781</v>
      </c>
      <c r="F96" s="453">
        <v>800</v>
      </c>
      <c r="G96" s="1412">
        <v>770</v>
      </c>
      <c r="H96" s="857">
        <v>768</v>
      </c>
    </row>
    <row r="97" spans="1:8" ht="17.25">
      <c r="A97" s="498">
        <v>91</v>
      </c>
      <c r="B97" s="517"/>
      <c r="C97" s="518">
        <v>67</v>
      </c>
      <c r="D97" s="532" t="s">
        <v>208</v>
      </c>
      <c r="E97" s="520" t="s">
        <v>781</v>
      </c>
      <c r="F97" s="453">
        <v>1500</v>
      </c>
      <c r="G97" s="1412">
        <v>1440</v>
      </c>
      <c r="H97" s="857">
        <v>1438</v>
      </c>
    </row>
    <row r="98" spans="1:8" ht="17.25">
      <c r="A98" s="498">
        <v>92</v>
      </c>
      <c r="B98" s="517"/>
      <c r="C98" s="518"/>
      <c r="D98" s="530" t="s">
        <v>807</v>
      </c>
      <c r="E98" s="520"/>
      <c r="F98" s="453"/>
      <c r="G98" s="1412"/>
      <c r="H98" s="857"/>
    </row>
    <row r="99" spans="1:8" ht="17.25">
      <c r="A99" s="498">
        <v>93</v>
      </c>
      <c r="B99" s="517"/>
      <c r="C99" s="518">
        <v>68</v>
      </c>
      <c r="D99" s="532" t="s">
        <v>209</v>
      </c>
      <c r="E99" s="520" t="s">
        <v>781</v>
      </c>
      <c r="F99" s="453">
        <v>11500</v>
      </c>
      <c r="G99" s="1412">
        <v>11739</v>
      </c>
      <c r="H99" s="857">
        <v>11710</v>
      </c>
    </row>
    <row r="100" spans="1:8" ht="17.25">
      <c r="A100" s="498">
        <v>94</v>
      </c>
      <c r="B100" s="517"/>
      <c r="C100" s="518">
        <v>69</v>
      </c>
      <c r="D100" s="532" t="s">
        <v>210</v>
      </c>
      <c r="E100" s="520" t="s">
        <v>781</v>
      </c>
      <c r="F100" s="453"/>
      <c r="G100" s="1412">
        <v>1400</v>
      </c>
      <c r="H100" s="857"/>
    </row>
    <row r="101" spans="1:8" ht="17.25">
      <c r="A101" s="498">
        <v>95</v>
      </c>
      <c r="B101" s="517"/>
      <c r="C101" s="518"/>
      <c r="D101" s="530" t="s">
        <v>211</v>
      </c>
      <c r="E101" s="520"/>
      <c r="F101" s="453"/>
      <c r="G101" s="1412"/>
      <c r="H101" s="857"/>
    </row>
    <row r="102" spans="1:8" ht="17.25">
      <c r="A102" s="498">
        <v>96</v>
      </c>
      <c r="B102" s="517"/>
      <c r="C102" s="518">
        <v>70</v>
      </c>
      <c r="D102" s="532" t="s">
        <v>745</v>
      </c>
      <c r="E102" s="520" t="s">
        <v>781</v>
      </c>
      <c r="F102" s="453"/>
      <c r="G102" s="1412">
        <v>500</v>
      </c>
      <c r="H102" s="857">
        <v>460</v>
      </c>
    </row>
    <row r="103" spans="1:8" ht="17.25">
      <c r="A103" s="498">
        <v>97</v>
      </c>
      <c r="B103" s="517"/>
      <c r="C103" s="518"/>
      <c r="D103" s="530" t="s">
        <v>746</v>
      </c>
      <c r="E103" s="520"/>
      <c r="F103" s="453"/>
      <c r="G103" s="1412"/>
      <c r="H103" s="857"/>
    </row>
    <row r="104" spans="1:8" ht="17.25">
      <c r="A104" s="498">
        <v>98</v>
      </c>
      <c r="B104" s="517"/>
      <c r="C104" s="518">
        <v>71</v>
      </c>
      <c r="D104" s="532" t="s">
        <v>212</v>
      </c>
      <c r="E104" s="520" t="s">
        <v>781</v>
      </c>
      <c r="F104" s="453">
        <v>6500</v>
      </c>
      <c r="G104" s="1412">
        <v>6480</v>
      </c>
      <c r="H104" s="857">
        <v>6467</v>
      </c>
    </row>
    <row r="105" spans="1:8" ht="17.25">
      <c r="A105" s="498">
        <v>99</v>
      </c>
      <c r="B105" s="517"/>
      <c r="C105" s="518"/>
      <c r="D105" s="530" t="s">
        <v>213</v>
      </c>
      <c r="E105" s="520"/>
      <c r="F105" s="453"/>
      <c r="G105" s="1412"/>
      <c r="H105" s="857"/>
    </row>
    <row r="106" spans="1:8" ht="17.25">
      <c r="A106" s="498">
        <v>100</v>
      </c>
      <c r="B106" s="517"/>
      <c r="C106" s="518">
        <v>72</v>
      </c>
      <c r="D106" s="532" t="s">
        <v>214</v>
      </c>
      <c r="E106" s="520" t="s">
        <v>781</v>
      </c>
      <c r="F106" s="453">
        <v>5500</v>
      </c>
      <c r="G106" s="1412">
        <v>0</v>
      </c>
      <c r="H106" s="857"/>
    </row>
    <row r="107" spans="1:8" ht="17.25">
      <c r="A107" s="498">
        <v>101</v>
      </c>
      <c r="B107" s="517"/>
      <c r="C107" s="518"/>
      <c r="D107" s="530" t="s">
        <v>726</v>
      </c>
      <c r="E107" s="520"/>
      <c r="F107" s="453"/>
      <c r="G107" s="1412"/>
      <c r="H107" s="857"/>
    </row>
    <row r="108" spans="1:8" ht="17.25">
      <c r="A108" s="498">
        <v>102</v>
      </c>
      <c r="B108" s="517"/>
      <c r="C108" s="518"/>
      <c r="D108" s="81" t="s">
        <v>541</v>
      </c>
      <c r="E108" s="520"/>
      <c r="F108" s="453"/>
      <c r="G108" s="1412"/>
      <c r="H108" s="857"/>
    </row>
    <row r="109" spans="1:8" ht="17.25">
      <c r="A109" s="498">
        <v>103</v>
      </c>
      <c r="B109" s="517"/>
      <c r="C109" s="518">
        <v>73</v>
      </c>
      <c r="D109" s="532" t="s">
        <v>215</v>
      </c>
      <c r="E109" s="520" t="s">
        <v>781</v>
      </c>
      <c r="F109" s="453">
        <v>7500</v>
      </c>
      <c r="G109" s="1412">
        <v>7423</v>
      </c>
      <c r="H109" s="857"/>
    </row>
    <row r="110" spans="1:8" ht="17.25">
      <c r="A110" s="498">
        <v>104</v>
      </c>
      <c r="B110" s="517"/>
      <c r="C110" s="518">
        <v>74</v>
      </c>
      <c r="D110" s="532" t="s">
        <v>216</v>
      </c>
      <c r="E110" s="520" t="s">
        <v>781</v>
      </c>
      <c r="F110" s="453">
        <v>2500</v>
      </c>
      <c r="G110" s="1412">
        <v>2474</v>
      </c>
      <c r="H110" s="857"/>
    </row>
    <row r="111" spans="1:8" ht="17.25">
      <c r="A111" s="498">
        <v>105</v>
      </c>
      <c r="B111" s="517"/>
      <c r="C111" s="518">
        <v>75</v>
      </c>
      <c r="D111" s="532" t="s">
        <v>217</v>
      </c>
      <c r="E111" s="520" t="s">
        <v>781</v>
      </c>
      <c r="F111" s="453">
        <v>1500</v>
      </c>
      <c r="G111" s="1412">
        <v>620</v>
      </c>
      <c r="H111" s="857">
        <v>323</v>
      </c>
    </row>
    <row r="112" spans="1:8" ht="17.25">
      <c r="A112" s="498">
        <v>106</v>
      </c>
      <c r="B112" s="517"/>
      <c r="C112" s="518">
        <v>76</v>
      </c>
      <c r="D112" s="532" t="s">
        <v>218</v>
      </c>
      <c r="E112" s="520" t="s">
        <v>781</v>
      </c>
      <c r="F112" s="453">
        <v>4500</v>
      </c>
      <c r="G112" s="1412">
        <v>4454</v>
      </c>
      <c r="H112" s="857"/>
    </row>
    <row r="113" spans="1:8" ht="17.25">
      <c r="A113" s="498">
        <v>107</v>
      </c>
      <c r="B113" s="517"/>
      <c r="C113" s="518"/>
      <c r="D113" s="530" t="s">
        <v>809</v>
      </c>
      <c r="E113" s="520"/>
      <c r="F113" s="453"/>
      <c r="G113" s="1412"/>
      <c r="H113" s="857"/>
    </row>
    <row r="114" spans="1:8" ht="33.75">
      <c r="A114" s="498">
        <v>108</v>
      </c>
      <c r="B114" s="517"/>
      <c r="C114" s="518">
        <v>77</v>
      </c>
      <c r="D114" s="532" t="s">
        <v>737</v>
      </c>
      <c r="E114" s="520" t="s">
        <v>781</v>
      </c>
      <c r="F114" s="453"/>
      <c r="G114" s="1412">
        <v>363</v>
      </c>
      <c r="H114" s="857">
        <v>279</v>
      </c>
    </row>
    <row r="115" spans="1:8" ht="17.25">
      <c r="A115" s="498">
        <v>109</v>
      </c>
      <c r="B115" s="517"/>
      <c r="C115" s="518">
        <v>78</v>
      </c>
      <c r="D115" s="532" t="s">
        <v>743</v>
      </c>
      <c r="E115" s="520" t="s">
        <v>781</v>
      </c>
      <c r="F115" s="453"/>
      <c r="G115" s="1412">
        <v>795</v>
      </c>
      <c r="H115" s="857">
        <v>795</v>
      </c>
    </row>
    <row r="116" spans="1:8" ht="17.25">
      <c r="A116" s="498">
        <v>110</v>
      </c>
      <c r="B116" s="517"/>
      <c r="C116" s="518">
        <v>79</v>
      </c>
      <c r="D116" s="532" t="s">
        <v>1148</v>
      </c>
      <c r="E116" s="520" t="s">
        <v>781</v>
      </c>
      <c r="F116" s="453">
        <v>6000</v>
      </c>
      <c r="G116" s="1412">
        <v>0</v>
      </c>
      <c r="H116" s="857"/>
    </row>
    <row r="117" spans="1:8" ht="17.25">
      <c r="A117" s="498">
        <v>111</v>
      </c>
      <c r="B117" s="517"/>
      <c r="C117" s="518">
        <v>80</v>
      </c>
      <c r="D117" s="532" t="s">
        <v>1149</v>
      </c>
      <c r="E117" s="520" t="s">
        <v>781</v>
      </c>
      <c r="F117" s="453"/>
      <c r="G117" s="1412">
        <v>0</v>
      </c>
      <c r="H117" s="857"/>
    </row>
    <row r="118" spans="1:8" ht="17.25">
      <c r="A118" s="498">
        <v>112</v>
      </c>
      <c r="B118" s="517"/>
      <c r="C118" s="518">
        <v>81</v>
      </c>
      <c r="D118" s="532" t="s">
        <v>1150</v>
      </c>
      <c r="E118" s="520" t="s">
        <v>781</v>
      </c>
      <c r="F118" s="453"/>
      <c r="G118" s="1412">
        <v>3100</v>
      </c>
      <c r="H118" s="857">
        <v>2947</v>
      </c>
    </row>
    <row r="119" spans="1:8" ht="17.25">
      <c r="A119" s="498">
        <v>113</v>
      </c>
      <c r="B119" s="517"/>
      <c r="C119" s="518">
        <v>82</v>
      </c>
      <c r="D119" s="532" t="s">
        <v>245</v>
      </c>
      <c r="E119" s="520" t="s">
        <v>781</v>
      </c>
      <c r="F119" s="453"/>
      <c r="G119" s="1412">
        <v>3500</v>
      </c>
      <c r="H119" s="857">
        <v>170</v>
      </c>
    </row>
    <row r="120" spans="1:8" ht="17.25">
      <c r="A120" s="498">
        <v>114</v>
      </c>
      <c r="B120" s="517"/>
      <c r="C120" s="518"/>
      <c r="D120" s="81" t="s">
        <v>123</v>
      </c>
      <c r="E120" s="80" t="s">
        <v>781</v>
      </c>
      <c r="F120" s="453"/>
      <c r="G120" s="1412"/>
      <c r="H120" s="856"/>
    </row>
    <row r="121" spans="1:8" ht="33.75">
      <c r="A121" s="498">
        <v>115</v>
      </c>
      <c r="B121" s="527"/>
      <c r="C121" s="528">
        <v>83</v>
      </c>
      <c r="D121" s="532" t="s">
        <v>250</v>
      </c>
      <c r="E121" s="80" t="s">
        <v>781</v>
      </c>
      <c r="F121" s="453">
        <v>12000</v>
      </c>
      <c r="G121" s="1412">
        <v>1500</v>
      </c>
      <c r="H121" s="856"/>
    </row>
    <row r="122" spans="1:8" ht="17.25">
      <c r="A122" s="498">
        <v>116</v>
      </c>
      <c r="B122" s="517"/>
      <c r="C122" s="518">
        <v>84</v>
      </c>
      <c r="D122" s="532" t="s">
        <v>1151</v>
      </c>
      <c r="E122" s="80" t="s">
        <v>781</v>
      </c>
      <c r="F122" s="453">
        <v>3750</v>
      </c>
      <c r="G122" s="1412">
        <v>18740</v>
      </c>
      <c r="H122" s="856">
        <v>18700</v>
      </c>
    </row>
    <row r="123" spans="1:8" ht="17.25">
      <c r="A123" s="498">
        <v>117</v>
      </c>
      <c r="B123" s="517"/>
      <c r="C123" s="518">
        <v>85</v>
      </c>
      <c r="D123" s="532" t="s">
        <v>1152</v>
      </c>
      <c r="E123" s="80" t="s">
        <v>781</v>
      </c>
      <c r="F123" s="453">
        <v>2900</v>
      </c>
      <c r="G123" s="1412">
        <v>2884</v>
      </c>
      <c r="H123" s="856"/>
    </row>
    <row r="124" spans="1:8" ht="17.25">
      <c r="A124" s="498">
        <v>118</v>
      </c>
      <c r="B124" s="517"/>
      <c r="C124" s="518">
        <v>86</v>
      </c>
      <c r="D124" s="532" t="s">
        <v>1153</v>
      </c>
      <c r="E124" s="79" t="s">
        <v>781</v>
      </c>
      <c r="F124" s="453">
        <v>3500</v>
      </c>
      <c r="G124" s="1412">
        <v>3481</v>
      </c>
      <c r="H124" s="856"/>
    </row>
    <row r="125" spans="1:8" ht="17.25">
      <c r="A125" s="498">
        <v>119</v>
      </c>
      <c r="B125" s="517"/>
      <c r="C125" s="518">
        <v>87</v>
      </c>
      <c r="D125" s="532" t="s">
        <v>1154</v>
      </c>
      <c r="E125" s="80" t="s">
        <v>781</v>
      </c>
      <c r="F125" s="453">
        <v>3000</v>
      </c>
      <c r="G125" s="1412">
        <v>2984</v>
      </c>
      <c r="H125" s="856"/>
    </row>
    <row r="126" spans="1:8" ht="17.25">
      <c r="A126" s="498">
        <v>120</v>
      </c>
      <c r="B126" s="517"/>
      <c r="C126" s="518">
        <v>88</v>
      </c>
      <c r="D126" s="532" t="s">
        <v>1155</v>
      </c>
      <c r="E126" s="80" t="s">
        <v>781</v>
      </c>
      <c r="F126" s="453">
        <v>9000</v>
      </c>
      <c r="G126" s="1412">
        <v>9585</v>
      </c>
      <c r="H126" s="856">
        <v>9553</v>
      </c>
    </row>
    <row r="127" spans="1:8" ht="17.25">
      <c r="A127" s="498">
        <v>121</v>
      </c>
      <c r="B127" s="517"/>
      <c r="C127" s="518">
        <v>89</v>
      </c>
      <c r="D127" s="532" t="s">
        <v>1156</v>
      </c>
      <c r="E127" s="80" t="s">
        <v>781</v>
      </c>
      <c r="F127" s="453">
        <v>1850</v>
      </c>
      <c r="G127" s="1412">
        <v>1400</v>
      </c>
      <c r="H127" s="856">
        <v>1394</v>
      </c>
    </row>
    <row r="128" spans="1:8" ht="17.25">
      <c r="A128" s="498">
        <v>122</v>
      </c>
      <c r="B128" s="517"/>
      <c r="C128" s="518"/>
      <c r="D128" s="81" t="s">
        <v>1157</v>
      </c>
      <c r="E128" s="79"/>
      <c r="F128" s="453"/>
      <c r="G128" s="1412"/>
      <c r="H128" s="856"/>
    </row>
    <row r="129" spans="1:8" ht="17.25">
      <c r="A129" s="498">
        <v>123</v>
      </c>
      <c r="B129" s="517"/>
      <c r="C129" s="518">
        <v>90</v>
      </c>
      <c r="D129" s="532" t="s">
        <v>1158</v>
      </c>
      <c r="E129" s="79" t="s">
        <v>781</v>
      </c>
      <c r="F129" s="453">
        <v>500</v>
      </c>
      <c r="G129" s="1412">
        <v>460</v>
      </c>
      <c r="H129" s="856"/>
    </row>
    <row r="130" spans="1:8" ht="17.25">
      <c r="A130" s="498">
        <v>124</v>
      </c>
      <c r="B130" s="517"/>
      <c r="C130" s="518"/>
      <c r="D130" s="81" t="s">
        <v>1159</v>
      </c>
      <c r="E130" s="80"/>
      <c r="F130" s="453"/>
      <c r="G130" s="1412"/>
      <c r="H130" s="856"/>
    </row>
    <row r="131" spans="1:8" ht="17.25">
      <c r="A131" s="498">
        <v>125</v>
      </c>
      <c r="B131" s="517"/>
      <c r="C131" s="518">
        <v>91</v>
      </c>
      <c r="D131" s="532" t="s">
        <v>1160</v>
      </c>
      <c r="E131" s="80" t="s">
        <v>781</v>
      </c>
      <c r="F131" s="453">
        <v>2000</v>
      </c>
      <c r="G131" s="1412">
        <v>1989</v>
      </c>
      <c r="H131" s="856"/>
    </row>
    <row r="132" spans="1:8" ht="17.25">
      <c r="A132" s="498">
        <v>126</v>
      </c>
      <c r="B132" s="517"/>
      <c r="C132" s="518"/>
      <c r="D132" s="530" t="s">
        <v>1161</v>
      </c>
      <c r="E132" s="80"/>
      <c r="F132" s="453"/>
      <c r="G132" s="1412"/>
      <c r="H132" s="856"/>
    </row>
    <row r="133" spans="1:8" ht="17.25">
      <c r="A133" s="498">
        <v>127</v>
      </c>
      <c r="B133" s="517"/>
      <c r="C133" s="518">
        <v>92</v>
      </c>
      <c r="D133" s="532" t="s">
        <v>252</v>
      </c>
      <c r="E133" s="79" t="s">
        <v>781</v>
      </c>
      <c r="F133" s="453">
        <v>1500</v>
      </c>
      <c r="G133" s="1412">
        <v>920</v>
      </c>
      <c r="H133" s="856">
        <v>815</v>
      </c>
    </row>
    <row r="134" spans="1:8" ht="17.25">
      <c r="A134" s="498">
        <v>128</v>
      </c>
      <c r="B134" s="517"/>
      <c r="C134" s="518">
        <v>93</v>
      </c>
      <c r="D134" s="532" t="s">
        <v>253</v>
      </c>
      <c r="E134" s="80" t="s">
        <v>781</v>
      </c>
      <c r="F134" s="453">
        <v>5500</v>
      </c>
      <c r="G134" s="1412">
        <v>0</v>
      </c>
      <c r="H134" s="856"/>
    </row>
    <row r="135" spans="1:8" ht="17.25">
      <c r="A135" s="498">
        <v>129</v>
      </c>
      <c r="B135" s="517"/>
      <c r="C135" s="518">
        <v>94</v>
      </c>
      <c r="D135" s="532" t="s">
        <v>1162</v>
      </c>
      <c r="E135" s="79" t="s">
        <v>781</v>
      </c>
      <c r="F135" s="453"/>
      <c r="G135" s="1412">
        <v>5400</v>
      </c>
      <c r="H135" s="856">
        <v>5396</v>
      </c>
    </row>
    <row r="136" spans="1:8" ht="17.25">
      <c r="A136" s="498">
        <v>130</v>
      </c>
      <c r="B136" s="517"/>
      <c r="C136" s="518"/>
      <c r="D136" s="81" t="s">
        <v>563</v>
      </c>
      <c r="E136" s="80"/>
      <c r="F136" s="453"/>
      <c r="G136" s="1412"/>
      <c r="H136" s="856"/>
    </row>
    <row r="137" spans="1:8" ht="17.25">
      <c r="A137" s="498">
        <v>131</v>
      </c>
      <c r="B137" s="517"/>
      <c r="C137" s="518">
        <v>95</v>
      </c>
      <c r="D137" s="535" t="s">
        <v>1163</v>
      </c>
      <c r="E137" s="80" t="s">
        <v>781</v>
      </c>
      <c r="F137" s="453"/>
      <c r="G137" s="1412">
        <v>9933</v>
      </c>
      <c r="H137" s="856"/>
    </row>
    <row r="138" spans="1:8" s="553" customFormat="1" ht="33">
      <c r="A138" s="498">
        <v>132</v>
      </c>
      <c r="B138" s="527"/>
      <c r="C138" s="528">
        <v>96</v>
      </c>
      <c r="D138" s="535" t="s">
        <v>249</v>
      </c>
      <c r="E138" s="353" t="s">
        <v>781</v>
      </c>
      <c r="F138" s="454">
        <v>3500</v>
      </c>
      <c r="G138" s="1412">
        <v>3295</v>
      </c>
      <c r="H138" s="861"/>
    </row>
    <row r="139" spans="1:8" ht="17.25">
      <c r="A139" s="498">
        <v>133</v>
      </c>
      <c r="B139" s="517"/>
      <c r="C139" s="518">
        <v>97</v>
      </c>
      <c r="D139" s="532" t="s">
        <v>1164</v>
      </c>
      <c r="E139" s="80" t="s">
        <v>781</v>
      </c>
      <c r="F139" s="453">
        <v>1200</v>
      </c>
      <c r="G139" s="1412">
        <v>1200</v>
      </c>
      <c r="H139" s="856"/>
    </row>
    <row r="140" spans="1:8" ht="17.25">
      <c r="A140" s="498">
        <v>134</v>
      </c>
      <c r="B140" s="517"/>
      <c r="C140" s="518">
        <v>98</v>
      </c>
      <c r="D140" s="532" t="s">
        <v>748</v>
      </c>
      <c r="E140" s="80" t="s">
        <v>781</v>
      </c>
      <c r="F140" s="453">
        <v>700</v>
      </c>
      <c r="G140" s="1412">
        <v>1113</v>
      </c>
      <c r="H140" s="856"/>
    </row>
    <row r="141" spans="1:8" s="553" customFormat="1" ht="18" thickBot="1">
      <c r="A141" s="498">
        <v>135</v>
      </c>
      <c r="B141" s="527"/>
      <c r="C141" s="528">
        <v>99</v>
      </c>
      <c r="D141" s="535" t="s">
        <v>1165</v>
      </c>
      <c r="E141" s="353" t="s">
        <v>781</v>
      </c>
      <c r="F141" s="454">
        <v>1500</v>
      </c>
      <c r="G141" s="1412">
        <v>1485</v>
      </c>
      <c r="H141" s="861"/>
    </row>
    <row r="142" spans="1:8" s="554" customFormat="1" ht="18.75" thickBot="1" thickTop="1">
      <c r="A142" s="498">
        <v>136</v>
      </c>
      <c r="B142" s="536"/>
      <c r="C142" s="537"/>
      <c r="D142" s="538" t="s">
        <v>747</v>
      </c>
      <c r="E142" s="539"/>
      <c r="F142" s="540">
        <f>SUM(F8:F141)</f>
        <v>580300</v>
      </c>
      <c r="G142" s="1413">
        <f>SUM(G8:G141)</f>
        <v>607315</v>
      </c>
      <c r="H142" s="817">
        <f>SUM(H8:H141)</f>
        <v>442985</v>
      </c>
    </row>
    <row r="143" spans="1:8" s="554" customFormat="1" ht="17.25">
      <c r="A143" s="498">
        <v>137</v>
      </c>
      <c r="B143" s="541"/>
      <c r="C143" s="542"/>
      <c r="D143" s="543" t="s">
        <v>850</v>
      </c>
      <c r="E143" s="544"/>
      <c r="F143" s="545"/>
      <c r="G143" s="1414"/>
      <c r="H143" s="862"/>
    </row>
    <row r="144" spans="1:8" ht="17.25">
      <c r="A144" s="498">
        <v>138</v>
      </c>
      <c r="B144" s="517">
        <v>2</v>
      </c>
      <c r="C144" s="518"/>
      <c r="D144" s="530" t="s">
        <v>1224</v>
      </c>
      <c r="E144" s="520"/>
      <c r="F144" s="453"/>
      <c r="G144" s="1415"/>
      <c r="H144" s="857"/>
    </row>
    <row r="145" spans="1:8" ht="17.25">
      <c r="A145" s="498">
        <v>139</v>
      </c>
      <c r="B145" s="517"/>
      <c r="C145" s="518">
        <v>1</v>
      </c>
      <c r="D145" s="532" t="s">
        <v>246</v>
      </c>
      <c r="E145" s="520" t="s">
        <v>781</v>
      </c>
      <c r="F145" s="453"/>
      <c r="G145" s="1415">
        <v>130</v>
      </c>
      <c r="H145" s="857">
        <v>130</v>
      </c>
    </row>
    <row r="146" spans="1:8" ht="17.25">
      <c r="A146" s="498">
        <v>140</v>
      </c>
      <c r="B146" s="517">
        <v>10</v>
      </c>
      <c r="C146" s="518"/>
      <c r="D146" s="530" t="s">
        <v>726</v>
      </c>
      <c r="E146" s="443"/>
      <c r="F146" s="453"/>
      <c r="G146" s="1415"/>
      <c r="H146" s="856"/>
    </row>
    <row r="147" spans="1:8" ht="17.25">
      <c r="A147" s="498">
        <v>141</v>
      </c>
      <c r="B147" s="517"/>
      <c r="C147" s="518">
        <v>1</v>
      </c>
      <c r="D147" s="532" t="s">
        <v>1174</v>
      </c>
      <c r="E147" s="443" t="s">
        <v>781</v>
      </c>
      <c r="F147" s="453"/>
      <c r="G147" s="1415">
        <v>50109</v>
      </c>
      <c r="H147" s="856">
        <v>50109</v>
      </c>
    </row>
    <row r="148" spans="1:8" ht="17.25">
      <c r="A148" s="498">
        <v>142</v>
      </c>
      <c r="B148" s="517">
        <v>13</v>
      </c>
      <c r="C148" s="518"/>
      <c r="D148" s="530" t="s">
        <v>810</v>
      </c>
      <c r="E148" s="443"/>
      <c r="F148" s="453"/>
      <c r="G148" s="1415"/>
      <c r="H148" s="856"/>
    </row>
    <row r="149" spans="1:8" ht="17.25">
      <c r="A149" s="498">
        <v>143</v>
      </c>
      <c r="B149" s="517"/>
      <c r="C149" s="518">
        <v>1</v>
      </c>
      <c r="D149" s="532" t="s">
        <v>1175</v>
      </c>
      <c r="E149" s="443" t="s">
        <v>781</v>
      </c>
      <c r="F149" s="453"/>
      <c r="G149" s="1415">
        <v>1000</v>
      </c>
      <c r="H149" s="856">
        <v>972</v>
      </c>
    </row>
    <row r="150" spans="1:8" ht="17.25">
      <c r="A150" s="498">
        <v>144</v>
      </c>
      <c r="B150" s="517"/>
      <c r="C150" s="518">
        <v>2</v>
      </c>
      <c r="D150" s="532" t="s">
        <v>247</v>
      </c>
      <c r="E150" s="443" t="s">
        <v>781</v>
      </c>
      <c r="F150" s="453"/>
      <c r="G150" s="1415">
        <v>775</v>
      </c>
      <c r="H150" s="856"/>
    </row>
    <row r="151" spans="1:8" ht="17.25">
      <c r="A151" s="498">
        <v>145</v>
      </c>
      <c r="B151" s="517"/>
      <c r="C151" s="518">
        <v>3</v>
      </c>
      <c r="D151" s="532" t="s">
        <v>248</v>
      </c>
      <c r="E151" s="443" t="s">
        <v>781</v>
      </c>
      <c r="F151" s="453"/>
      <c r="G151" s="1415">
        <v>725</v>
      </c>
      <c r="H151" s="856"/>
    </row>
    <row r="152" spans="1:8" ht="17.25">
      <c r="A152" s="498">
        <v>146</v>
      </c>
      <c r="B152" s="517">
        <v>15</v>
      </c>
      <c r="C152" s="518"/>
      <c r="D152" s="530" t="s">
        <v>142</v>
      </c>
      <c r="E152" s="520"/>
      <c r="F152" s="453"/>
      <c r="G152" s="1415"/>
      <c r="H152" s="857"/>
    </row>
    <row r="153" spans="1:8" ht="17.25">
      <c r="A153" s="498">
        <v>147</v>
      </c>
      <c r="B153" s="517"/>
      <c r="C153" s="518">
        <v>1</v>
      </c>
      <c r="D153" s="532" t="s">
        <v>1166</v>
      </c>
      <c r="E153" s="520" t="s">
        <v>781</v>
      </c>
      <c r="F153" s="453">
        <v>1584</v>
      </c>
      <c r="G153" s="1415">
        <v>1992</v>
      </c>
      <c r="H153" s="857">
        <v>1990</v>
      </c>
    </row>
    <row r="154" spans="1:8" ht="17.25">
      <c r="A154" s="498">
        <v>148</v>
      </c>
      <c r="B154" s="517"/>
      <c r="C154" s="518">
        <v>2</v>
      </c>
      <c r="D154" s="532" t="s">
        <v>1167</v>
      </c>
      <c r="E154" s="520" t="s">
        <v>781</v>
      </c>
      <c r="F154" s="453">
        <v>1440</v>
      </c>
      <c r="G154" s="1415">
        <v>1440</v>
      </c>
      <c r="H154" s="857">
        <v>1440</v>
      </c>
    </row>
    <row r="155" spans="1:8" ht="17.25">
      <c r="A155" s="498">
        <v>149</v>
      </c>
      <c r="B155" s="517"/>
      <c r="C155" s="518">
        <v>3</v>
      </c>
      <c r="D155" s="532" t="s">
        <v>1168</v>
      </c>
      <c r="E155" s="520" t="s">
        <v>781</v>
      </c>
      <c r="F155" s="453">
        <v>408</v>
      </c>
      <c r="G155" s="1415">
        <v>0</v>
      </c>
      <c r="H155" s="857"/>
    </row>
    <row r="156" spans="1:8" s="552" customFormat="1" ht="17.25">
      <c r="A156" s="498">
        <v>150</v>
      </c>
      <c r="B156" s="517"/>
      <c r="C156" s="518">
        <v>4</v>
      </c>
      <c r="D156" s="532" t="s">
        <v>1169</v>
      </c>
      <c r="E156" s="520" t="s">
        <v>781</v>
      </c>
      <c r="F156" s="453">
        <v>1500</v>
      </c>
      <c r="G156" s="1415">
        <v>0</v>
      </c>
      <c r="H156" s="856"/>
    </row>
    <row r="157" spans="1:8" ht="17.25">
      <c r="A157" s="498">
        <v>151</v>
      </c>
      <c r="B157" s="517"/>
      <c r="C157" s="518">
        <v>5</v>
      </c>
      <c r="D157" s="532" t="s">
        <v>1170</v>
      </c>
      <c r="E157" s="443" t="s">
        <v>781</v>
      </c>
      <c r="F157" s="453">
        <v>1200</v>
      </c>
      <c r="G157" s="1415">
        <v>1690</v>
      </c>
      <c r="H157" s="856">
        <v>1690</v>
      </c>
    </row>
    <row r="158" spans="1:8" ht="17.25">
      <c r="A158" s="498">
        <v>152</v>
      </c>
      <c r="B158" s="517"/>
      <c r="C158" s="518">
        <v>6</v>
      </c>
      <c r="D158" s="532" t="s">
        <v>1171</v>
      </c>
      <c r="E158" s="443" t="s">
        <v>781</v>
      </c>
      <c r="F158" s="453"/>
      <c r="G158" s="1415">
        <v>192</v>
      </c>
      <c r="H158" s="856">
        <v>192</v>
      </c>
    </row>
    <row r="159" spans="1:8" ht="17.25">
      <c r="A159" s="498">
        <v>153</v>
      </c>
      <c r="B159" s="517"/>
      <c r="C159" s="518">
        <v>7</v>
      </c>
      <c r="D159" s="532" t="s">
        <v>1172</v>
      </c>
      <c r="E159" s="443" t="s">
        <v>781</v>
      </c>
      <c r="F159" s="453"/>
      <c r="G159" s="1415">
        <v>25</v>
      </c>
      <c r="H159" s="856"/>
    </row>
    <row r="160" spans="1:8" ht="17.25">
      <c r="A160" s="498">
        <v>154</v>
      </c>
      <c r="B160" s="517"/>
      <c r="C160" s="518">
        <v>8</v>
      </c>
      <c r="D160" s="532" t="s">
        <v>1173</v>
      </c>
      <c r="E160" s="443" t="s">
        <v>781</v>
      </c>
      <c r="F160" s="453"/>
      <c r="G160" s="1415">
        <v>216</v>
      </c>
      <c r="H160" s="856">
        <v>216</v>
      </c>
    </row>
    <row r="161" spans="1:8" s="554" customFormat="1" ht="18" thickBot="1">
      <c r="A161" s="498">
        <v>155</v>
      </c>
      <c r="B161" s="1553" t="s">
        <v>749</v>
      </c>
      <c r="C161" s="1554"/>
      <c r="D161" s="1554"/>
      <c r="E161" s="463"/>
      <c r="F161" s="466">
        <f>SUM(F145:F160)</f>
        <v>6132</v>
      </c>
      <c r="G161" s="464">
        <f>SUM(G145:G160)</f>
        <v>58294</v>
      </c>
      <c r="H161" s="464">
        <f>SUM(H145:H160)</f>
        <v>56739</v>
      </c>
    </row>
    <row r="162" spans="1:8" s="554" customFormat="1" ht="18.75" thickBot="1" thickTop="1">
      <c r="A162" s="498">
        <v>156</v>
      </c>
      <c r="B162" s="1549" t="s">
        <v>1176</v>
      </c>
      <c r="C162" s="1550"/>
      <c r="D162" s="1550"/>
      <c r="E162" s="546"/>
      <c r="F162" s="547">
        <f>SUM(F161,F142)</f>
        <v>586432</v>
      </c>
      <c r="G162" s="1416">
        <f>SUM(G161,G142)</f>
        <v>665609</v>
      </c>
      <c r="H162" s="853">
        <f>SUM(H161,H142)</f>
        <v>499724</v>
      </c>
    </row>
    <row r="163" spans="1:8" s="1219" customFormat="1" ht="13.5">
      <c r="A163" s="1215"/>
      <c r="B163" s="906" t="s">
        <v>783</v>
      </c>
      <c r="C163" s="115"/>
      <c r="D163" s="226"/>
      <c r="E163" s="1216"/>
      <c r="F163" s="1217"/>
      <c r="G163" s="1417"/>
      <c r="H163" s="1218"/>
    </row>
    <row r="164" spans="1:8" s="1225" customFormat="1" ht="13.5">
      <c r="A164" s="1220"/>
      <c r="B164" s="905" t="s">
        <v>368</v>
      </c>
      <c r="C164" s="1221"/>
      <c r="D164" s="1222"/>
      <c r="E164" s="1216"/>
      <c r="F164" s="1223"/>
      <c r="G164" s="1418"/>
      <c r="H164" s="1224"/>
    </row>
    <row r="165" spans="1:8" s="1225" customFormat="1" ht="13.5">
      <c r="A165" s="1220"/>
      <c r="B165" s="905" t="s">
        <v>369</v>
      </c>
      <c r="C165" s="1221"/>
      <c r="D165" s="1222"/>
      <c r="E165" s="1216"/>
      <c r="F165" s="1223"/>
      <c r="G165" s="1418"/>
      <c r="H165" s="1224"/>
    </row>
  </sheetData>
  <sheetProtection/>
  <mergeCells count="5">
    <mergeCell ref="B162:D162"/>
    <mergeCell ref="B1:D1"/>
    <mergeCell ref="B2:H2"/>
    <mergeCell ref="B3:H3"/>
    <mergeCell ref="B161:D161"/>
  </mergeCells>
  <printOptions horizontalCentered="1"/>
  <pageMargins left="0.31496062992125984" right="0.31496062992125984" top="0.5511811023622047" bottom="0.35433070866141736" header="0.31496062992125984" footer="0.31496062992125984"/>
  <pageSetup fitToHeight="2"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VMJVPH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egyimesine</dc:creator>
  <cp:keywords/>
  <dc:description/>
  <cp:lastModifiedBy>Szabó Balázs</cp:lastModifiedBy>
  <cp:lastPrinted>2016-04-15T09:57:55Z</cp:lastPrinted>
  <dcterms:created xsi:type="dcterms:W3CDTF">2011-11-09T10:58:30Z</dcterms:created>
  <dcterms:modified xsi:type="dcterms:W3CDTF">2016-05-03T10:05:41Z</dcterms:modified>
  <cp:category/>
  <cp:version/>
  <cp:contentType/>
  <cp:contentStatus/>
</cp:coreProperties>
</file>