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15" tabRatio="934" activeTab="0"/>
  </bookViews>
  <sheets>
    <sheet name="1.Onbe" sheetId="1" r:id="rId1"/>
    <sheet name="1.A Norm" sheetId="2" r:id="rId2"/>
    <sheet name="2.Onki" sheetId="3" r:id="rId3"/>
    <sheet name="3.Inbe " sheetId="4" r:id="rId4"/>
    <sheet name="3.A Inbe" sheetId="5" r:id="rId5"/>
    <sheet name="4.Inki" sheetId="6" r:id="rId6"/>
    <sheet name="5.Infelhki" sheetId="7" r:id="rId7"/>
    <sheet name="6.Önk.műk." sheetId="8" r:id="rId8"/>
    <sheet name="6.A Alapítv" sheetId="9" r:id="rId9"/>
    <sheet name="7.Beruh." sheetId="10" r:id="rId10"/>
    <sheet name="8.Felúj." sheetId="11" r:id="rId11"/>
    <sheet name="9.Projekt" sheetId="12" r:id="rId12"/>
    <sheet name="10.MVP és hazai" sheetId="13" r:id="rId13"/>
    <sheet name="11.EKF" sheetId="14" r:id="rId14"/>
    <sheet name="12.Mérleg" sheetId="15" r:id="rId15"/>
    <sheet name="13.Létszám" sheetId="16" r:id="rId16"/>
    <sheet name="14. Többéves" sheetId="17" r:id="rId17"/>
    <sheet name="15.Hitel" sheetId="18" r:id="rId18"/>
    <sheet name="15.A Beruh.hitel" sheetId="19" r:id="rId19"/>
    <sheet name="15.B Beruh.hitel" sheetId="20" r:id="rId20"/>
    <sheet name="16.EU" sheetId="21" r:id="rId21"/>
    <sheet name="17.Közv.tám." sheetId="22" r:id="rId22"/>
    <sheet name="Diagram_bevetelek" sheetId="23" r:id="rId23"/>
    <sheet name="Diagram_kiadasok" sheetId="24" r:id="rId24"/>
    <sheet name="Diagram_kozponti" sheetId="25" r:id="rId25"/>
    <sheet name="Diagram_lefedettseg" sheetId="26" r:id="rId26"/>
    <sheet name="Diagram_mukodesi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4._sz._sor_részletezése" localSheetId="1">#REF!</definedName>
    <definedName name="_4._sz._sor_részletezése" localSheetId="0">#REF!</definedName>
    <definedName name="_4._sz._sor_részletezése" localSheetId="12">#REF!</definedName>
    <definedName name="_4._sz._sor_részletezése" localSheetId="13">#REF!</definedName>
    <definedName name="_4._sz._sor_részletezése" localSheetId="21">#REF!</definedName>
    <definedName name="_4._sz._sor_részletezése" localSheetId="6">#REF!</definedName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 localSheetId="11">#REF!</definedName>
    <definedName name="_4._sz._sor_részletezése">#REF!</definedName>
    <definedName name="_xlnm.Print_Titles" localSheetId="0">'1.Onbe'!$4:$6</definedName>
    <definedName name="_xlnm.Print_Titles" localSheetId="12">'10.MVP és hazai'!$4:$8</definedName>
    <definedName name="_xlnm.Print_Titles" localSheetId="13">'11.EKF'!$4:$8</definedName>
    <definedName name="_xlnm.Print_Titles" localSheetId="15">'13.Létszám'!$5:$5</definedName>
    <definedName name="_xlnm.Print_Titles" localSheetId="16">'14. Többéves'!$5:$8</definedName>
    <definedName name="_xlnm.Print_Titles" localSheetId="20">'16.EU'!$5:$9</definedName>
    <definedName name="_xlnm.Print_Titles" localSheetId="2">'2.Onki'!$4:$6</definedName>
    <definedName name="_xlnm.Print_Titles" localSheetId="4">'3.A Inbe'!$4:$7</definedName>
    <definedName name="_xlnm.Print_Titles" localSheetId="3">'3.Inbe '!$4:$7</definedName>
    <definedName name="_xlnm.Print_Titles" localSheetId="5">'4.Inki'!$4:$7</definedName>
    <definedName name="_xlnm.Print_Titles" localSheetId="6">'5.Infelhki'!$4:$7</definedName>
    <definedName name="_xlnm.Print_Titles" localSheetId="8">'6.A Alapítv'!$5:$8</definedName>
    <definedName name="_xlnm.Print_Titles" localSheetId="7">'6.Önk.műk.'!$4:$7</definedName>
    <definedName name="_xlnm.Print_Titles" localSheetId="9">'7.Beruh.'!$4:$8</definedName>
    <definedName name="_xlnm.Print_Titles" localSheetId="10">'8.Felúj.'!$4:$8</definedName>
    <definedName name="_xlnm.Print_Titles" localSheetId="11">'9.Projekt'!$4:$8</definedName>
    <definedName name="_xlnm.Print_Area" localSheetId="1">'1.A Norm'!$A$1:$E$36</definedName>
    <definedName name="_xlnm.Print_Area" localSheetId="0">'1.Onbe'!$A$1:$J$62</definedName>
    <definedName name="_xlnm.Print_Area" localSheetId="12">'10.MVP és hazai'!$A$1:$P$40</definedName>
    <definedName name="_xlnm.Print_Area" localSheetId="13">'11.EKF'!$A$1:$Q$58</definedName>
    <definedName name="_xlnm.Print_Area" localSheetId="14">'12.Mérleg'!$A$1:$G$38</definedName>
    <definedName name="_xlnm.Print_Area" localSheetId="15">'13.Létszám'!$A$1:$G$34</definedName>
    <definedName name="_xlnm.Print_Area" localSheetId="16">'14. Többéves'!$A$1:$F$86</definedName>
    <definedName name="_xlnm.Print_Area" localSheetId="18">'15.A Beruh.hitel'!$A$1:$F$33</definedName>
    <definedName name="_xlnm.Print_Area" localSheetId="19">'15.B Beruh.hitel'!$A$1:$C$13</definedName>
    <definedName name="_xlnm.Print_Area" localSheetId="17">'15.Hitel'!$A$1:$U$17</definedName>
    <definedName name="_xlnm.Print_Area" localSheetId="2">'2.Onki'!$A$1:$J$40</definedName>
    <definedName name="_xlnm.Print_Area" localSheetId="4">'3.A Inbe'!$A$1:$H$29</definedName>
    <definedName name="_xlnm.Print_Area" localSheetId="3">'3.Inbe '!$A$1:$O$67</definedName>
    <definedName name="_xlnm.Print_Area" localSheetId="5">'4.Inki'!$A$1:$R$138</definedName>
    <definedName name="_xlnm.Print_Area" localSheetId="6">'5.Infelhki'!$A$1:$I$83</definedName>
    <definedName name="_xlnm.Print_Area" localSheetId="8">'6.A Alapítv'!$A$1:$C$27</definedName>
    <definedName name="_xlnm.Print_Area" localSheetId="7">'6.Önk.műk.'!$A$1:$N$511</definedName>
    <definedName name="_xlnm.Print_Area" localSheetId="9">'7.Beruh.'!$A$1:$M$63</definedName>
    <definedName name="_xlnm.Print_Area" localSheetId="10">'8.Felúj.'!$A$1:$L$49</definedName>
    <definedName name="_xlnm.Print_Area" localSheetId="11">'9.Projekt'!$A$1:$P$90</definedName>
  </definedNames>
  <calcPr fullCalcOnLoad="1"/>
</workbook>
</file>

<file path=xl/comments12.xml><?xml version="1.0" encoding="utf-8"?>
<comments xmlns="http://schemas.openxmlformats.org/spreadsheetml/2006/main">
  <authors>
    <author>Eckert Szilvia</author>
  </authors>
  <commentList>
    <comment ref="E6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Hivatalt és intézményeket is beletegyük?</t>
        </r>
      </text>
    </comment>
  </commentList>
</comments>
</file>

<file path=xl/sharedStrings.xml><?xml version="1.0" encoding="utf-8"?>
<sst xmlns="http://schemas.openxmlformats.org/spreadsheetml/2006/main" count="2488" uniqueCount="1025">
  <si>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</si>
  <si>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</si>
  <si>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</si>
  <si>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</si>
  <si>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</si>
  <si>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</si>
  <si>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</si>
  <si>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</si>
  <si>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</si>
  <si>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</si>
  <si>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</si>
  <si>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</si>
  <si>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</si>
  <si>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</si>
  <si>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</si>
  <si>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</si>
  <si>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</si>
  <si>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</si>
  <si>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</si>
  <si>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</si>
  <si>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</si>
  <si>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</si>
  <si>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</si>
  <si>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</si>
  <si>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</si>
  <si>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</si>
  <si>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</si>
  <si>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</si>
  <si>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</si>
  <si>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</si>
  <si>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</si>
  <si>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</si>
  <si>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Hulladéklerakó rekultiváció</t>
  </si>
  <si>
    <t>Kádártai Közösségi Ház átépítése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</si>
  <si>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</si>
  <si>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</si>
  <si>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</si>
  <si>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</si>
  <si>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</si>
  <si>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</si>
  <si>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</si>
  <si>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</si>
  <si>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</si>
  <si>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</si>
  <si>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</si>
  <si>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</si>
  <si>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</si>
  <si>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</si>
  <si>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</si>
  <si>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</si>
  <si>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</si>
  <si>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</si>
  <si>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</si>
  <si>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</si>
  <si>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</si>
  <si>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</si>
  <si>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</si>
  <si>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</si>
  <si>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</si>
  <si>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</si>
  <si>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</si>
  <si>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</si>
  <si>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</si>
  <si>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</si>
  <si>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</si>
  <si>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</si>
  <si>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</si>
  <si>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</si>
  <si>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</si>
  <si>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</si>
  <si>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</si>
  <si>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</si>
  <si>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</si>
  <si>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</si>
  <si>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</si>
  <si>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</si>
  <si>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</si>
  <si>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Kisgyermekes bérlet</t>
  </si>
  <si>
    <t>Máltai Szeretetszolgálatnak pénzeszköz átadás (ellátási szerződés)</t>
  </si>
  <si>
    <t>Családsegítő és Gyermekjóléti Alapszolgáltatási Intézményfenntartó Társulás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</si>
  <si>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</si>
  <si>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</si>
  <si>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</si>
  <si>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</si>
  <si>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</si>
  <si>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</si>
  <si>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</si>
  <si>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</si>
  <si>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</si>
  <si>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Családi ünnepek szervezése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</si>
  <si>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</si>
  <si>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</si>
  <si>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</si>
  <si>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</si>
  <si>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</si>
  <si>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</si>
  <si>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</si>
  <si>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</si>
  <si>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</si>
  <si>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</si>
  <si>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Társadalmi tudatformálási kampányok (mobilitási hét, "Te Szedd", kerékpárral munkába)</t>
  </si>
  <si>
    <t>Városépítészeti feladatok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</si>
  <si>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</si>
  <si>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</si>
  <si>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</si>
  <si>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</si>
  <si>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</si>
  <si>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</si>
  <si>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</si>
  <si>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</si>
  <si>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</si>
  <si>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Közterület Felügyelet, gyepmesteri telep</t>
  </si>
  <si>
    <t>Veszprém Város Közlekedésfejlesztéséért Közalapítvány támogatása (nyugdíjas bérletek)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</si>
  <si>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</si>
  <si>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</si>
  <si>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</si>
  <si>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</si>
  <si>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</si>
  <si>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</si>
  <si>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</si>
  <si>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</si>
  <si>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</si>
  <si>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</si>
  <si>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</si>
  <si>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Megjegyzés</t>
  </si>
  <si>
    <t>Göllesz Viktor Fogyatékos Személyek Nappali Intézménye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</si>
  <si>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</si>
  <si>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</si>
  <si>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</si>
  <si>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</si>
  <si>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</si>
  <si>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</si>
  <si>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</si>
  <si>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</si>
  <si>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</si>
  <si>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</si>
  <si>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</si>
  <si>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</si>
  <si>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</si>
  <si>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</si>
  <si>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</si>
  <si>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Összesen: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</si>
  <si>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</si>
  <si>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</si>
  <si>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</si>
  <si>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</si>
  <si>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</si>
  <si>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</si>
  <si>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</si>
  <si>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</si>
  <si>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</si>
  <si>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</si>
  <si>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</si>
  <si>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</si>
  <si>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</si>
  <si>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</si>
  <si>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</si>
  <si>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</si>
  <si>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</si>
  <si>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</si>
  <si>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</si>
  <si>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</si>
  <si>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</si>
  <si>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</si>
  <si>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</si>
  <si>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</si>
  <si>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</si>
  <si>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ISO 9001 minőségbiztosítás karbantartás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</si>
  <si>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</si>
  <si>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</si>
  <si>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</si>
  <si>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</si>
  <si>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</si>
  <si>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</si>
  <si>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</si>
  <si>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</si>
  <si>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</si>
  <si>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</si>
  <si>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</si>
  <si>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</si>
  <si>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</si>
  <si>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</si>
  <si>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</si>
  <si>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</si>
  <si>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</si>
  <si>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</si>
  <si>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</si>
  <si>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</si>
  <si>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</si>
  <si>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</si>
  <si>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</si>
  <si>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</si>
  <si>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</si>
  <si>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</si>
  <si>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</si>
  <si>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</si>
  <si>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</si>
  <si>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</si>
  <si>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</si>
  <si>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</si>
  <si>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</si>
  <si>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</si>
  <si>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</si>
  <si>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</si>
  <si>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</si>
  <si>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</si>
  <si>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</si>
  <si>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 xml:space="preserve"> - Felmentési idő, jub.jut., végkielégítés</t>
  </si>
  <si>
    <t xml:space="preserve"> - Előző évi hitelszerződéshez kapcs. feladat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</si>
  <si>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</si>
  <si>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</si>
  <si>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</si>
  <si>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</si>
  <si>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</si>
  <si>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</si>
  <si>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</si>
  <si>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</si>
  <si>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</si>
  <si>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</si>
  <si>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</si>
  <si>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</si>
  <si>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</si>
  <si>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</si>
  <si>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</si>
  <si>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</si>
  <si>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</si>
  <si>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</si>
  <si>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</si>
  <si>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</si>
  <si>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</si>
  <si>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</si>
  <si>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</si>
  <si>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</si>
  <si>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</si>
  <si>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</si>
  <si>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</si>
  <si>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</si>
  <si>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</si>
  <si>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</si>
  <si>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</si>
  <si>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</si>
  <si>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</si>
  <si>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</si>
  <si>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</si>
  <si>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</si>
  <si>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</si>
  <si>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</si>
  <si>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</si>
  <si>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</si>
  <si>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</si>
  <si>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</si>
  <si>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</si>
  <si>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</si>
  <si>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</si>
  <si>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</si>
  <si>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</si>
  <si>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</si>
  <si>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</si>
  <si>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</si>
  <si>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</si>
  <si>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</si>
  <si>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</si>
  <si>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</si>
  <si>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</si>
  <si>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</si>
  <si>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</si>
  <si>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</si>
  <si>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</si>
  <si>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</si>
  <si>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</si>
  <si>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</si>
  <si>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</si>
  <si>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</si>
  <si>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</si>
  <si>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Beruházáshoz kapcsolódó működési kiadások:</t>
  </si>
  <si>
    <t>Végleges forgalomba helyezéshez szükséges ingatlanrendezés</t>
  </si>
  <si>
    <t>Út,-járda, parkoló építések tervezési munkái</t>
  </si>
  <si>
    <t>Erdész utca csapadékvízcsatorna tervezés, engedélyezés</t>
  </si>
  <si>
    <t>Pápai u.-Jutasi u. belső krt mellékkötelezettségek</t>
  </si>
  <si>
    <t>Észak - déli út II. szakasz - tervezési feladatok, kisajátítás, engedélyezés</t>
  </si>
  <si>
    <t>Felújításhoz kapcsolódó működési kiadások: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</si>
  <si>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</si>
  <si>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</si>
  <si>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</si>
  <si>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</si>
  <si>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</si>
  <si>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</si>
  <si>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</si>
  <si>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</si>
  <si>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</si>
  <si>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</si>
  <si>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</si>
  <si>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EÜ. Alapell. Intézm. - Cserhát ltp. 1. védőnői tanácsadó és gyermekorv.rendelő felújítása, kialakítása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</si>
  <si>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</si>
  <si>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</si>
  <si>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</si>
  <si>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</si>
  <si>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</si>
  <si>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</si>
  <si>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</si>
  <si>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</si>
  <si>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</si>
  <si>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</si>
  <si>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</si>
  <si>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Kőbánya u. útrekonstrukció</t>
  </si>
  <si>
    <t>TOP-6.5.1 Laczkó Dezső Múzeum energetikai megújítása, előkészítő, engedélyezési terv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</si>
  <si>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</si>
  <si>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</si>
  <si>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</si>
  <si>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</si>
  <si>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</si>
  <si>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</si>
  <si>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</si>
  <si>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</si>
  <si>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</si>
  <si>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</si>
  <si>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Járásszékhely települési önkormányzatok által fenntartott múzeumok szakmai támogatása</t>
  </si>
  <si>
    <t>Önkormányzati bérlakások felújítása</t>
  </si>
  <si>
    <t>Bérlakások üzemeltetési költségei</t>
  </si>
  <si>
    <t>Veszprém Megyei Jogú Város Önkormányzata által</t>
  </si>
  <si>
    <t>Támogatás összege</t>
  </si>
  <si>
    <t>Veszprémi Ifjúsági Közalapítvány</t>
  </si>
  <si>
    <t>Veszprém Város Vegyeskara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</si>
  <si>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</si>
  <si>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</si>
  <si>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</si>
  <si>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</si>
  <si>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Polgármester, Alpolgármesterek</t>
  </si>
  <si>
    <t>Helyi önkormányzatok általános működéséhez és ágazati feladataihoz kapcsolódó támogatások</t>
  </si>
  <si>
    <t>Változás %-a</t>
  </si>
  <si>
    <t>1. Helyi önkormányzatok működésének általános támogatása</t>
  </si>
  <si>
    <t>2.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</si>
  <si>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</si>
  <si>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</si>
  <si>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Kiegészítő támogatás az óvodapedagógusok minősítéséből adódó többletkiadásokhoz</t>
  </si>
  <si>
    <t>Szociális étkeztetés</t>
  </si>
  <si>
    <t>Házi segítségnyújtás</t>
  </si>
  <si>
    <t>Időskorúak nappali intézményi ellátása</t>
  </si>
  <si>
    <t>Családok és hajléktalanok átmeneti elhelyezése</t>
  </si>
  <si>
    <t>Idősek átmeneti és tartós szociális szakosított ellátásának támogatása</t>
  </si>
  <si>
    <t>Gyermekétkeztetés támogatása</t>
  </si>
  <si>
    <t>Rászoruló gyermekek intézményen kívüli szünidei étkeztetése</t>
  </si>
  <si>
    <t>4. Települési önkormányzatok kulturális feladatainak támogatása</t>
  </si>
  <si>
    <t>Megyei hatáskörű városi múzeumok  feladatainak támogatása</t>
  </si>
  <si>
    <t>Megyei könyvtárak feladatainak támogatása</t>
  </si>
  <si>
    <t>Megyeszékhely megyei jogú városok közművelődési támogatása</t>
  </si>
  <si>
    <t>Megyei könyvtár kistelepülési könyvtári célú kiegészítő támogatása</t>
  </si>
  <si>
    <t>Színművészeti szervezetek támogatása</t>
  </si>
  <si>
    <t>Zenekarok támogatása</t>
  </si>
  <si>
    <t>(Csillagvár Waldorf Tagóvoda, Vadvirág Óvoda)</t>
  </si>
  <si>
    <t>tájékoztató jelleggel az Áht. 24.§ (4) bekezdés b) pontja alapján</t>
  </si>
  <si>
    <t>Sorszám</t>
  </si>
  <si>
    <t>Játszóeszközök kopásból, elhasználódásból adódó karbantartása, felújítása</t>
  </si>
  <si>
    <t>Kittenberger K. Növény és Vadaspark Kht. működéséhez hozzájárulás</t>
  </si>
  <si>
    <t>Veszprém TV közszolgálati műsorok támogatása</t>
  </si>
  <si>
    <t>Swing-Swing Kft. (Hangvilla) szolgáltatási szerződés</t>
  </si>
  <si>
    <t>Veszprém Stromfeld A. u. 9/E. szám alatti ingatlanrész rendőrségi körzeti megbízotti iroda működtetése céljára</t>
  </si>
  <si>
    <t>Veszprém Egyetemi és Diák Atlétikai Club</t>
  </si>
  <si>
    <t>Veszprém Kosárlabda Korlátolt Felelősségű Társasággal együttműködési megállapodás (Veszprémi Egyetemi SC kosárlabda szakosztály)</t>
  </si>
  <si>
    <t>Futsal Club Veszprém</t>
  </si>
  <si>
    <t>Cuha Völgye Egyesületi tagdíj (5 Ft/lakos)</t>
  </si>
  <si>
    <t>ÖKOpolisz Klaszter tagdíj</t>
  </si>
  <si>
    <t>Balatoni Szövetség</t>
  </si>
  <si>
    <t>Megyei Jogú Városok Szövetsége tagdíj</t>
  </si>
  <si>
    <t>Máltai Szeretetszolgálat (ellátási szerződés)</t>
  </si>
  <si>
    <t>Központi orvosi ügyelet külső szolgáltatóval történő működtetése, az alapellátási központi orvosi ügyelet további működtetése</t>
  </si>
  <si>
    <t>Önkormányzati kiadások összesen:</t>
  </si>
  <si>
    <t>hiteltörlesztésének, hitelállományának és egyéb kötelezettségeinek alakulásáról</t>
  </si>
  <si>
    <t>Q</t>
  </si>
  <si>
    <t>Hitel megnevezése</t>
  </si>
  <si>
    <t>Hitelt nyújtó pénzintézet</t>
  </si>
  <si>
    <t>Hitelszerződés dátuma</t>
  </si>
  <si>
    <t>Lejárat idő- pontja</t>
  </si>
  <si>
    <t>Hitelkeret</t>
  </si>
  <si>
    <t>OTP Bank</t>
  </si>
  <si>
    <t>Beruházási hitel - SMO 2011.</t>
  </si>
  <si>
    <t>UniCredit Bank</t>
  </si>
  <si>
    <t xml:space="preserve">Beruházási hitel - Célhitel 2013. </t>
  </si>
  <si>
    <t>Beruházási hitel - MFB 2013.</t>
  </si>
  <si>
    <t>Takarékbank</t>
  </si>
  <si>
    <t>7.</t>
  </si>
  <si>
    <t>Pénzintézetekkel szemben fenálló kötelezettségek összesen</t>
  </si>
  <si>
    <t xml:space="preserve">                  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</si>
  <si>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</si>
  <si>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</si>
  <si>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</si>
  <si>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Adóhivatal: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</si>
  <si>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</si>
  <si>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</si>
  <si>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</si>
  <si>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</si>
  <si>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</si>
  <si>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</si>
  <si>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</si>
  <si>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TOP-6.2.1-15-VP1-2016-00002 Gyulafirátóti óvoda újjáépítése</t>
  </si>
  <si>
    <t>ELENA projekt előkészítési feladatokra konzorciumi hozzájárulás</t>
  </si>
  <si>
    <t>TOP-6.2.1-15-VPI-2016-00003 Egry úti óvoda újjáépítése</t>
  </si>
  <si>
    <t>TOP-6.3.3-15-VPI-2016-00001 Kertváros csapadékelvezető rendszer rekonstrukciója I. ütem</t>
  </si>
  <si>
    <t>TOP-6.2.1-15-VPI-2016-00001 Aprófalvi bölcsőde kapacitásbővítő átalakítása</t>
  </si>
  <si>
    <t xml:space="preserve">           - Veszprémi Ifjúsági Közalapítvány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</si>
  <si>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</si>
  <si>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</si>
  <si>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</si>
  <si>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</si>
  <si>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</si>
  <si>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</si>
  <si>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</si>
  <si>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TOP.6.6.1-15-VP2-2016-00001 Egészségház építése</t>
  </si>
  <si>
    <t>TOP-6.6.2-15-VP1-2016-00001 Idős demensek nappali ellátójának kialakítása</t>
  </si>
  <si>
    <t>TOP-6.4-1-15-VP1-2016-00002 Fenntartható Város Mobilitási terv készítése Veszprém Megyei Jogú Város területére (SUMP)</t>
  </si>
  <si>
    <t xml:space="preserve">Család- és gyermekjóléti szolgálat </t>
  </si>
  <si>
    <t>Család- és gyermekjóléti központ</t>
  </si>
  <si>
    <t>Fogyatékos személyek nappali intézményi ellátása</t>
  </si>
  <si>
    <t>Demens személyek nappali intézményi ellátása</t>
  </si>
  <si>
    <t>Bölcsődei, mini bölcsődei ellátás (kedvezményes étk. támog. nélkül)</t>
  </si>
  <si>
    <t>3. Települési önkormányzatok szociális, gyermekjóléti és gyermek-étkeztetési feladatainak támogatása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</si>
  <si>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</si>
  <si>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</si>
  <si>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</si>
  <si>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</si>
  <si>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</si>
  <si>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</si>
  <si>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</si>
  <si>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Projekt költség megbontás</t>
  </si>
  <si>
    <t>2016. évi            tény</t>
  </si>
  <si>
    <t>2016. évi                tény</t>
  </si>
  <si>
    <t>1-16</t>
  </si>
  <si>
    <t>Tőke-törlesztés 2020</t>
  </si>
  <si>
    <t>Kamat 2020</t>
  </si>
  <si>
    <t>Rövid lejáratú hitel (1500M Ft)</t>
  </si>
  <si>
    <t>Beruházási hitel  - MFB 2014</t>
  </si>
  <si>
    <t>Beruházási hitel - Célhitel 2014</t>
  </si>
  <si>
    <t>Polgármesteri Hivatal épületeinek takarítási feladatainak ellátása</t>
  </si>
  <si>
    <t>a Veszprém Megyei Jogú Város Önkormányzata Támogatási Szerződéssel rendelkező</t>
  </si>
  <si>
    <t>Erdész u.-i parkoló építés</t>
  </si>
  <si>
    <t>Orgona utca átépítésének kivitelezése</t>
  </si>
  <si>
    <t>Petőfi Sándor utca rekonstrukciója</t>
  </si>
  <si>
    <t>Stromfeld Aurél utca akadálymentesítés</t>
  </si>
  <si>
    <t>Eü. Alapellátás</t>
  </si>
  <si>
    <t>Megyei Könyvtár kistelepülési könyvtári és közművelődési célú kiegészítő állami támogatás</t>
  </si>
  <si>
    <t>Gépkocsi gumiabroncs beszerzés</t>
  </si>
  <si>
    <t>Mihály-napi búcsú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</si>
  <si>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</si>
  <si>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</si>
  <si>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</si>
  <si>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</si>
  <si>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</si>
  <si>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</si>
  <si>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</si>
  <si>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</si>
  <si>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</si>
  <si>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</si>
  <si>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</si>
  <si>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</si>
  <si>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</si>
  <si>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</si>
  <si>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</si>
  <si>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Önkormányzati tulajdonú ingatlanok művelési ág változásával járó költségek (Földhivatal)</t>
  </si>
  <si>
    <t>Közmű alaptérkép változásvezetés</t>
  </si>
  <si>
    <t>Térinformatikai rendszer adatfeltöltés, fakataszter</t>
  </si>
  <si>
    <t>Óvodai csoportok átmeneti elhelyezését szolgáló konténerek bérleti díja</t>
  </si>
  <si>
    <t>TOP-6.8.2-15-VPI-2016-00001 Helyi foglalkoztatási együttműködések a megyei jogú város területén és várostérségben, foglalkoztatási együttműködés a veszprémi járás területén</t>
  </si>
  <si>
    <t>TOP-6.4.1-15-VP1-2016-00001"Közlekedésbiztonsági és kerékpárosbarát fejlesztések megvalósulása Veszprém város területén"</t>
  </si>
  <si>
    <t>Szentkirályszabadja - Veszprém Reptér tulajdonjogának megszerzéséhez kapcsolódó per- és egyéb költség</t>
  </si>
  <si>
    <t>DAT térképfrissítés, földkönyv, közműnyilvántartás, GPS</t>
  </si>
  <si>
    <t>Rendezési terv felülvizsgálat megjelenítése a térinformatikai rendszerben</t>
  </si>
  <si>
    <t>Hiány finanszírozása belső finanszírozásra szolgáló költségvetési bevétel összegével</t>
  </si>
  <si>
    <t>Hiány finanszírozása külső finanszírozásra szolgáló költségvetési bevétel összegével</t>
  </si>
  <si>
    <t xml:space="preserve">         - Comitatus Társadalomkutató Egyesület - Comitatus Önkormányzati Szemle</t>
  </si>
  <si>
    <t>Veszprémi Szemle Várostörténeti Közhasznú Alapítvány Támogatása</t>
  </si>
  <si>
    <t>Comitatus Társadalomkutató Egyesület - Comitatus Önkormányzati Szemle</t>
  </si>
  <si>
    <t>DTP1-1-311-2.2 Interreg Duna Nemzetközi Program Networld*</t>
  </si>
  <si>
    <t>Országgyűlési képviselők választása 2018.</t>
  </si>
  <si>
    <t>KÖFOP-1.2.1-VEKOP-16-2017-01268, Veszprém Megyei Jogú Város Önkormányzata ASP Központhoz való csatlakozása</t>
  </si>
  <si>
    <t>Csillagvár Waldorf Tagóvoda</t>
  </si>
  <si>
    <t>Hársfa Tagóvoda</t>
  </si>
  <si>
    <t>Nárcisz Tagóvoda</t>
  </si>
  <si>
    <t>Cholnoky Jenő Ltp. Tagóvoda</t>
  </si>
  <si>
    <t>Ficánka Tagóvoda</t>
  </si>
  <si>
    <t>Tárgyi eszközök beszerzésére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</si>
  <si>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</si>
  <si>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</si>
  <si>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</si>
  <si>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</si>
  <si>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</si>
  <si>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</si>
  <si>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Paktum Iroda működéséhez hozzájárulás</t>
  </si>
  <si>
    <t>Magyar-Lengyel Barátság napja</t>
  </si>
  <si>
    <t>Állatmenhelyek támogatása</t>
  </si>
  <si>
    <t>Helikoni Ünnepségek Keszthelyen (diákok nevezési díjai)</t>
  </si>
  <si>
    <t>Hatósági engedélyek beszerzése, hatályban tartása</t>
  </si>
  <si>
    <t>Közlekedési Igazgatóság költségei</t>
  </si>
  <si>
    <t>"Városom Veszprém", "Virágos Magyarországért" és "Entente Florale" verseny szervezési, előkészítési, lebonyolítási költségei</t>
  </si>
  <si>
    <t>Repülőtér üzemeltetése</t>
  </si>
  <si>
    <t>Musica Sacra Alapítvány</t>
  </si>
  <si>
    <t>Veszprémi Deák Ferenc Ált. Iskoláért Közhasznú Alapítvány</t>
  </si>
  <si>
    <t>Fúvós Kultúráért Alapítvány támogatása</t>
  </si>
  <si>
    <t>Balaton Vívóklub</t>
  </si>
  <si>
    <t>DTP1-1-311-2.2 Interreg Duna Nemzetközi Program Netwold</t>
  </si>
  <si>
    <t>TOP 6.1.5-16-VPI-2017-00001 Északi Iparterület Közlekedésfejlesztése</t>
  </si>
  <si>
    <t>MVP Veszprémi Petőfi Színház komplex fejlesztése</t>
  </si>
  <si>
    <t>TOP-6.3.3-15 Csapadékvíz-elvezető rendszer rekonstrukciója I. ütem - Dózsaváros előkészítő, engedélyezési, kiviteli és tender terv</t>
  </si>
  <si>
    <t>Táncsics utcai rendelő felújítása</t>
  </si>
  <si>
    <t>Egészségház közműfejlesztési költségek</t>
  </si>
  <si>
    <t>Védőnői és háziorvosi körzetek költöztetési költsége</t>
  </si>
  <si>
    <t>Állatkert építési engedélyezési tervek</t>
  </si>
  <si>
    <t>Gyulafirátót 10089/4 hrsz-ú ingatlan közműfejlesztési költségei</t>
  </si>
  <si>
    <t>Veszprémi Dózsa György Német Nemzetiségi Nyelvoktató Általános Iskola - nyílászáró csere 2 tanteremben</t>
  </si>
  <si>
    <t>TOP-6.3.3-16-VP1-2017-00001 Dózsaváros, Pápai úti csapadékvíz-elvezető rendszer fejlesztése</t>
  </si>
  <si>
    <t>TOP-6.6.1-16-VP1-2017-00001 Gyulafirátóti rendelő felújítása</t>
  </si>
  <si>
    <t>TOP – 6.3.2 Zöldváros kialakítása (Kulturális negyed - Színházkert, Megyeház tér, Erzsébet liget, Erzsébet sétány – fejlesztése)</t>
  </si>
  <si>
    <t>EFOP-1.9.9-17-2017-00004 Még jobb kezekben - Veszprémben</t>
  </si>
  <si>
    <t>Veszprém, Pápai út 37. szám alatti ingatlanon munkásszállás kialakítása</t>
  </si>
  <si>
    <t>MVP Kittenberger Kálmán Növény- és Vadaspark fejlesztése és bővítése</t>
  </si>
  <si>
    <t>MVP Veszprémi Zeneművészeti Szakgimnázium és Alapfokú Művészeti Iskola intézményegysége, a Csermák Antal Zeneiskola felújításának megvalósítása</t>
  </si>
  <si>
    <t>A Várlift építészeti tervpályázat lebonyolítása</t>
  </si>
  <si>
    <t>Veszprémi Torna Club részére könnyűszerkezetes sportlétesítmény építése</t>
  </si>
  <si>
    <t>Gyulafirátót Németh u. útrekonstrukció I. ütem csapadékvíz elvezetés</t>
  </si>
  <si>
    <t>Veszprém Foci Centrum Utánpótlás SE</t>
  </si>
  <si>
    <t>Veszprémi Egyetemi és Diák Atlétikai Club</t>
  </si>
  <si>
    <t>Török I.u. - Aulich összekötés</t>
  </si>
  <si>
    <t>Máltai Szeretetszolgálat</t>
  </si>
  <si>
    <t>Veszprémi Labdarúgó és Sportszervező Korlátolt Felelősségű Társaság támogatása</t>
  </si>
  <si>
    <t>Fogorvosok működési hozzájárulás</t>
  </si>
  <si>
    <t>Fogorvosi körzet pályázati alap</t>
  </si>
  <si>
    <t>Kulturális kínálat bővítés/ amatőr művészeti csoportok támogatása</t>
  </si>
  <si>
    <t>Tőke-törlesztés 2021</t>
  </si>
  <si>
    <t>Kamat 2021</t>
  </si>
  <si>
    <t>Hiszek Benned Sport Program</t>
  </si>
  <si>
    <t>Veszprémi Kistérségi Társulásnak pénzeszköz átadás (Egyesített Szoc.Int.)</t>
  </si>
  <si>
    <t>Közutak, hidak fenntartása</t>
  </si>
  <si>
    <t>2019. év</t>
  </si>
  <si>
    <t xml:space="preserve"> - Viziközmű fejlesztés</t>
  </si>
  <si>
    <t>Művészetek Háza Veszprém Művelődési Ház és Kiállítóhely</t>
  </si>
  <si>
    <t>Kabóca Bábszínház</t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</si>
  <si>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</si>
  <si>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</si>
  <si>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</si>
  <si>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 xml:space="preserve">Kabóca Bábszínház </t>
  </si>
  <si>
    <t>2017. évi tény</t>
  </si>
  <si>
    <t>TOP-6.4.1-16-VP1-17-00001 Kerékpárút építése Alsóörs - Felsőörs irányába</t>
  </si>
  <si>
    <t>TOP-6.5.1-16-VP1-2017-00001 Veszprém Városra vonatkozó fenntartható energia és klíma akcióterv (SECAP) elkészítése</t>
  </si>
  <si>
    <t>EFOP-2.4.2-17-2018-00012 Szociális bérlakások felújítása Veszprémben</t>
  </si>
  <si>
    <t>Időközi helyi önkormányzati képviselő választás 2018.</t>
  </si>
  <si>
    <t>TOP-6.6.1-16-VP1-2017-00002 Kádártai rendelő felújítása</t>
  </si>
  <si>
    <t>601835-CITIZ-1-2018-1-HU-CITIZ-NT Reveal YouropEaN Cultural Heritage/Tárd fel  európai kulturális örökségedet (ENriCH)</t>
  </si>
  <si>
    <t>Mentorprogram pályakezdők részre, együttműködési megállapodás az Életet Segítő Alapítvánnyal az 57/2018. (III.29.) határozat alapján</t>
  </si>
  <si>
    <t>TOP-6.4.1-15-VP1-2016-00001 Közlekedésbiztonsági és kerékpárosbarát fejlesztések megvalósulása Veszprém város területén</t>
  </si>
  <si>
    <t>** Ezen projektek esetében a 2018. évi EU támogatás negatív előirányzata az EU támogatás visszautalását jelenti.</t>
  </si>
  <si>
    <t>*** A projekt a támogatási szerződés szerint nettó módon finanszírozott (az előirányzatok az ÁFA összegét  nem tartalmazzák)</t>
  </si>
  <si>
    <t>2019. évi engedélyezett létszám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</si>
  <si>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</si>
  <si>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</si>
  <si>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</si>
  <si>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</si>
  <si>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</si>
  <si>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Nemzetiségi pótlék</t>
  </si>
  <si>
    <t>Óvodai és iskolaiszociális segítő tevékenység támogatása</t>
  </si>
  <si>
    <t>Napsugár Bölcsőde</t>
  </si>
  <si>
    <t>TOP-6.4.1-16-VP1-2018-00002 Kerékpárút építése Márkó-Bánd települések irányába</t>
  </si>
  <si>
    <t xml:space="preserve">          - 10 éves kiadvány</t>
  </si>
  <si>
    <t>Veszprém Város Vegyeskar utánpótlás/Dúdoló Kórus</t>
  </si>
  <si>
    <t>Oktatási intézmények támogatása</t>
  </si>
  <si>
    <t>Téli rezsicsökkentésben nem részesültek egyszeri támogatása</t>
  </si>
  <si>
    <t>V-Busz Kft. Szolgáltatás vásárlás</t>
  </si>
  <si>
    <t>Környezet terhelés vizsgálat K-Ny-i főtengely I. ütem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</si>
  <si>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</si>
  <si>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</si>
  <si>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orvosi rendelők felújításához tartozó költöztetési munkák</t>
  </si>
  <si>
    <t>Felújításra kerülő bölcsődék költöztetési, eszközszállítási feladatai</t>
  </si>
  <si>
    <t xml:space="preserve">EFOP-1.9.9-17-2017-00004 Még jobb kezekben - Veszprémben </t>
  </si>
  <si>
    <t>V-Busz Kft. Cégalapítás költségei</t>
  </si>
  <si>
    <t>Digitális Kódfejtő Alapítvány támogatása/Talentum Centrum Tehetséggondozó Alapítvány</t>
  </si>
  <si>
    <t>TOP-71.1. Helyi közösségi kezdeményezések (CLLD kulcsprojekt előkészítése)</t>
  </si>
  <si>
    <t>TOP-6.9.2 A helyi identitás és koházió erősítése</t>
  </si>
  <si>
    <t>Erasmus+K3 SporTown</t>
  </si>
  <si>
    <t>Gyulafirátóti rendelő felújítása költöztetés)</t>
  </si>
  <si>
    <t>Kádártai rendelő felújítása - Posta költöztetés</t>
  </si>
  <si>
    <t>9.sz. választókerületi járdaépítések</t>
  </si>
  <si>
    <t>A "Helyi foglalkoztatási együttműködések a megyei jogú város területén és várostérségben, foglalkoztatási együttműködés a veszprémi járás területén" projekt közbeszerzési eljárásával kapcsolatos fizetési kötelezettség</t>
  </si>
  <si>
    <t>Infrastruktúra fejlesztési feladatokhoz kapcsolódó kiadások</t>
  </si>
  <si>
    <t>Belváros komplett gazdasági, szociális, épített örökségvédelmi rehabilitációja és városfejlesztési stratégia elkészítése KDOP-3.1.1/D-2010-0001</t>
  </si>
  <si>
    <t>TOP-6.6.1-16-VP1 Jutasi u. 59. sz. alatti rendelő megújítása</t>
  </si>
  <si>
    <t>Jutasi u. 59. sz. alatti rendelő felújításához - költöztetés</t>
  </si>
  <si>
    <t>TOP 6.5.1-16 Önkormányzati épületek energetikai korszerűsítése</t>
  </si>
  <si>
    <t>MVP "Veszprémi új Városi Jégcsarnok építése"</t>
  </si>
  <si>
    <t>Tornászgyakorló kivitelezéséhez kapcsolódó közbeszerzés</t>
  </si>
  <si>
    <t>Veszprém, Óvári Ferenc u. 1. volt Zeneiskolában kiállításhoz szükséges költségekre</t>
  </si>
  <si>
    <t>Közbeszerzési szakértelem beszerzése (sportmarketing)</t>
  </si>
  <si>
    <t>Tagsági díj Balatoni Szövetség</t>
  </si>
  <si>
    <t>Felsőörs raktárbázis Felsőörs Szabadság tér 14 érintésvédelmi felülvizsgálata hatósági kötelezettség</t>
  </si>
  <si>
    <t>GINOP - 7.1.9-17-2018-00023 Veszprém kulturális turisztikai kínálatának fejlesztése</t>
  </si>
  <si>
    <t>Barátság park sportfejlesztések előkészítése, közmű ellátása</t>
  </si>
  <si>
    <t>Játszótérépítések</t>
  </si>
  <si>
    <t>Boglárka u.-Lóczy u. gyalogátkelő</t>
  </si>
  <si>
    <t>Festő utca rekonstrukciója, tervezés</t>
  </si>
  <si>
    <t>Polgármesteri Hivatal felújítási munkák</t>
  </si>
  <si>
    <t>Magyar Építőipari Múzeum Szent István u. épület fertőtlenítése és felújítása</t>
  </si>
  <si>
    <t>Védett sírok felújítása az Alsóvárosi temetőben</t>
  </si>
  <si>
    <t>Szilágyi Táncegyüttes Alapítvány</t>
  </si>
  <si>
    <t>Cholnoky Jazzbalettért Alapítvány</t>
  </si>
  <si>
    <t>Szent Miklós szeg környezetének fejlesztése, építészeti ötletpályázat</t>
  </si>
  <si>
    <t>Befektetés ösztönzési kiadványök (részvétel a Renexpo ingatlanfejlesztési vásáron, marketingakciók)</t>
  </si>
  <si>
    <t>Egyesített Szoc.Int. - Hóvirág utcai II.sz. Gondozási Központ 3.sz. Idősek Nappali Intézménye (9.vk. támogatása)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</si>
  <si>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</si>
  <si>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</si>
  <si>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</si>
  <si>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</si>
  <si>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</si>
  <si>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I. Adósságot keletkeztető ügyletek összesen</t>
  </si>
  <si>
    <t>R</t>
  </si>
  <si>
    <t>S</t>
  </si>
  <si>
    <t>Tőke-törlesztés 2022</t>
  </si>
  <si>
    <t>Kamat 2022</t>
  </si>
  <si>
    <t>8.</t>
  </si>
  <si>
    <t>TOP-6.2.1-16-VP1-2018-00002 Egry úti óvoda újjáépítése</t>
  </si>
  <si>
    <t xml:space="preserve">TOP 6.5.1-16 Önkormányzati épületek energetikai korszerűsítése </t>
  </si>
  <si>
    <t>URBACT Innova Tor</t>
  </si>
  <si>
    <t>Projekt teljes költség</t>
  </si>
  <si>
    <t>2023. évi előirányzat</t>
  </si>
  <si>
    <t xml:space="preserve">Rekultivációt megelőző telephely fenntartási költség </t>
  </si>
  <si>
    <t>TOP-6.6.1-16-VP1-2018-00006 - Cserhát ltp.1.sz.alatti gyermekorvosi rendelők  felújítása</t>
  </si>
  <si>
    <t>TOP-6.5.1-16-VP1-2018-00005 - Március 15. utcai Sportcsarnok és Uszoda energetikai megújítása</t>
  </si>
  <si>
    <t>TOP-6.5.1-16-VP1-2018-00002 Völgyikút utca 2. szám alatti épület energetikai megújítása</t>
  </si>
  <si>
    <t>TOP-6.2.1-16-VP1-2018-00001  A Veszprémi Bölcsődei és Egészségügyi Alapellátási Integrált Intézmény Módszertani Bölcsődéje megújítása, illetve bölcsődei eszközbeszerzések</t>
  </si>
  <si>
    <t xml:space="preserve"> - Beruházási kiadásokra képzett céltartalék                     </t>
  </si>
  <si>
    <t xml:space="preserve"> - Intézményi beruházáshoz kapcsolódó létszámbővítés</t>
  </si>
  <si>
    <t>Hitel összege 2020. év</t>
  </si>
  <si>
    <t xml:space="preserve">          - Beiskolázási támogatás</t>
  </si>
  <si>
    <t>Magyarország gazdasági stabilitásáról szóló 2011. évi CXCIV. törvény szerint Kormányengedélyhez kötött, adósságot keletkeztető ügylet</t>
  </si>
  <si>
    <t>TOP-6.2.1-16-VP1-2018-00001  A Veszprémi Bölcsődei és Egészségügyi Alapellátási Integrált Intézmény Módszertani Bölcsődéje megújítása, illetve bölcsődei eszközbeszerzések (saját forrás)</t>
  </si>
  <si>
    <t>TOP-6.2.1-16-VP1-2018-00002 Egry úti óvoda újjáépítése (saját forrás)</t>
  </si>
  <si>
    <t>TOP-6.5.1-16-VP1-2018-00002 Völgyikút utca 2. szám alatti épület energetikai megújítása (saját forrás)</t>
  </si>
  <si>
    <t>2020. év</t>
  </si>
  <si>
    <t>2021. év</t>
  </si>
  <si>
    <t>2022. év</t>
  </si>
  <si>
    <t>Több éves kihatással járó döntések számszerűsítése éves bontásban</t>
  </si>
  <si>
    <t>2020. évi költségvetési bevételei</t>
  </si>
  <si>
    <t>2020. évi saját bevételei</t>
  </si>
  <si>
    <t>2018. évi           tény</t>
  </si>
  <si>
    <t>2019. évi eredeti előirányzat</t>
  </si>
  <si>
    <t>2019. évi várható</t>
  </si>
  <si>
    <t>2020. évi  előirányzat</t>
  </si>
  <si>
    <t>2020. évi költségvetési kiadásai</t>
  </si>
  <si>
    <t>2018. évi tény</t>
  </si>
  <si>
    <t>2020. évi előirányzat</t>
  </si>
  <si>
    <t>2020. évi kiadási előirányzat</t>
  </si>
  <si>
    <t>2020. évi bevételi előirányzat</t>
  </si>
  <si>
    <t>VMJV Polgármesteri Hivatal összesen:</t>
  </si>
  <si>
    <t>2020. évi felhalmozási költségvetési kiadások előirányzata</t>
  </si>
  <si>
    <t>Önkormányzati feladatok és egyéb kötelezettségek 2020. évi működési költségvetési kiadásai</t>
  </si>
  <si>
    <t>Veszprémi Bóbita Körzeti Óvoda                                                                    (Hársfa Tagóvoda, Bóbita Óvoda)</t>
  </si>
  <si>
    <t>Veszprémi Ringató Körzeti Óvoda                                                              (Ringató Óvoda, Erdei Tagóvoda, Kuckó Tagóvoda)</t>
  </si>
  <si>
    <t>Veszprémi Egry úti Körzeti Óvoda                                                                          (Egry ltp. Óvoda, Nárcisz Tagóvoda)</t>
  </si>
  <si>
    <t>Veszprémi Csillag úti Körzeti Óvoda                                                                   (Csillag úti Óvoda, Cholnoky ltp. Óvoda)</t>
  </si>
  <si>
    <t>Teljesítés                      2018.          12.31.-ig</t>
  </si>
  <si>
    <t>2020. év utáni javaslat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</si>
  <si>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</si>
  <si>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</si>
  <si>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</si>
  <si>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</si>
  <si>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</si>
  <si>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</si>
  <si>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</rPr>
      <t>TOP – 6.9.2 -16-VP1-2018-00001</t>
    </r>
    <r>
      <rPr>
        <sz val="10"/>
        <rFont val="Palatino Linotype"/>
        <family val="1"/>
      </rPr>
      <t xml:space="preserve"> Közösségfejlesztés Veszprém város településrészein</t>
    </r>
  </si>
  <si>
    <t>Európa Parlament tagjainak 2019. évi választása</t>
  </si>
  <si>
    <t>Helyi és nemzetiségi önkormányzati képviselők 2019. évi választása</t>
  </si>
  <si>
    <t>Európai Uniós forrásból finanszírozott támogatással megvalósuló programok, projektek 2020. évi költségvetési kiadásainak előirányzata</t>
  </si>
  <si>
    <t>Teljesítés                      2018.          12.31.-ig*</t>
  </si>
  <si>
    <t>2018. évi              tény</t>
  </si>
  <si>
    <t>alakulása 2019. és 2020. évben</t>
  </si>
  <si>
    <t>2020/2019.</t>
  </si>
  <si>
    <t xml:space="preserve"> - Működési kiadásokra képzett céltartalék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</si>
  <si>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</si>
  <si>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</si>
  <si>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</si>
  <si>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</si>
  <si>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>TOP-6.6.1-16-VP1-2018-0003 "Jutasi u. 59. sz. alatti orvosi rendelők megújítása"</t>
  </si>
  <si>
    <t xml:space="preserve">Előir. csop. </t>
  </si>
  <si>
    <t>Kie-melt előir.</t>
  </si>
  <si>
    <t xml:space="preserve">Kie-melt előir. </t>
  </si>
  <si>
    <t>Kisértékű tárgyi eszközök (székek, szőnyegek, bútorok, egyéb kisértékű tárgyi eszközök)</t>
  </si>
  <si>
    <t xml:space="preserve"> Erdei és Kuckó Tagóvoda</t>
  </si>
  <si>
    <t>Önkormányzati működési kiadások</t>
  </si>
  <si>
    <t>2020. évi beruházási és egyéb felhalmozási célú kiadások előirányzata</t>
  </si>
  <si>
    <t>2020. évi felújítási kiadások előirányzata</t>
  </si>
  <si>
    <t>INTÉZMÉNYEK BERUHÁZÁSI KIADÁSAI ÖSSZESEN:</t>
  </si>
  <si>
    <t>VMJV  Polgármesteri Hivatal beruházási kiadásai összesen:</t>
  </si>
  <si>
    <t>BERUHÁZÁSI KIADÁSOK MINDÖSSZESEN:</t>
  </si>
  <si>
    <t>alapítványoknak, egyesületeknek, civil szervezeteknek, társadalmi szervezeteknek nyújtott támogatásokról 2020. évben</t>
  </si>
  <si>
    <t>Európa Kulturális Főváros 2020. évi költségvetési kiadásainak előirányzata</t>
  </si>
  <si>
    <t>KÖLTSÉGVETÉSI BEVÉTELEI ÉS KIADÁSAI 2020. ÉVBEN</t>
  </si>
  <si>
    <t>2020. évi   előirányzat</t>
  </si>
  <si>
    <t>2020. évi    előirányzat</t>
  </si>
  <si>
    <t>a 2020. évi engedélyezett létszámról</t>
  </si>
  <si>
    <t>2020. évi engedélyezett létszám</t>
  </si>
  <si>
    <t>2020.</t>
  </si>
  <si>
    <t>2021-től</t>
  </si>
  <si>
    <t>a 2020. évi közvetett támogatásokról</t>
  </si>
  <si>
    <t>Erasmus +K3 SporTown</t>
  </si>
  <si>
    <t>TOP-6.5.1-16-VP1-2018-00004 Aprófalvi bölcsőde energetikai korszerűsítése</t>
  </si>
  <si>
    <t>TOP-6.6.1-16-VP1-2017-00002 Kádártai rendelő kialakítása</t>
  </si>
  <si>
    <t>TOP-6.5.1-16-VP1-2018-00006 Módszertani bölcsőde energetikai megújítása</t>
  </si>
  <si>
    <t>TOP-6.6.1-16-VP1-2018-00004 Vilonyai utca 2/B szám alatti orvosi rendelő megújítása</t>
  </si>
  <si>
    <t>TOP-6.6.1-16-VP1-2018-00005 Ördögárok u. 5.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</si>
  <si>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</si>
  <si>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</si>
  <si>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TOP-6.4.1-16 Kerékpárút és kerékpárforgalmi létesítmények építése Veszprém-Gyulafirátót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</si>
  <si>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</si>
  <si>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</si>
  <si>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 xml:space="preserve">Urbact Innova-tor </t>
  </si>
  <si>
    <t>"Creative Impulses for the Cities" DTP Interreg projekt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</si>
  <si>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</si>
  <si>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</si>
  <si>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</si>
  <si>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</si>
  <si>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Urban Innovative Actions Európai Uniós közösségi kezdeményezés</t>
  </si>
  <si>
    <t>TOP-6.9 "Közösségfejlesztés Veszprém város településrészein</t>
  </si>
  <si>
    <t>Erasmus+ KA1 " Media of the Future</t>
  </si>
  <si>
    <t>TOP-6.5-1-19 Laczkó Dezső Múzeum energetikai megújítása</t>
  </si>
  <si>
    <t>KEHOP-5.2.2 VSZC Ipari Szakgimnázium energetikai fejlesztése</t>
  </si>
  <si>
    <t>Iparos Park</t>
  </si>
  <si>
    <t>Veszprémi Petőfi Színház komplex fejlesztése</t>
  </si>
  <si>
    <t>Kittenberger Kálmán Növény- és Vadaspark fejlesztése és bővítése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</si>
  <si>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</si>
  <si>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</si>
  <si>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felújítása - I. ütem</t>
  </si>
  <si>
    <t>Veszprémi Atlétikai Stadion megvalósítás - II. ütem</t>
  </si>
  <si>
    <t>MVP feladatok előkészítés költségei</t>
  </si>
  <si>
    <t>Európa Kulturális Fővárosa I. ütem - nem elszámolható költségek</t>
  </si>
  <si>
    <t>Karácsonyi köztéri dekorációk beszerzése</t>
  </si>
  <si>
    <t>Kertészeti felújítások</t>
  </si>
  <si>
    <t>Játszótér építése</t>
  </si>
  <si>
    <t>Csikász u., Egyetem u., Stadion u., Hóvirág u. tömbbelső</t>
  </si>
  <si>
    <t>Hősök kapuja vizesedési gondok</t>
  </si>
  <si>
    <t>Intézményi játszóeszközök</t>
  </si>
  <si>
    <t>Térfigyelő kamerák</t>
  </si>
  <si>
    <t>Agóra parkoló, Halle u.</t>
  </si>
  <si>
    <t>TÁMOP-3.1.3-11/2-2012-0061 "Természettudományos közoktatási laboratórium kialakítása a veszprémi Ipari Szakközépiskola és Gimnáziumban"</t>
  </si>
  <si>
    <t>Kreatív Európa Program "Az együttműködés iskolája" projekt önerő</t>
  </si>
  <si>
    <t>Beruházások közműdíjai</t>
  </si>
  <si>
    <t>Leégett párizsi Notre Dame Katedrális támogatása</t>
  </si>
  <si>
    <t>Illegális hulladéklerakók felszámolása KIEFO/14535/2019-ITM</t>
  </si>
  <si>
    <t>Vörösmarty tér tömbbelső fejlesztés, I. ütem (csapadékvíz elvezés kiépítése) + II. ütem</t>
  </si>
  <si>
    <t>Petőfi Sándor utca rekonstrukciójai-III. ütem</t>
  </si>
  <si>
    <t>Csererdő csapadékvíz -tervezés</t>
  </si>
  <si>
    <t>6.vk. Gyalogátkelőhely tervezése (Ady E. u)</t>
  </si>
  <si>
    <t>Parkoló tervezése a Halle u.-i szám előtti területen</t>
  </si>
  <si>
    <t>Egry úti Óvoda újjáépítése miatt szükséges óvodai felújítások, konténer ovi telepítése</t>
  </si>
  <si>
    <t>Nagyfelületű út- és járdafelújítások</t>
  </si>
  <si>
    <t>Vízrendezési feladatok, árkok felújítása</t>
  </si>
  <si>
    <t>Kertvárosi utcák felújítása víziközmű rekonstrukció után</t>
  </si>
  <si>
    <t>Elkorhadt nyílászárók cseréje II. ütem</t>
  </si>
  <si>
    <t>Árnyékolás két pavilon teraszán</t>
  </si>
  <si>
    <t>Hátsó épület utólagos vízszigetelése, külső terepszint süllyesztése</t>
  </si>
  <si>
    <t>Erdei Tagóvoda</t>
  </si>
  <si>
    <t>Terasz árnyékolás</t>
  </si>
  <si>
    <t>Kuckó Tagóvoda</t>
  </si>
  <si>
    <t>Veszprémi Egry Úti Körzeti Óvoda</t>
  </si>
  <si>
    <t>Ereszcsatorna bővítés, csapadékelvezetés</t>
  </si>
  <si>
    <t>Burkolat cseréje szélfogóban, folyosón</t>
  </si>
  <si>
    <t>Veszprémi Csillag Úti Körzeti Óvoda</t>
  </si>
  <si>
    <t>Cholnoky Jenő Tagóvoda</t>
  </si>
  <si>
    <t>Éjszakai áramkör kialakítása</t>
  </si>
  <si>
    <t>Elektromos hálózat felújítása I. ütem</t>
  </si>
  <si>
    <t>Veszprémi Bölcsődei és Eü.Alapell. Integrált Int.</t>
  </si>
  <si>
    <t>Terasz árnyékolás megoldása 3 pavilonnál</t>
  </si>
  <si>
    <t>Vass-Gyűjtemény</t>
  </si>
  <si>
    <t>Kazán csere</t>
  </si>
  <si>
    <t>Fan-coil fűtési rendszer javítása</t>
  </si>
  <si>
    <t>Európa Kulturális Fővárosa beruházási feladatok (tervezés-előkészítés)</t>
  </si>
  <si>
    <t>Európa Kulturális Fővárosa II. ütem</t>
  </si>
  <si>
    <t>Működési kiadások</t>
  </si>
  <si>
    <t>Felhalmozási kiadások</t>
  </si>
  <si>
    <t>Európa Kulturális Fővárosa I. ütem</t>
  </si>
  <si>
    <t>Önkormányzati érdekeket érintő településrendezése eszközök módosítása-2019</t>
  </si>
  <si>
    <t>Petőfi Sándor utca rekonstrukciója I-III. ütem</t>
  </si>
  <si>
    <t>Vörösmarty tér tömbbelső fejlesztés, I. ütem (csapadékvíz elvezetés kiépítése) + II. ütem</t>
  </si>
  <si>
    <t>Kulturális negyed tervezése II. ütem</t>
  </si>
  <si>
    <t>Bolgár Mihály utcai híd áteresz kapacitás bővítés, tervezés, engedélyezés, kivitelezés</t>
  </si>
  <si>
    <t>Egry utcai óvoda új villamos és gáz betáp vezeték tervezése és kiépítése, villamos kapacitásbővítés</t>
  </si>
  <si>
    <t>Gyulafirátóti köztéri játszótér eszközeinek elhelyezése</t>
  </si>
  <si>
    <t>82-es út közlekedésbiztonsági fejlesztése</t>
  </si>
  <si>
    <t xml:space="preserve">Erdőtelepítés és utógondozás (a 241/2009.(IX.15.) Közgyűlési határozat; Erdészeti Hatóság 28.3/1176-7/2010.(V.25.) és VE-G-001/3883-8/2013. sz. határozata; 298/2009.(X.20.) Vfkb és 48/2010.(II.16.) Vfkb </t>
  </si>
  <si>
    <t xml:space="preserve">Utcanévtáblák </t>
  </si>
  <si>
    <t>Kézi hulladékgyűjtők beszerzése</t>
  </si>
  <si>
    <t>Térfigyelő rendszer bővítése 51/2011. (IV.29.) VMJV Önk.</t>
  </si>
  <si>
    <t>Veszprém 0105/1 hrsz.alatti nem veszélyes hulladéklerakó részletes tényfeltárása</t>
  </si>
  <si>
    <t>8.vk. Hulladékgyűjtő elhelyezése a Kalmár térre</t>
  </si>
  <si>
    <t>8.vk. Kutyaürülék gyűjtő elhelyezése a Kalmár téren</t>
  </si>
  <si>
    <t>Hulladéklerakó környezetének vizsgálata és rekultiváció</t>
  </si>
  <si>
    <t>József Attila utca és Takácskert utcai körforgalmi csomópont tervezése</t>
  </si>
  <si>
    <t>Diósi M. u. parkolóépítés tervezés</t>
  </si>
  <si>
    <t>Közvilágítás fejlesztése (Zrínyi Miklós utca és a Káposztáskert utca)</t>
  </si>
  <si>
    <t>Helikopter statikus elhelyezése</t>
  </si>
  <si>
    <t>Közműalagút vészjelző rendszer tervezése és cseréje</t>
  </si>
  <si>
    <t>Vízbázisvédelmi feladatok KDKvTvVF 27063/05. sz. határozat</t>
  </si>
  <si>
    <t>Barátság park sport fejlesztések előkészítése, közmű ellátása</t>
  </si>
  <si>
    <t>CLLD - Városrészi közösségi és kulturális terek infrastrukturális felújítása, átépítése</t>
  </si>
  <si>
    <t>Aradi Vértanúk emlékmű pályázat tervezési díja</t>
  </si>
  <si>
    <t>Elektromos személygépjármű beszerzése 2 db.</t>
  </si>
  <si>
    <t>Völgyikút u. 2. villamos mérőhely kialakítás</t>
  </si>
  <si>
    <t>Járásszékhely múzeumok szakmai támogatása</t>
  </si>
  <si>
    <t>6.vk. Konstruktív dézsa</t>
  </si>
  <si>
    <t>Káposztáskert utcai távközlési kábel áthelyezése és új kiépítése</t>
  </si>
  <si>
    <t>VKSZ Zrt. által ellátott EKF feladatok</t>
  </si>
  <si>
    <t>Infrastrukturális feladatok</t>
  </si>
  <si>
    <t>Magyar Kórusok találkozója</t>
  </si>
  <si>
    <t>Dózsa György u. 34. 726/1 hrsz.-ú ingatlan vásárlás</t>
  </si>
  <si>
    <t>Játszóeszközök felújítása (78/2003 GKM rendelet)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</si>
  <si>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</si>
  <si>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</si>
  <si>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</si>
  <si>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</si>
  <si>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Veszprém - Balaton 2023 Zrt. törzstőke emelés</t>
  </si>
  <si>
    <t>Veszprém - Balaton 2023 Zrt. tőketartalékba helyezés</t>
  </si>
  <si>
    <t>Padbeszerzés és kihelyezés, avult padok bontása (141/2008(IV.22.) VFKB és 215/2008(VI.20.) VFKB</t>
  </si>
  <si>
    <t>MLSZ TAO pályaépítési program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</si>
  <si>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</si>
  <si>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</si>
  <si>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</si>
  <si>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>Veszprém, Batthyány utca járda és tér rendezése a Görgey Artúr utca és a Batthyány utca közötti szakaszon</t>
  </si>
  <si>
    <t>Ady u. gyalogátkelőhely kialakítás</t>
  </si>
  <si>
    <t>Csillag úti óvoda parkoló építés</t>
  </si>
  <si>
    <t>Agóra VKK -Villámhárító tervezése, kivitelezése (Gyulafirátót)</t>
  </si>
  <si>
    <t>MKSZ Tornacsarnok Felújítási Program</t>
  </si>
  <si>
    <t>V-Busz Kft. - autóbusz vásárlás</t>
  </si>
  <si>
    <t>Modern Városok Program és más hazai finanszírozásból megvalósuló feladatok 2020. évi költségvetési kiadásainak előirányzata</t>
  </si>
  <si>
    <t xml:space="preserve"> - Képviselői keret</t>
  </si>
  <si>
    <t>2020. március 1-től</t>
  </si>
  <si>
    <t>Bábos raktár nyitott bútorzat befejezése</t>
  </si>
  <si>
    <t>Mosókonyha bejárati ajtó csere</t>
  </si>
  <si>
    <t>Asztali számítógép beszerzése</t>
  </si>
  <si>
    <r>
      <t>Tárgyi eszközök beszerzése</t>
    </r>
    <r>
      <rPr>
        <i/>
        <sz val="10"/>
        <rFont val="Palatino Linotype"/>
        <family val="1"/>
      </rPr>
      <t xml:space="preserve"> (mosógép)</t>
    </r>
  </si>
  <si>
    <t>20 m2-es faház, játéktárolónak</t>
  </si>
  <si>
    <r>
      <t xml:space="preserve">Tárgyi eszközök beszerzése </t>
    </r>
    <r>
      <rPr>
        <i/>
        <sz val="10"/>
        <rFont val="Palatino Linotype"/>
        <family val="1"/>
      </rPr>
      <t>(mosógép, gáztűzhely)</t>
    </r>
  </si>
  <si>
    <r>
      <t xml:space="preserve">Tárgyi eszközök beszerzése </t>
    </r>
    <r>
      <rPr>
        <i/>
        <sz val="10"/>
        <rFont val="Palatino Linotype"/>
        <family val="1"/>
      </rPr>
      <t>(öltöző szekrény, varrógép)</t>
    </r>
  </si>
  <si>
    <r>
      <t xml:space="preserve">Tárgyi eszközök beszerzése </t>
    </r>
    <r>
      <rPr>
        <i/>
        <sz val="10"/>
        <rFont val="Palatino Linotype"/>
        <family val="1"/>
      </rPr>
      <t>(mosógép, szárítógép, hűtőszekrény)</t>
    </r>
  </si>
  <si>
    <r>
      <t xml:space="preserve">Tárgyi eszközök beszerzése </t>
    </r>
    <r>
      <rPr>
        <i/>
        <sz val="10"/>
        <rFont val="Palatino Linotype"/>
        <family val="1"/>
      </rPr>
      <t>(mosógép, hűtőszekrény)</t>
    </r>
  </si>
  <si>
    <t>Gyulafirátóti Bölcsőde</t>
  </si>
  <si>
    <t>Védőnői Szolgálat</t>
  </si>
  <si>
    <t>Oktatási eszközök vásárlása iskolavédőnők részére</t>
  </si>
  <si>
    <r>
      <t xml:space="preserve">Tárgyi eszközök beszerzése </t>
    </r>
    <r>
      <rPr>
        <b/>
        <sz val="10"/>
        <rFont val="Palatino Linotype"/>
        <family val="1"/>
      </rPr>
      <t xml:space="preserve">Mikszáth K.u.13. </t>
    </r>
  </si>
  <si>
    <r>
      <t xml:space="preserve">Tárgyi eszközök beszerzése </t>
    </r>
    <r>
      <rPr>
        <b/>
        <sz val="10"/>
        <rFont val="Palatino Linotype"/>
        <family val="1"/>
      </rPr>
      <t>Pápai út 37. - CSÁO</t>
    </r>
  </si>
  <si>
    <r>
      <t xml:space="preserve">Tárgyi eszközök beszerzése </t>
    </r>
    <r>
      <rPr>
        <b/>
        <sz val="10"/>
        <rFont val="Palatino Linotype"/>
        <family val="1"/>
      </rPr>
      <t>Rózsa u. 48</t>
    </r>
  </si>
  <si>
    <t>Mosógép (adomány)</t>
  </si>
  <si>
    <r>
      <rPr>
        <b/>
        <sz val="10"/>
        <rFont val="Palatino Linotype"/>
        <family val="1"/>
      </rPr>
      <t xml:space="preserve">TOP – 6.9.2 -16-VP1-2018-00001 </t>
    </r>
    <r>
      <rPr>
        <sz val="10"/>
        <rFont val="Palatino Linotype"/>
        <family val="1"/>
      </rPr>
      <t>Közösségfejlesztés Veszprém város településrészein</t>
    </r>
  </si>
  <si>
    <t>Műtárgybeszerzés (NKA pályázat)</t>
  </si>
  <si>
    <r>
      <rPr>
        <b/>
        <sz val="10"/>
        <rFont val="Palatino Linotype"/>
        <family val="1"/>
      </rPr>
      <t xml:space="preserve">EFOP-4.1.9-16-2017-00014 </t>
    </r>
    <r>
      <rPr>
        <sz val="10"/>
        <rFont val="Palatino Linotype"/>
        <family val="1"/>
      </rPr>
      <t>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</si>
  <si>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</si>
  <si>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t>Személygépjármű vásárlás 1 db</t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</si>
  <si>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</si>
  <si>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</si>
  <si>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</si>
  <si>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</si>
  <si>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</si>
  <si>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</si>
  <si>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</si>
  <si>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</si>
  <si>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</si>
  <si>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</si>
  <si>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</si>
  <si>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</si>
  <si>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</si>
  <si>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</si>
  <si>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</si>
  <si>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Veszprémi Kultúráért Közalapítvány</t>
  </si>
  <si>
    <t>Civil irodai szolgáltatások, civil ház</t>
  </si>
  <si>
    <t>Pszichiátriai betegek nappali ellátása ("Horgony" Pszichiátriai Betegekért Közhasznú Alapítvány)</t>
  </si>
  <si>
    <t>Aszfalt burkolatok, útlapok és makadám burkolatok, földmunkák</t>
  </si>
  <si>
    <t>Kubinyi Ágoston program</t>
  </si>
  <si>
    <t>Veszprém Fiatal Sportolóiért Alapítvány</t>
  </si>
  <si>
    <t>Dózsa György u. 2sz. Alatti épület felújítása (tervezés-előkészítés)</t>
  </si>
  <si>
    <t>Swing-Swing Kft. üzletrész vásárlás</t>
  </si>
  <si>
    <t>II. ütem összesen</t>
  </si>
  <si>
    <t>Kelet-nyugati gyűjtőút zajvédő létesítmény tervezése</t>
  </si>
  <si>
    <t>I. ütem összesen</t>
  </si>
  <si>
    <t>Veszprém várostörténeti kiadványok előkészítése</t>
  </si>
  <si>
    <t>Hitel-állomány 2019.12.31</t>
  </si>
  <si>
    <t>Hitelfelvétel 2019-es</t>
  </si>
  <si>
    <t>Hitelfelvétel 2020-as</t>
  </si>
  <si>
    <t>Hitel-állomány  2020.12.31</t>
  </si>
  <si>
    <t>Tőke-törlesztés 2023</t>
  </si>
  <si>
    <t>Tőke-törlesztés 2024-tól</t>
  </si>
  <si>
    <t>Kamat 2023</t>
  </si>
  <si>
    <t xml:space="preserve"> 2020.06.01</t>
  </si>
  <si>
    <t>9.</t>
  </si>
  <si>
    <t>2020.XX.XX</t>
  </si>
  <si>
    <t>2030.XX.XX</t>
  </si>
  <si>
    <t>Veszprém Megyei Jogú Város Önkormányzatának 2020. évi</t>
  </si>
  <si>
    <t>Adósságot Keletkeztető Ügyletek fejlesztési célok szerinti besorolása</t>
  </si>
  <si>
    <t>Közutak, hidak építése, felújítása</t>
  </si>
  <si>
    <t>Egyéb, törvény által az önkormányzatok számára előírt feladatok teljesítéséhez szükséges infrastrukturális beruházások</t>
  </si>
  <si>
    <t>2019. évi              várható*</t>
  </si>
  <si>
    <t>2019. évi              várható</t>
  </si>
  <si>
    <t>TOP-6.9.2-16-VP1-2018-00001 Közösségfejlesztés Veszprém város településrészein</t>
  </si>
  <si>
    <t>2023. év</t>
  </si>
  <si>
    <t>TOP-6.6.1-16-VP1-2018-00005 Ördögárok u. 5. szám alatti orvosi rendelő megújítása (saját forrás)</t>
  </si>
  <si>
    <t>TOP-6.6.1-16-VP1-2018-00004 Vilonyai utca 2/B szám alatti orvosi rendelő megújítása (saját forrás)</t>
  </si>
  <si>
    <t>TOP-6.5.1-16-VP1-2018-00004 Aprófalvi bölcsőde energetikai korszerűsítése (saját forrás)</t>
  </si>
  <si>
    <t>TOP-6.5.1-16-VP1-2018-00006 Módszertani bölcsőde energetikai megújítása (saját forrás)</t>
  </si>
  <si>
    <t xml:space="preserve">Swing-Swing Kft. törzstőke emelés, tőketartalékba helyezés (Hangvilla üzletrész vásárlás) </t>
  </si>
  <si>
    <t xml:space="preserve">Swing-Swing Kft. üzletrész vásárlás </t>
  </si>
  <si>
    <t>Villamos energia beszerzés (Intézmények)</t>
  </si>
  <si>
    <t>Villamos energia beszerzés (Közvilágítás célú)</t>
  </si>
  <si>
    <t>Földgáz energia beszerzés</t>
  </si>
  <si>
    <t>Veszprémi Foci Centrum Utánpótlás SE</t>
  </si>
  <si>
    <t>Signator Audit Könyvvizsgáló Kft-vel kötött megbízási szerződés könyvvizsgálói feladatok ellátására</t>
  </si>
  <si>
    <t>Szenvedélybetegek ellátásának működési kiadásaihoz támogatás (Alkohol-Drogsegély Ambulancia - ellátási szerződés)</t>
  </si>
  <si>
    <t>Polgármesteri Hivatal „Őrzés-védelmi és portaszolgálat feladatainak” ellátása 2 évre</t>
  </si>
  <si>
    <t>Egészségügyi feladatok ellátása - Veszprémi Csolnoky Ferenc Kórházzal kötött használati szerződés</t>
  </si>
  <si>
    <t>Német Nemzetiségi Önk. helyiségének bérleti díja</t>
  </si>
  <si>
    <t>Hitel összege 2019</t>
  </si>
  <si>
    <t>Hitel összege 2020</t>
  </si>
  <si>
    <t>Környezetvédelemhez és természeti katasztrófák elhárításához kapcsolódó beruházási célok (szennyvízelvezetés és szennyvíztisztítás, csapadékvíz-elvezetés, hulladékkezelés, árvíz/belvíz elleni védekezés stb.)</t>
  </si>
  <si>
    <t>Közoktatási célú beruházási célok (óvodák, iskolák, tornaterem, tanuszoda, egyéb köznevelési intézmények építése, felújítása stb.)</t>
  </si>
  <si>
    <t>Szociális, gyermekjóléti és gyermekvédelmi célok (bölcsődék, időskorúak ellátását, gyermekek és családok átmeneti gondozását szolgáló beruházások stb.)</t>
  </si>
  <si>
    <t>TOP-6.5.1-16-VPI-2018-00006 Módszertani Bölcsőde energetikai megújítása</t>
  </si>
  <si>
    <t>TOP-6.2.1-16-VP1-2018-00001 Módszertani Bölcsőde megújítása – eszközbeszerzés</t>
  </si>
  <si>
    <t>TOP-6.5.1 Aprófalvi Bölcsőde energetikai megújítása</t>
  </si>
  <si>
    <t>TOP-6.5.1 Völgyikút utca 2. szám alatti épület energetikai megújítása</t>
  </si>
  <si>
    <t>Egészségügyi szolgáltatások fejlesztése (egészségházak, orvosi, gyermekorvosi, fogorvosi szakrendelők felújítása, eszközbeszerzések stb.)</t>
  </si>
  <si>
    <t>TOP - Vilonyai u. 2/B sz. gyermekorvosi rendelők felújítása</t>
  </si>
  <si>
    <t>TOP - Ördögárok u. 5. sz. gyermekorvosi rendelők felújítása</t>
  </si>
  <si>
    <t>Egyéb feladatokhoz kapcsolódó célok (közutak építése, felújítása, közbiztonság növelése, egyéb önkormányzati tulajdonú létesítmények felújítása, fejlesztése, város és település-rehabilitáció stb.)</t>
  </si>
  <si>
    <t>Petőfi Sándor utca rekonstrukciója III. ütem</t>
  </si>
  <si>
    <t>Török I. u. - Aulich L. u. összekötés</t>
  </si>
  <si>
    <t>Közvilágítás bővítések (tervezés, kivitelezés) 2011. évi CLXXXIX törvény</t>
  </si>
  <si>
    <t>II. Adósságot keletkeztető ügyletek mindösszesen</t>
  </si>
  <si>
    <t xml:space="preserve">A  </t>
  </si>
  <si>
    <t>T</t>
  </si>
  <si>
    <t>2019. évi tény</t>
  </si>
  <si>
    <t>2018-2021</t>
  </si>
  <si>
    <t>2018-2019</t>
  </si>
  <si>
    <t>2019-2020</t>
  </si>
  <si>
    <t>TOP-6.6.1-16-VP1-2018-00003 Jutasi u. 59. szám alatti orvosi rendelő megújítása</t>
  </si>
  <si>
    <t>2016-2021</t>
  </si>
  <si>
    <t>2017-2020</t>
  </si>
  <si>
    <t>2018-2020</t>
  </si>
  <si>
    <t>2016-2019</t>
  </si>
  <si>
    <t>2019-2021</t>
  </si>
  <si>
    <t>2019-2022</t>
  </si>
  <si>
    <t>Urbact Innova-tor *</t>
  </si>
  <si>
    <t>KÖFOP-1.2.1-VEKOP-16-2017-01268 Veszprém Megyei Jogú Város Önkormányzata ASP Központhoz való csatlakozása **</t>
  </si>
  <si>
    <t>2017-2018</t>
  </si>
  <si>
    <t>EFOP-3.3.2-16-2016-00107 Kulturális intézmények a köznevelés eredményességéért***</t>
  </si>
  <si>
    <t>* A Duna Nemzetközi  Interreg Program kapcsán az összes támogatás összevontan került feltüntetésre (85% EU és a 10% Nemzeti támogatás) A támogatási szerződésben €-ban van, 2017. jan. 12-i MNB deviza-párfolyammal:  307,71 forinttal átszámolva.</t>
  </si>
  <si>
    <t>* Az Urbact Innova-tor támogatása a szerződésben €-ban van meghatározva, az átszámítás 316.39 Ft/EUR-val történt</t>
  </si>
  <si>
    <t>ebből: - Európa Kulturális Fővárosa I. ütem</t>
  </si>
  <si>
    <t>ebből: - Európa Kulturális Fővárosa II. ütem</t>
  </si>
  <si>
    <t>Hitelfelvétel 2019.        (előző évek hitelszerződésén alapuló)</t>
  </si>
  <si>
    <t>ebből: - Európa Kulturális Főváros II. ütem</t>
  </si>
  <si>
    <t>Projekthez kapcsolódó működési bevétel (ÁFA)</t>
  </si>
  <si>
    <t>Veszprém Megyei Jogú Város Önkormányzatának 2019. évi</t>
  </si>
  <si>
    <t>új hitelszerződésen alapuló beruházási hitelfelvétele feladatonként</t>
  </si>
  <si>
    <t>Fejlesztési hitel - Célhitel 2017</t>
  </si>
  <si>
    <t>Fejlesztési hitel - Célhitel 2019</t>
  </si>
  <si>
    <t>Fejlesztési hitel - Célhitel 2020</t>
  </si>
  <si>
    <t>hitelszerződésen alapuló 2019. és 2020. évre vonatkozó beruházási hitelfelvétele feladatonként *</t>
  </si>
  <si>
    <t>*</t>
  </si>
  <si>
    <t>a TOP-6.1.5-16-VP1-2017-00001 Északi Iparterület Közlekedés-fejlesztése elnevezésű projekthez szükséges kiegészítő pénzügyi forrással kapcsolatos pénzügyi kötelezettségvállalás (saját forrás)</t>
  </si>
  <si>
    <t>Az ÉNYKK Északnyugat-magyarországi Közlekedési Központ Zrt. által 2018. évben ellátott helyi menetrend szerinti közösségi közlekedés közszolgáltatás ellentételezése</t>
  </si>
  <si>
    <t>Sport marketing tárgyú több éves szolgáltatásvásárlási szerződés megkötése érdekében pénzügyi kötelezettségvállalás</t>
  </si>
  <si>
    <t>Veszprém Fiatal Sportolóiért Közhasznú Alapítvány támogatása
élsport, versenysport és utánpótlás nevelési feladatokhoz kapcsolódóan</t>
  </si>
  <si>
    <t>A Magyar Kézilabda Szövetség Országos Tornaterem Felújítási Programjához kapcsolódó támogatási igény benyújtása és előzetes kötelezettségvállalás a veszprémi stadion területén található sportcsarnok belső felújítása érdekében</t>
  </si>
  <si>
    <t>Jutasi úti műfüves sportpálya fenntartása és működtetése</t>
  </si>
  <si>
    <t>Foglalkozás egészségügyi szolgáltatás ellátásával kapcsolatos pénzügyi kötelezettségvállalás</t>
  </si>
  <si>
    <t>VMJV Önkormányzatánál, költségvetési szerveinél, valamint a Veszprémi Kistérség Többcélú Társulása Egyesített Szociális Intézménynél foglalkozás-egészségügyi szolgáltatás ellátásával kapcsolatos pénzügyi kötelezettségvállalás</t>
  </si>
  <si>
    <t>A Települési Önkormányzatok Országos Szövetségéhez történő csatlakozás</t>
  </si>
  <si>
    <t>A Klímabarát Települések Szövetségéhez történő csatlakozás</t>
  </si>
  <si>
    <t>Polgármesteri Hivatal használatában lévő nyomatkészítő eszközök tartós üzemeltetése</t>
  </si>
  <si>
    <t>Megállapodás megkötése üzemidő hasznosítás tárgyában  a Veszprémi Programiroda Rendezvényszervező és Kulturális Szolgáltató Kft-vel</t>
  </si>
  <si>
    <t>Az Önkormányzat vagyonbiztosításával kapcsolatos pénzügyi
kötelezettségvállalás</t>
  </si>
  <si>
    <t>Munka- és tűzvédelmi feladatok; 2019.01.01-2020.02.29. és 2020.03.01-2022.02.28.</t>
  </si>
  <si>
    <t>A diákétkeztetésre vonatkozó szolgáltatási díj emelése</t>
  </si>
  <si>
    <t>a Veszprémi Intézményi Szolgáltató Szervezet diákétkeztetési
közfeladatainak ellátásához szükséges étkezési nyilvántartó program beszerzésével kapcsolatos pénzügyi kötelezettségvállalás</t>
  </si>
  <si>
    <t>Veszprémi óvodák gyermekétkeztetési közfeladat ellátása érdekében élelmezési nyilvántartó program beszerzéséhez szükséges pénzügyi kötelezettségvállalás</t>
  </si>
  <si>
    <t>Veszprémi óvodák gyermekétkeztetési közfeladat ellátása érdekében vásárolt élelmezés beszerzéséhez szükséges pénzügyi kötelezettségvállalások</t>
  </si>
  <si>
    <r>
      <t>* Magyarország gazdasági stabilitásáról szóló 2011. évi CXCIV. törvény szerint Kormányengedélyhez kötött, adósságot keletkeztető ügylet jóváhagyása megtörtént az</t>
    </r>
    <r>
      <rPr>
        <b/>
        <sz val="10"/>
        <rFont val="Palatino Linotype"/>
        <family val="1"/>
      </rPr>
      <t xml:space="preserve"> önkormányzatok adósságot keletkeztető, valamint kezesség-, illetve garanciavállalásra vonatkozó ügyleteihez történő 2019. áprilisi előzetes kormányzati hozzájárulásról szóló 1356/2019. (VI.14.) Korm. határozatában.</t>
    </r>
  </si>
  <si>
    <t>Adósságot keletkeztető ügyletek összesen</t>
  </si>
  <si>
    <r>
      <rPr>
        <b/>
        <sz val="10"/>
        <rFont val="Palatino Linotype"/>
        <family val="1"/>
      </rPr>
      <t>*</t>
    </r>
    <r>
      <rPr>
        <b/>
        <u val="single"/>
        <sz val="10"/>
        <rFont val="Palatino Linotype"/>
        <family val="1"/>
      </rPr>
      <t xml:space="preserve"> Megjegyzés</t>
    </r>
    <r>
      <rPr>
        <b/>
        <sz val="10"/>
        <rFont val="Palatino Linotype"/>
        <family val="1"/>
      </rPr>
      <t xml:space="preserve">: </t>
    </r>
    <r>
      <rPr>
        <sz val="10"/>
        <rFont val="Palatino Linotype"/>
        <family val="1"/>
      </rPr>
      <t>A Magyar Államkincstár tájékoztatása szerint a Magyarország 2020. évi központi költségvetéséről szóló 2019. évi LXXI. Törvény 3. melléklet I. 13. e) pontjában szereplő Színházművészeti szervezetek támogatása jogcímen még nem került megállapításra támogatási összeg, így eredeti előirányzatként 0 forintot kell az elemi költségvetésben tervezni.</t>
    </r>
  </si>
  <si>
    <t>Döntés pályázat benyújtásáról az "Urban Innovative Actions" elnevezésű Európai Uniós közösségi kezdeményezés pályázati felhívására</t>
  </si>
  <si>
    <t>Döntés a helyi közösségi közlekedés biztosításához kapcsolódó autóbuszbeszerzési szerződés és előzetes kötelelezettségvállalás jóváhagyásáról</t>
  </si>
  <si>
    <t xml:space="preserve">Döntés az "ELENA" elnevezésű projektfejlesztési támogatásra benyújtott Európai Uniós pályázat konzorciumi szerződés módosítás tárgyában </t>
  </si>
  <si>
    <t>Pályázat benyújtása az Magyar Labdarúgó Szövetség TAO pályaépítési programjához (saját forrás)</t>
  </si>
  <si>
    <r>
      <t xml:space="preserve">Tárgyi eszközök beszerzésére </t>
    </r>
    <r>
      <rPr>
        <i/>
        <sz val="10"/>
        <rFont val="Palatino Linotype"/>
        <family val="1"/>
      </rPr>
      <t>(irodai székek,  határfelület mikrofonok, számítógépek frissítése, létra-díszítőtár, biztonsági heveder-díszítőtár, járás lámpa 10 db-világosítótár, vércukorszintmérő, pen-drive (nagy kapacitású), iratmegsemmisítő, stúdió monitor-hangtár, számítógéphez kiegészítők)</t>
    </r>
  </si>
  <si>
    <t>Újjáépítésre kerülő óvodák költöztetési munkák</t>
  </si>
  <si>
    <t>Veszprémi Stadion gázellátása és villamos kapacitásbővítése</t>
  </si>
  <si>
    <t>Tűzjelző rendszer felújítása</t>
  </si>
  <si>
    <t>Sportterület közmű-, út infrastruktúra fejlesztés</t>
  </si>
  <si>
    <t>EKF programokhoz kapcsolódó infrastruktúra fejlesztési feladatok</t>
  </si>
  <si>
    <t>Szent István utca rekonstrukciója I. ütem (csapadékvíz elvezetés kiépítése) tervezés</t>
  </si>
  <si>
    <t>Séd-völgyi tó faszerkezet cseréje és tótisztítás</t>
  </si>
  <si>
    <t>2020. január 1. - 2020. február 29. között 4 fő</t>
  </si>
  <si>
    <t>határozott idejű foglalkozatottak létszáma                 (2020. március 1 - 2021. december 31)</t>
  </si>
  <si>
    <t>határozott idejű foglalkozatottak létszáma                 (2019. március 1 - 2019. december 31)</t>
  </si>
  <si>
    <t>Beruházás / felújítás / projekt kötelezettségvállalások összesen</t>
  </si>
  <si>
    <t xml:space="preserve">          - Comitatus Társadalomkutató Egyesület - Comitatus Önkormányzati Szemle</t>
  </si>
  <si>
    <r>
      <rPr>
        <b/>
        <u val="single"/>
        <sz val="11"/>
        <rFont val="Palatino Linotype"/>
        <family val="1"/>
      </rPr>
      <t xml:space="preserve">VKSZ Zrt. által ellátott városüzemeltetési feladatok </t>
    </r>
    <r>
      <rPr>
        <sz val="11"/>
        <rFont val="Palatino Linotype"/>
        <family val="1"/>
      </rPr>
      <t>közszolgáltatási keretmegállapodás alapján:</t>
    </r>
  </si>
  <si>
    <t>Kolostorok és Kertek működtetése</t>
  </si>
  <si>
    <t>V-Busz Kft. szolgáltatás vásárlás</t>
  </si>
  <si>
    <t>**Az intézményeknél kimutatott adatokat is tartalmazza</t>
  </si>
  <si>
    <t>Teljesítés                      2018.          12.31.-ig**</t>
  </si>
  <si>
    <t>** Az intézményeknél kimutatott adatokat is tartalmazza</t>
  </si>
  <si>
    <t>1. melléklet az 5/2020. (II.27.) önkormányzati rendelethez</t>
  </si>
  <si>
    <t>1.A. melléklet az 5/2020. (II.27.) önkormányzati rendelethez</t>
  </si>
  <si>
    <t>2. melléklet az 5/2020. (II.27.) önkormányzati rendelethez</t>
  </si>
  <si>
    <t>3. melléklet az 5/2020. (II.27.) önkormányzati rendelethez</t>
  </si>
  <si>
    <t>3.A. melléklet az 5/2020. (II.27.) önkormányzati rendelethez</t>
  </si>
  <si>
    <t>4. melléklet az 5/2020. (II.27.) önkormányzati rendelethez</t>
  </si>
  <si>
    <t>5. melléklet az 5/2020. (II.27.) önkormányzati rendelethez</t>
  </si>
  <si>
    <t>6. melléklet az 5/2020. (II.27.) önkormányzati rendelethez</t>
  </si>
  <si>
    <t>6.A. melléklet az 5/2020. (II.27.) önkormányzati rendelethez</t>
  </si>
  <si>
    <t>7. melléklet az 5/2020. (II.27.) önkormányzati rendelethez</t>
  </si>
  <si>
    <t>8. melléklet az 5/2020. (II.27.) önkormányzati rendelethez</t>
  </si>
  <si>
    <t>9. melléklet az 5/2020. (II.27.) önkormányzati rendelethez</t>
  </si>
  <si>
    <t>10. melléklet az 5/2020. (II.27.) önkormányzati rendelethez</t>
  </si>
  <si>
    <t>11. melléklet az 5/2020. (II.27.) önkormányzati rendelethez</t>
  </si>
  <si>
    <t>12. melléklet az 5/2020. (II.27.) önkormányzati rendelethez</t>
  </si>
  <si>
    <t>13. melléklet az 5/2020. (II.27.) önkormányzati rendelethez</t>
  </si>
  <si>
    <t>14. melléklet az 5/2020. (II.27.) önkormányzati rendelethez</t>
  </si>
  <si>
    <t>15. melléklet az 5/2020. (II.27.) önkormányzati rendelethez</t>
  </si>
  <si>
    <t>15.A. melléklet az 5/2020. (II.27.) önkormányzati rendelethez</t>
  </si>
  <si>
    <t>15.B. melléklet az 5/2020. (II.27.) önkormányzati rendelethez</t>
  </si>
  <si>
    <t>16. melléklet az 5/2020. (II.27.) önkormányzati rendelethez</t>
  </si>
  <si>
    <t>17. melléklet az 5/2020. (II.27.)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</si>
</sst>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104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u val="double"/>
      <sz val="10"/>
      <name val="Palatino Linotype"/>
      <family val="1"/>
    </font>
    <font>
      <sz val="11"/>
      <name val="Arial CE"/>
      <family val="0"/>
    </font>
    <font>
      <sz val="10"/>
      <name val="Times New Roman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11"/>
      <color indexed="10"/>
      <name val="Palatino Linotype"/>
      <family val="1"/>
    </font>
    <font>
      <sz val="11"/>
      <color indexed="8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sz val="11"/>
      <color indexed="16"/>
      <name val="Palatino Linotype"/>
      <family val="1"/>
    </font>
    <font>
      <sz val="11"/>
      <color indexed="16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Palatino Linotype"/>
      <family val="1"/>
    </font>
    <font>
      <u val="single"/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color indexed="8"/>
      <name val="Palatino Linotype"/>
      <family val="1"/>
    </font>
    <font>
      <b/>
      <i/>
      <sz val="11"/>
      <color indexed="16"/>
      <name val="Palatino Linotype"/>
      <family val="1"/>
    </font>
    <font>
      <b/>
      <sz val="9"/>
      <color indexed="16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75"/>
      <color indexed="8"/>
      <name val="Times New Roman"/>
      <family val="0"/>
    </font>
    <font>
      <sz val="8"/>
      <color indexed="8"/>
      <name val="Times New Roman"/>
      <family val="0"/>
    </font>
    <font>
      <b/>
      <sz val="11.75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Times New Roman"/>
      <family val="0"/>
    </font>
    <font>
      <sz val="9.5"/>
      <color indexed="8"/>
      <name val="Times New Roman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b/>
      <sz val="10"/>
      <color theme="5" tint="-0.4999699890613556"/>
      <name val="Arial CE"/>
      <family val="0"/>
    </font>
    <font>
      <b/>
      <i/>
      <sz val="10"/>
      <color theme="5" tint="-0.4999699890613556"/>
      <name val="Arial CE"/>
      <family val="0"/>
    </font>
    <font>
      <b/>
      <sz val="11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i/>
      <sz val="11"/>
      <color theme="5" tint="-0.4999699890613556"/>
      <name val="Palatino Linotype"/>
      <family val="1"/>
    </font>
    <font>
      <b/>
      <sz val="9"/>
      <color theme="5" tint="-0.4999699890613556"/>
      <name val="Palatino Linotyp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-0.24997000396251678"/>
        <bgColor indexed="64"/>
      </patternFill>
    </fill>
  </fills>
  <borders count="2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hair"/>
      <bottom style="hair"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double"/>
    </border>
    <border>
      <left style="hair"/>
      <right style="hair"/>
      <top style="medium"/>
      <bottom style="medium"/>
    </border>
    <border>
      <left style="double"/>
      <right style="hair"/>
      <top/>
      <bottom style="hair"/>
    </border>
    <border>
      <left style="medium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medium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hair"/>
      <top style="hair"/>
      <bottom style="hair"/>
    </border>
    <border>
      <left/>
      <right style="hair"/>
      <top style="double"/>
      <bottom style="hair"/>
    </border>
    <border>
      <left/>
      <right style="double"/>
      <top style="thin"/>
      <bottom style="thin"/>
    </border>
    <border>
      <left style="hair"/>
      <right style="hair"/>
      <top style="medium"/>
      <bottom/>
    </border>
    <border>
      <left style="double"/>
      <right style="hair"/>
      <top style="double"/>
      <bottom style="hair"/>
    </border>
    <border>
      <left/>
      <right style="medium"/>
      <top/>
      <bottom style="thin"/>
    </border>
    <border>
      <left style="hair"/>
      <right style="medium"/>
      <top style="double"/>
      <bottom style="hair"/>
    </border>
    <border>
      <left style="hair"/>
      <right style="hair"/>
      <top/>
      <bottom style="double"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/>
      <right/>
      <top style="hair"/>
      <bottom style="hair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/>
    </border>
    <border>
      <left/>
      <right style="hair"/>
      <top style="medium"/>
      <bottom/>
    </border>
    <border>
      <left/>
      <right style="hair"/>
      <top style="medium"/>
      <bottom style="medium"/>
    </border>
    <border>
      <left style="double"/>
      <right style="hair"/>
      <top style="hair"/>
      <bottom style="double"/>
    </border>
    <border>
      <left/>
      <right style="hair"/>
      <top style="hair"/>
      <bottom style="double"/>
    </border>
    <border>
      <left/>
      <right style="medium"/>
      <top style="hair"/>
      <bottom style="double"/>
    </border>
    <border>
      <left style="hair"/>
      <right style="medium"/>
      <top style="medium"/>
      <bottom style="double"/>
    </border>
    <border>
      <left style="hair"/>
      <right style="medium"/>
      <top/>
      <bottom style="medium"/>
    </border>
    <border>
      <left style="hair"/>
      <right/>
      <top/>
      <bottom/>
    </border>
    <border>
      <left style="hair"/>
      <right/>
      <top style="hair"/>
      <bottom style="double"/>
    </border>
    <border>
      <left/>
      <right/>
      <top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hair"/>
      <right/>
      <top style="medium"/>
      <bottom style="double"/>
    </border>
    <border>
      <left style="hair"/>
      <right style="hair"/>
      <top style="double"/>
      <bottom style="medium"/>
    </border>
    <border>
      <left style="hair"/>
      <right/>
      <top style="double"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medium"/>
      <bottom/>
    </border>
    <border>
      <left style="double"/>
      <right style="hair"/>
      <top style="medium"/>
      <bottom style="medium"/>
    </border>
    <border>
      <left/>
      <right/>
      <top style="hair"/>
      <bottom/>
    </border>
    <border>
      <left style="hair"/>
      <right style="medium"/>
      <top style="hair"/>
      <bottom style="double"/>
    </border>
    <border>
      <left/>
      <right/>
      <top style="hair"/>
      <bottom style="double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/>
    </border>
    <border>
      <left style="hair"/>
      <right/>
      <top/>
      <bottom style="medium"/>
    </border>
    <border>
      <left style="double"/>
      <right style="hair"/>
      <top style="hair"/>
      <bottom/>
    </border>
    <border>
      <left style="hair"/>
      <right style="double"/>
      <top style="double"/>
      <bottom style="hair"/>
    </border>
    <border>
      <left style="hair"/>
      <right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medium"/>
      <bottom style="medium"/>
    </border>
    <border>
      <left style="medium"/>
      <right style="medium"/>
      <top/>
      <bottom/>
    </border>
    <border>
      <left style="hair"/>
      <right/>
      <top style="double"/>
      <bottom style="medium"/>
    </border>
    <border>
      <left style="hair"/>
      <right/>
      <top style="medium"/>
      <bottom style="medium"/>
    </border>
    <border>
      <left style="double"/>
      <right style="medium"/>
      <top style="double"/>
      <bottom style="medium"/>
    </border>
    <border>
      <left style="hair"/>
      <right style="double"/>
      <top/>
      <bottom style="hair"/>
    </border>
    <border>
      <left style="double"/>
      <right style="medium"/>
      <top style="hair"/>
      <bottom/>
    </border>
    <border>
      <left style="hair"/>
      <right style="double"/>
      <top style="hair"/>
      <bottom/>
    </border>
    <border>
      <left style="hair"/>
      <right style="hair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/>
      <right style="hair"/>
      <top style="double"/>
      <bottom style="double"/>
    </border>
    <border>
      <left/>
      <right style="hair"/>
      <top style="double"/>
      <bottom style="medium"/>
    </border>
    <border>
      <left style="thin"/>
      <right style="thin"/>
      <top/>
      <bottom style="medium"/>
    </border>
    <border>
      <left/>
      <right style="medium"/>
      <top/>
      <bottom style="hair"/>
    </border>
    <border>
      <left style="double"/>
      <right style="double"/>
      <top style="medium"/>
      <bottom/>
    </border>
    <border>
      <left style="double"/>
      <right style="hair"/>
      <top style="medium"/>
      <bottom/>
    </border>
    <border>
      <left style="hair"/>
      <right style="medium"/>
      <top style="medium"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double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/>
      <top style="double"/>
      <bottom style="hair"/>
    </border>
    <border>
      <left style="medium"/>
      <right/>
      <top style="medium"/>
      <bottom style="hair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medium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medium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 style="medium"/>
      <top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double"/>
      <top style="medium"/>
      <bottom/>
    </border>
    <border>
      <left style="medium"/>
      <right style="medium"/>
      <top style="thin"/>
      <bottom/>
    </border>
    <border>
      <left style="thin"/>
      <right style="double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medium">
        <color rgb="FF000000"/>
      </right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7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80" applyNumberFormat="1" applyFont="1" applyFill="1" applyAlignment="1">
      <alignment horizontal="center"/>
      <protection/>
    </xf>
    <xf numFmtId="3" fontId="2" fillId="0" borderId="0" xfId="80" applyNumberFormat="1" applyFont="1" applyFill="1">
      <alignment/>
      <protection/>
    </xf>
    <xf numFmtId="3" fontId="4" fillId="0" borderId="0" xfId="80" applyNumberFormat="1" applyFont="1" applyFill="1">
      <alignment/>
      <protection/>
    </xf>
    <xf numFmtId="3" fontId="2" fillId="0" borderId="0" xfId="80" applyNumberFormat="1" applyFont="1" applyFill="1" applyAlignment="1">
      <alignment vertical="center"/>
      <protection/>
    </xf>
    <xf numFmtId="3" fontId="2" fillId="0" borderId="0" xfId="80" applyNumberFormat="1" applyFont="1" applyFill="1" applyAlignment="1">
      <alignment horizontal="center" vertical="top"/>
      <protection/>
    </xf>
    <xf numFmtId="3" fontId="2" fillId="0" borderId="0" xfId="80" applyNumberFormat="1" applyFont="1" applyFill="1" applyAlignment="1">
      <alignment horizontal="center" vertical="center"/>
      <protection/>
    </xf>
    <xf numFmtId="3" fontId="5" fillId="0" borderId="0" xfId="80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80" applyNumberFormat="1" applyFont="1" applyFill="1" applyBorder="1" applyAlignment="1">
      <alignment vertical="top" wrapText="1"/>
      <protection/>
    </xf>
    <xf numFmtId="3" fontId="2" fillId="0" borderId="0" xfId="80" applyNumberFormat="1" applyFont="1" applyFill="1" applyBorder="1" applyAlignment="1">
      <alignment horizontal="center"/>
      <protection/>
    </xf>
    <xf numFmtId="3" fontId="4" fillId="0" borderId="0" xfId="80" applyNumberFormat="1" applyFont="1" applyFill="1" applyBorder="1">
      <alignment/>
      <protection/>
    </xf>
    <xf numFmtId="3" fontId="4" fillId="0" borderId="0" xfId="80" applyNumberFormat="1" applyFont="1" applyFill="1" applyBorder="1" applyAlignment="1">
      <alignment vertical="top" wrapText="1"/>
      <protection/>
    </xf>
    <xf numFmtId="3" fontId="4" fillId="0" borderId="0" xfId="80" applyNumberFormat="1" applyFont="1" applyFill="1" applyBorder="1" applyAlignment="1">
      <alignment horizontal="center"/>
      <protection/>
    </xf>
    <xf numFmtId="3" fontId="2" fillId="0" borderId="0" xfId="80" applyNumberFormat="1" applyFont="1" applyFill="1" applyAlignment="1">
      <alignment vertical="top" wrapText="1"/>
      <protection/>
    </xf>
    <xf numFmtId="3" fontId="2" fillId="0" borderId="0" xfId="80" applyNumberFormat="1" applyFont="1" applyFill="1" applyBorder="1" applyAlignment="1">
      <alignment horizontal="center" vertical="top" wrapText="1"/>
      <protection/>
    </xf>
    <xf numFmtId="3" fontId="4" fillId="0" borderId="0" xfId="80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0" fillId="0" borderId="16" xfId="79" applyNumberFormat="1" applyFont="1" applyFill="1" applyBorder="1" applyAlignment="1">
      <alignment horizontal="center" vertical="center" wrapText="1"/>
      <protection/>
    </xf>
    <xf numFmtId="3" fontId="4" fillId="0" borderId="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79" applyNumberFormat="1" applyFont="1" applyFill="1">
      <alignment/>
      <protection/>
    </xf>
    <xf numFmtId="3" fontId="2" fillId="0" borderId="0" xfId="79" applyNumberFormat="1" applyFont="1" applyFill="1" applyAlignment="1">
      <alignment horizontal="right"/>
      <protection/>
    </xf>
    <xf numFmtId="3" fontId="2" fillId="0" borderId="0" xfId="79" applyNumberFormat="1" applyFont="1" applyFill="1" applyAlignment="1">
      <alignment/>
      <protection/>
    </xf>
    <xf numFmtId="3" fontId="2" fillId="0" borderId="0" xfId="79" applyNumberFormat="1" applyFont="1" applyFill="1" applyAlignment="1">
      <alignment vertical="center"/>
      <protection/>
    </xf>
    <xf numFmtId="3" fontId="2" fillId="0" borderId="0" xfId="79" applyNumberFormat="1" applyFont="1" applyFill="1" applyAlignment="1">
      <alignment horizontal="center" vertical="center"/>
      <protection/>
    </xf>
    <xf numFmtId="3" fontId="4" fillId="0" borderId="19" xfId="79" applyNumberFormat="1" applyFont="1" applyFill="1" applyBorder="1" applyAlignment="1">
      <alignment horizontal="center"/>
      <protection/>
    </xf>
    <xf numFmtId="3" fontId="2" fillId="0" borderId="19" xfId="79" applyNumberFormat="1" applyFont="1" applyFill="1" applyBorder="1" applyAlignment="1">
      <alignment horizontal="center"/>
      <protection/>
    </xf>
    <xf numFmtId="3" fontId="4" fillId="0" borderId="19" xfId="79" applyNumberFormat="1" applyFont="1" applyFill="1" applyBorder="1" applyAlignment="1">
      <alignment wrapText="1"/>
      <protection/>
    </xf>
    <xf numFmtId="3" fontId="4" fillId="0" borderId="19" xfId="79" applyNumberFormat="1" applyFont="1" applyFill="1" applyBorder="1">
      <alignment/>
      <protection/>
    </xf>
    <xf numFmtId="3" fontId="4" fillId="0" borderId="0" xfId="79" applyNumberFormat="1" applyFont="1" applyFill="1">
      <alignment/>
      <protection/>
    </xf>
    <xf numFmtId="49" fontId="2" fillId="0" borderId="13" xfId="79" applyNumberFormat="1" applyFont="1" applyFill="1" applyBorder="1" applyAlignment="1">
      <alignment horizontal="center"/>
      <protection/>
    </xf>
    <xf numFmtId="3" fontId="2" fillId="0" borderId="0" xfId="79" applyNumberFormat="1" applyFont="1" applyFill="1" applyBorder="1" applyAlignment="1">
      <alignment horizontal="center"/>
      <protection/>
    </xf>
    <xf numFmtId="3" fontId="2" fillId="0" borderId="0" xfId="79" applyNumberFormat="1" applyFont="1" applyFill="1" applyBorder="1">
      <alignment/>
      <protection/>
    </xf>
    <xf numFmtId="3" fontId="2" fillId="0" borderId="0" xfId="79" applyNumberFormat="1" applyFont="1" applyFill="1" applyBorder="1" applyAlignment="1">
      <alignment horizontal="left" indent="2"/>
      <protection/>
    </xf>
    <xf numFmtId="3" fontId="4" fillId="0" borderId="17" xfId="79" applyNumberFormat="1" applyFont="1" applyFill="1" applyBorder="1" applyAlignment="1">
      <alignment horizontal="center"/>
      <protection/>
    </xf>
    <xf numFmtId="3" fontId="2" fillId="0" borderId="17" xfId="79" applyNumberFormat="1" applyFont="1" applyFill="1" applyBorder="1" applyAlignment="1">
      <alignment horizontal="center"/>
      <protection/>
    </xf>
    <xf numFmtId="3" fontId="4" fillId="0" borderId="17" xfId="79" applyNumberFormat="1" applyFont="1" applyFill="1" applyBorder="1">
      <alignment/>
      <protection/>
    </xf>
    <xf numFmtId="3" fontId="4" fillId="0" borderId="0" xfId="79" applyNumberFormat="1" applyFont="1" applyFill="1" applyBorder="1" applyAlignment="1">
      <alignment horizontal="center"/>
      <protection/>
    </xf>
    <xf numFmtId="3" fontId="4" fillId="0" borderId="0" xfId="79" applyNumberFormat="1" applyFont="1" applyFill="1" applyBorder="1">
      <alignment/>
      <protection/>
    </xf>
    <xf numFmtId="3" fontId="5" fillId="0" borderId="0" xfId="79" applyNumberFormat="1" applyFont="1" applyFill="1" applyBorder="1" applyAlignment="1">
      <alignment horizontal="center"/>
      <protection/>
    </xf>
    <xf numFmtId="3" fontId="5" fillId="0" borderId="0" xfId="79" applyNumberFormat="1" applyFont="1" applyFill="1" applyBorder="1" applyAlignment="1">
      <alignment horizontal="left" indent="2"/>
      <protection/>
    </xf>
    <xf numFmtId="3" fontId="5" fillId="0" borderId="0" xfId="79" applyNumberFormat="1" applyFont="1" applyFill="1" applyBorder="1">
      <alignment/>
      <protection/>
    </xf>
    <xf numFmtId="3" fontId="5" fillId="0" borderId="0" xfId="79" applyNumberFormat="1" applyFont="1" applyFill="1">
      <alignment/>
      <protection/>
    </xf>
    <xf numFmtId="3" fontId="2" fillId="0" borderId="0" xfId="79" applyNumberFormat="1" applyFont="1" applyFill="1" applyBorder="1" applyAlignment="1">
      <alignment horizontal="left" indent="3"/>
      <protection/>
    </xf>
    <xf numFmtId="3" fontId="4" fillId="0" borderId="0" xfId="79" applyNumberFormat="1" applyFont="1" applyFill="1" applyBorder="1" applyAlignment="1">
      <alignment horizontal="center" vertical="center"/>
      <protection/>
    </xf>
    <xf numFmtId="3" fontId="4" fillId="0" borderId="0" xfId="79" applyNumberFormat="1" applyFont="1" applyFill="1" applyBorder="1" applyAlignment="1">
      <alignment vertical="center"/>
      <protection/>
    </xf>
    <xf numFmtId="3" fontId="2" fillId="0" borderId="0" xfId="79" applyNumberFormat="1" applyFont="1" applyFill="1" applyBorder="1" applyAlignment="1">
      <alignment horizontal="left"/>
      <protection/>
    </xf>
    <xf numFmtId="49" fontId="2" fillId="0" borderId="13" xfId="79" applyNumberFormat="1" applyFont="1" applyFill="1" applyBorder="1" applyAlignment="1">
      <alignment horizontal="center" vertical="top"/>
      <protection/>
    </xf>
    <xf numFmtId="3" fontId="2" fillId="0" borderId="0" xfId="79" applyNumberFormat="1" applyFont="1" applyFill="1" applyBorder="1" applyAlignment="1">
      <alignment horizontal="center" vertical="top"/>
      <protection/>
    </xf>
    <xf numFmtId="3" fontId="2" fillId="0" borderId="0" xfId="79" applyNumberFormat="1" applyFont="1" applyFill="1" applyBorder="1" applyAlignment="1">
      <alignment vertical="top"/>
      <protection/>
    </xf>
    <xf numFmtId="3" fontId="2" fillId="0" borderId="0" xfId="79" applyNumberFormat="1" applyFont="1" applyFill="1" applyAlignment="1">
      <alignment vertical="top"/>
      <protection/>
    </xf>
    <xf numFmtId="49" fontId="2" fillId="0" borderId="20" xfId="79" applyNumberFormat="1" applyFont="1" applyFill="1" applyBorder="1" applyAlignment="1">
      <alignment horizontal="center" vertical="center"/>
      <protection/>
    </xf>
    <xf numFmtId="3" fontId="4" fillId="0" borderId="21" xfId="79" applyNumberFormat="1" applyFont="1" applyFill="1" applyBorder="1" applyAlignment="1">
      <alignment horizontal="center" vertical="center"/>
      <protection/>
    </xf>
    <xf numFmtId="3" fontId="2" fillId="0" borderId="21" xfId="79" applyNumberFormat="1" applyFont="1" applyFill="1" applyBorder="1" applyAlignment="1">
      <alignment horizontal="center" vertical="center"/>
      <protection/>
    </xf>
    <xf numFmtId="3" fontId="4" fillId="0" borderId="21" xfId="79" applyNumberFormat="1" applyFont="1" applyFill="1" applyBorder="1" applyAlignment="1">
      <alignment vertical="center"/>
      <protection/>
    </xf>
    <xf numFmtId="3" fontId="2" fillId="0" borderId="0" xfId="79" applyNumberFormat="1" applyFont="1" applyFill="1" applyBorder="1" applyAlignment="1">
      <alignment/>
      <protection/>
    </xf>
    <xf numFmtId="3" fontId="2" fillId="0" borderId="0" xfId="79" applyNumberFormat="1" applyFont="1" applyFill="1" applyBorder="1" applyAlignment="1">
      <alignment horizontal="left" indent="1"/>
      <protection/>
    </xf>
    <xf numFmtId="3" fontId="2" fillId="0" borderId="0" xfId="79" applyNumberFormat="1" applyFont="1" applyFill="1" applyBorder="1" applyAlignment="1">
      <alignment horizontal="left" vertical="top" indent="1"/>
      <protection/>
    </xf>
    <xf numFmtId="49" fontId="2" fillId="0" borderId="0" xfId="79" applyNumberFormat="1" applyFont="1" applyFill="1" applyBorder="1" applyAlignment="1">
      <alignment horizontal="center"/>
      <protection/>
    </xf>
    <xf numFmtId="49" fontId="2" fillId="0" borderId="0" xfId="79" applyNumberFormat="1" applyFont="1" applyFill="1" applyAlignment="1">
      <alignment horizontal="center"/>
      <protection/>
    </xf>
    <xf numFmtId="3" fontId="4" fillId="0" borderId="0" xfId="79" applyNumberFormat="1" applyFont="1" applyFill="1" applyAlignment="1">
      <alignment horizontal="center"/>
      <protection/>
    </xf>
    <xf numFmtId="3" fontId="2" fillId="0" borderId="0" xfId="79" applyNumberFormat="1" applyFont="1" applyFill="1" applyAlignment="1">
      <alignment horizontal="center"/>
      <protection/>
    </xf>
    <xf numFmtId="3" fontId="4" fillId="0" borderId="0" xfId="80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/>
    </xf>
    <xf numFmtId="3" fontId="6" fillId="0" borderId="0" xfId="80" applyNumberFormat="1" applyFont="1" applyFill="1" applyAlignment="1">
      <alignment horizontal="center" vertical="center"/>
      <protection/>
    </xf>
    <xf numFmtId="3" fontId="10" fillId="0" borderId="22" xfId="0" applyNumberFormat="1" applyFont="1" applyFill="1" applyBorder="1" applyAlignment="1">
      <alignment horizontal="center" wrapText="1"/>
    </xf>
    <xf numFmtId="3" fontId="10" fillId="0" borderId="23" xfId="0" applyNumberFormat="1" applyFont="1" applyFill="1" applyBorder="1" applyAlignment="1">
      <alignment horizontal="center" wrapText="1"/>
    </xf>
    <xf numFmtId="3" fontId="10" fillId="0" borderId="24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0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 vertical="top"/>
    </xf>
    <xf numFmtId="4" fontId="6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17" fillId="0" borderId="0" xfId="80" applyNumberFormat="1" applyFont="1" applyFill="1" applyAlignment="1">
      <alignment horizontal="center" vertical="center"/>
      <protection/>
    </xf>
    <xf numFmtId="3" fontId="12" fillId="0" borderId="2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24" xfId="80" applyNumberFormat="1" applyFont="1" applyFill="1" applyBorder="1" applyAlignment="1">
      <alignment horizontal="center"/>
      <protection/>
    </xf>
    <xf numFmtId="3" fontId="10" fillId="0" borderId="25" xfId="80" applyNumberFormat="1" applyFont="1" applyFill="1" applyBorder="1" applyAlignment="1">
      <alignment horizontal="center"/>
      <protection/>
    </xf>
    <xf numFmtId="3" fontId="10" fillId="0" borderId="25" xfId="80" applyNumberFormat="1" applyFont="1" applyFill="1" applyBorder="1" applyAlignment="1">
      <alignment wrapText="1"/>
      <protection/>
    </xf>
    <xf numFmtId="3" fontId="10" fillId="0" borderId="25" xfId="80" applyNumberFormat="1" applyFont="1" applyFill="1" applyBorder="1" applyAlignment="1">
      <alignment horizontal="right"/>
      <protection/>
    </xf>
    <xf numFmtId="3" fontId="10" fillId="0" borderId="29" xfId="80" applyNumberFormat="1" applyFont="1" applyFill="1" applyBorder="1" applyAlignment="1">
      <alignment horizontal="right"/>
      <protection/>
    </xf>
    <xf numFmtId="3" fontId="10" fillId="0" borderId="24" xfId="80" applyNumberFormat="1" applyFont="1" applyFill="1" applyBorder="1" applyAlignment="1">
      <alignment horizontal="center" vertical="center"/>
      <protection/>
    </xf>
    <xf numFmtId="3" fontId="10" fillId="0" borderId="25" xfId="80" applyNumberFormat="1" applyFont="1" applyFill="1" applyBorder="1" applyAlignment="1">
      <alignment horizontal="center" vertical="center"/>
      <protection/>
    </xf>
    <xf numFmtId="3" fontId="10" fillId="0" borderId="30" xfId="80" applyNumberFormat="1" applyFont="1" applyFill="1" applyBorder="1" applyAlignment="1">
      <alignment wrapText="1"/>
      <protection/>
    </xf>
    <xf numFmtId="3" fontId="10" fillId="0" borderId="2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12" fillId="0" borderId="30" xfId="80" applyNumberFormat="1" applyFont="1" applyFill="1" applyBorder="1" applyAlignment="1">
      <alignment horizontal="right"/>
      <protection/>
    </xf>
    <xf numFmtId="3" fontId="12" fillId="0" borderId="31" xfId="80" applyNumberFormat="1" applyFont="1" applyFill="1" applyBorder="1" applyAlignment="1">
      <alignment horizontal="right"/>
      <protection/>
    </xf>
    <xf numFmtId="3" fontId="10" fillId="0" borderId="25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2" fillId="0" borderId="24" xfId="80" applyNumberFormat="1" applyFont="1" applyFill="1" applyBorder="1" applyAlignment="1">
      <alignment horizontal="center" vertical="center"/>
      <protection/>
    </xf>
    <xf numFmtId="3" fontId="12" fillId="0" borderId="25" xfId="80" applyNumberFormat="1" applyFont="1" applyFill="1" applyBorder="1" applyAlignment="1">
      <alignment horizontal="right"/>
      <protection/>
    </xf>
    <xf numFmtId="3" fontId="12" fillId="0" borderId="29" xfId="80" applyNumberFormat="1" applyFont="1" applyFill="1" applyBorder="1" applyAlignment="1">
      <alignment horizontal="right"/>
      <protection/>
    </xf>
    <xf numFmtId="3" fontId="12" fillId="0" borderId="25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25" xfId="80" applyNumberFormat="1" applyFont="1" applyFill="1" applyBorder="1" applyAlignment="1">
      <alignment vertical="center" wrapText="1"/>
      <protection/>
    </xf>
    <xf numFmtId="3" fontId="10" fillId="0" borderId="25" xfId="80" applyNumberFormat="1" applyFont="1" applyFill="1" applyBorder="1" applyAlignment="1">
      <alignment/>
      <protection/>
    </xf>
    <xf numFmtId="3" fontId="10" fillId="0" borderId="29" xfId="80" applyNumberFormat="1" applyFont="1" applyFill="1" applyBorder="1" applyAlignment="1">
      <alignment/>
      <protection/>
    </xf>
    <xf numFmtId="3" fontId="10" fillId="0" borderId="24" xfId="80" applyNumberFormat="1" applyFont="1" applyFill="1" applyBorder="1" applyAlignment="1">
      <alignment horizontal="center" vertical="top"/>
      <protection/>
    </xf>
    <xf numFmtId="49" fontId="12" fillId="0" borderId="25" xfId="80" applyNumberFormat="1" applyFont="1" applyFill="1" applyBorder="1" applyAlignment="1">
      <alignment horizontal="left" vertical="center" wrapText="1" indent="4"/>
      <protection/>
    </xf>
    <xf numFmtId="3" fontId="22" fillId="0" borderId="25" xfId="80" applyNumberFormat="1" applyFont="1" applyFill="1" applyBorder="1" applyAlignment="1">
      <alignment wrapText="1"/>
      <protection/>
    </xf>
    <xf numFmtId="3" fontId="10" fillId="0" borderId="32" xfId="80" applyNumberFormat="1" applyFont="1" applyFill="1" applyBorder="1" applyAlignment="1">
      <alignment horizontal="center" vertical="center"/>
      <protection/>
    </xf>
    <xf numFmtId="3" fontId="16" fillId="0" borderId="32" xfId="80" applyNumberFormat="1" applyFont="1" applyFill="1" applyBorder="1" applyAlignment="1">
      <alignment horizontal="center"/>
      <protection/>
    </xf>
    <xf numFmtId="3" fontId="17" fillId="0" borderId="0" xfId="80" applyNumberFormat="1" applyFont="1" applyFill="1" applyAlignment="1">
      <alignment horizontal="center"/>
      <protection/>
    </xf>
    <xf numFmtId="3" fontId="12" fillId="0" borderId="25" xfId="0" applyNumberFormat="1" applyFont="1" applyFill="1" applyBorder="1" applyAlignment="1">
      <alignment horizontal="right" wrapText="1"/>
    </xf>
    <xf numFmtId="3" fontId="12" fillId="0" borderId="26" xfId="0" applyNumberFormat="1" applyFont="1" applyFill="1" applyBorder="1" applyAlignment="1">
      <alignment horizontal="right" wrapText="1"/>
    </xf>
    <xf numFmtId="3" fontId="12" fillId="0" borderId="25" xfId="80" applyNumberFormat="1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32" xfId="80" applyNumberFormat="1" applyFont="1" applyFill="1" applyBorder="1" applyAlignment="1">
      <alignment horizontal="center"/>
      <protection/>
    </xf>
    <xf numFmtId="3" fontId="2" fillId="0" borderId="24" xfId="80" applyNumberFormat="1" applyFont="1" applyFill="1" applyBorder="1" applyAlignment="1">
      <alignment vertical="center" wrapText="1"/>
      <protection/>
    </xf>
    <xf numFmtId="3" fontId="2" fillId="0" borderId="26" xfId="0" applyNumberFormat="1" applyFont="1" applyFill="1" applyBorder="1" applyAlignment="1">
      <alignment horizontal="right" vertical="center" wrapText="1"/>
    </xf>
    <xf numFmtId="3" fontId="4" fillId="0" borderId="33" xfId="80" applyNumberFormat="1" applyFont="1" applyFill="1" applyBorder="1" applyAlignment="1">
      <alignment horizontal="center" vertical="center" wrapText="1"/>
      <protection/>
    </xf>
    <xf numFmtId="3" fontId="4" fillId="0" borderId="34" xfId="80" applyNumberFormat="1" applyFont="1" applyFill="1" applyBorder="1" applyAlignment="1">
      <alignment vertical="center"/>
      <protection/>
    </xf>
    <xf numFmtId="3" fontId="10" fillId="0" borderId="30" xfId="0" applyNumberFormat="1" applyFont="1" applyFill="1" applyBorder="1" applyAlignment="1">
      <alignment horizontal="right" wrapText="1"/>
    </xf>
    <xf numFmtId="3" fontId="10" fillId="0" borderId="30" xfId="80" applyNumberFormat="1" applyFont="1" applyFill="1" applyBorder="1" applyAlignment="1">
      <alignment horizontal="right"/>
      <protection/>
    </xf>
    <xf numFmtId="3" fontId="10" fillId="0" borderId="31" xfId="80" applyNumberFormat="1" applyFont="1" applyFill="1" applyBorder="1" applyAlignment="1">
      <alignment horizontal="right"/>
      <protection/>
    </xf>
    <xf numFmtId="0" fontId="9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0" fontId="6" fillId="0" borderId="0" xfId="82" applyFont="1" applyAlignment="1">
      <alignment horizontal="center" vertical="center"/>
      <protection/>
    </xf>
    <xf numFmtId="0" fontId="2" fillId="0" borderId="0" xfId="82" applyFont="1" applyAlignment="1">
      <alignment vertical="center"/>
      <protection/>
    </xf>
    <xf numFmtId="0" fontId="6" fillId="0" borderId="0" xfId="82" applyFont="1" applyAlignment="1">
      <alignment horizontal="center"/>
      <protection/>
    </xf>
    <xf numFmtId="3" fontId="4" fillId="0" borderId="0" xfId="82" applyNumberFormat="1" applyFont="1" applyAlignment="1">
      <alignment horizontal="center"/>
      <protection/>
    </xf>
    <xf numFmtId="0" fontId="2" fillId="0" borderId="0" xfId="82" applyFont="1" applyAlignment="1">
      <alignment/>
      <protection/>
    </xf>
    <xf numFmtId="3" fontId="4" fillId="0" borderId="0" xfId="82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10" fontId="4" fillId="0" borderId="27" xfId="104" applyNumberFormat="1" applyFont="1" applyBorder="1" applyAlignment="1">
      <alignment vertical="center"/>
    </xf>
    <xf numFmtId="3" fontId="4" fillId="0" borderId="0" xfId="104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3" xfId="82" applyFont="1" applyBorder="1" applyAlignment="1">
      <alignment vertical="center" wrapText="1"/>
      <protection/>
    </xf>
    <xf numFmtId="3" fontId="4" fillId="0" borderId="0" xfId="82" applyNumberFormat="1" applyFont="1" applyBorder="1" applyAlignment="1">
      <alignment vertical="center"/>
      <protection/>
    </xf>
    <xf numFmtId="0" fontId="2" fillId="0" borderId="13" xfId="82" applyFont="1" applyBorder="1" applyAlignment="1">
      <alignment horizontal="left" vertical="center" wrapText="1" indent="2"/>
      <protection/>
    </xf>
    <xf numFmtId="3" fontId="2" fillId="0" borderId="0" xfId="82" applyNumberFormat="1" applyFont="1" applyBorder="1" applyAlignment="1">
      <alignment vertical="center"/>
      <protection/>
    </xf>
    <xf numFmtId="10" fontId="2" fillId="0" borderId="27" xfId="104" applyNumberFormat="1" applyFont="1" applyBorder="1" applyAlignment="1">
      <alignment vertical="center"/>
    </xf>
    <xf numFmtId="3" fontId="2" fillId="0" borderId="0" xfId="104" applyNumberFormat="1" applyFont="1" applyBorder="1" applyAlignment="1">
      <alignment vertical="center"/>
    </xf>
    <xf numFmtId="0" fontId="4" fillId="0" borderId="13" xfId="82" applyFont="1" applyFill="1" applyBorder="1" applyAlignment="1">
      <alignment vertical="center" wrapText="1"/>
      <protection/>
    </xf>
    <xf numFmtId="3" fontId="4" fillId="0" borderId="0" xfId="82" applyNumberFormat="1" applyFont="1" applyFill="1" applyBorder="1" applyAlignment="1">
      <alignment vertical="center"/>
      <protection/>
    </xf>
    <xf numFmtId="0" fontId="2" fillId="0" borderId="13" xfId="82" applyFont="1" applyFill="1" applyBorder="1" applyAlignment="1">
      <alignment horizontal="left" vertical="center" wrapText="1" indent="2"/>
      <protection/>
    </xf>
    <xf numFmtId="3" fontId="2" fillId="0" borderId="0" xfId="82" applyNumberFormat="1" applyFont="1" applyFill="1" applyBorder="1" applyAlignment="1">
      <alignment vertical="center"/>
      <protection/>
    </xf>
    <xf numFmtId="0" fontId="4" fillId="0" borderId="20" xfId="82" applyFont="1" applyBorder="1" applyAlignment="1">
      <alignment horizontal="center" vertical="center" wrapText="1"/>
      <protection/>
    </xf>
    <xf numFmtId="3" fontId="4" fillId="0" borderId="21" xfId="82" applyNumberFormat="1" applyFont="1" applyBorder="1" applyAlignment="1">
      <alignment vertical="center"/>
      <protection/>
    </xf>
    <xf numFmtId="10" fontId="4" fillId="0" borderId="38" xfId="104" applyNumberFormat="1" applyFont="1" applyBorder="1" applyAlignment="1">
      <alignment vertical="center"/>
    </xf>
    <xf numFmtId="0" fontId="4" fillId="0" borderId="0" xfId="82" applyFont="1" applyAlignment="1">
      <alignment vertical="center"/>
      <protection/>
    </xf>
    <xf numFmtId="0" fontId="2" fillId="0" borderId="0" xfId="82" applyFont="1" applyAlignment="1">
      <alignment wrapText="1"/>
      <protection/>
    </xf>
    <xf numFmtId="3" fontId="2" fillId="0" borderId="0" xfId="82" applyNumberFormat="1" applyFont="1">
      <alignment/>
      <protection/>
    </xf>
    <xf numFmtId="0" fontId="2" fillId="0" borderId="0" xfId="82" applyFont="1">
      <alignment/>
      <protection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top"/>
    </xf>
    <xf numFmtId="3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top"/>
    </xf>
    <xf numFmtId="3" fontId="5" fillId="0" borderId="27" xfId="0" applyNumberFormat="1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9" xfId="79" applyNumberFormat="1" applyFont="1" applyFill="1" applyBorder="1" applyAlignment="1">
      <alignment horizontal="left" textRotation="90" wrapText="1"/>
      <protection/>
    </xf>
    <xf numFmtId="3" fontId="2" fillId="0" borderId="19" xfId="79" applyNumberFormat="1" applyFont="1" applyFill="1" applyBorder="1" applyAlignment="1">
      <alignment horizontal="center" wrapText="1"/>
      <protection/>
    </xf>
    <xf numFmtId="3" fontId="4" fillId="0" borderId="19" xfId="79" applyNumberFormat="1" applyFont="1" applyFill="1" applyBorder="1" applyAlignment="1">
      <alignment horizontal="left" wrapText="1"/>
      <protection/>
    </xf>
    <xf numFmtId="3" fontId="4" fillId="0" borderId="0" xfId="79" applyNumberFormat="1" applyFont="1" applyFill="1" applyBorder="1" applyAlignment="1">
      <alignment horizontal="left"/>
      <protection/>
    </xf>
    <xf numFmtId="3" fontId="4" fillId="0" borderId="0" xfId="79" applyNumberFormat="1" applyFont="1" applyFill="1" applyAlignment="1">
      <alignment horizontal="left"/>
      <protection/>
    </xf>
    <xf numFmtId="3" fontId="4" fillId="0" borderId="0" xfId="79" applyNumberFormat="1" applyFont="1" applyFill="1" applyBorder="1" applyAlignment="1">
      <alignment horizontal="left" wrapText="1"/>
      <protection/>
    </xf>
    <xf numFmtId="3" fontId="2" fillId="0" borderId="0" xfId="79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wrapText="1"/>
    </xf>
    <xf numFmtId="3" fontId="4" fillId="0" borderId="18" xfId="79" applyNumberFormat="1" applyFont="1" applyFill="1" applyBorder="1" applyAlignment="1">
      <alignment horizontal="left" textRotation="90" wrapText="1"/>
      <protection/>
    </xf>
    <xf numFmtId="3" fontId="2" fillId="0" borderId="18" xfId="79" applyNumberFormat="1" applyFont="1" applyFill="1" applyBorder="1" applyAlignment="1">
      <alignment horizontal="center" wrapText="1"/>
      <protection/>
    </xf>
    <xf numFmtId="3" fontId="4" fillId="0" borderId="18" xfId="79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4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" fillId="0" borderId="0" xfId="80" applyNumberFormat="1" applyFont="1" applyFill="1" applyBorder="1" applyAlignment="1">
      <alignment vertical="center" wrapText="1"/>
      <protection/>
    </xf>
    <xf numFmtId="3" fontId="2" fillId="0" borderId="0" xfId="84" applyNumberFormat="1" applyFont="1">
      <alignment/>
      <protection/>
    </xf>
    <xf numFmtId="3" fontId="2" fillId="0" borderId="0" xfId="84" applyNumberFormat="1" applyFont="1" applyAlignment="1">
      <alignment horizontal="center"/>
      <protection/>
    </xf>
    <xf numFmtId="14" fontId="2" fillId="0" borderId="0" xfId="84" applyNumberFormat="1" applyFont="1" applyAlignment="1">
      <alignment horizontal="center"/>
      <protection/>
    </xf>
    <xf numFmtId="3" fontId="2" fillId="0" borderId="0" xfId="84" applyNumberFormat="1" applyFont="1" applyAlignment="1">
      <alignment horizontal="center" vertical="center" wrapText="1"/>
      <protection/>
    </xf>
    <xf numFmtId="3" fontId="4" fillId="0" borderId="43" xfId="84" applyNumberFormat="1" applyFont="1" applyBorder="1" applyAlignment="1">
      <alignment horizontal="right" vertical="center"/>
      <protection/>
    </xf>
    <xf numFmtId="3" fontId="2" fillId="0" borderId="44" xfId="84" applyNumberFormat="1" applyFont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45" xfId="79" applyNumberFormat="1" applyFont="1" applyFill="1" applyBorder="1" applyAlignment="1">
      <alignment horizontal="center" vertical="center" wrapText="1"/>
      <protection/>
    </xf>
    <xf numFmtId="3" fontId="4" fillId="0" borderId="46" xfId="79" applyNumberFormat="1" applyFont="1" applyFill="1" applyBorder="1" applyAlignment="1">
      <alignment horizontal="right" wrapText="1"/>
      <protection/>
    </xf>
    <xf numFmtId="3" fontId="4" fillId="0" borderId="46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/>
    </xf>
    <xf numFmtId="3" fontId="2" fillId="0" borderId="49" xfId="79" applyNumberFormat="1" applyFont="1" applyFill="1" applyBorder="1" applyAlignment="1">
      <alignment horizontal="center" vertical="center" wrapText="1"/>
      <protection/>
    </xf>
    <xf numFmtId="3" fontId="4" fillId="0" borderId="50" xfId="79" applyNumberFormat="1" applyFont="1" applyFill="1" applyBorder="1">
      <alignment/>
      <protection/>
    </xf>
    <xf numFmtId="3" fontId="2" fillId="0" borderId="46" xfId="79" applyNumberFormat="1" applyFont="1" applyFill="1" applyBorder="1">
      <alignment/>
      <protection/>
    </xf>
    <xf numFmtId="3" fontId="4" fillId="0" borderId="47" xfId="79" applyNumberFormat="1" applyFont="1" applyFill="1" applyBorder="1">
      <alignment/>
      <protection/>
    </xf>
    <xf numFmtId="3" fontId="4" fillId="0" borderId="46" xfId="79" applyNumberFormat="1" applyFont="1" applyFill="1" applyBorder="1">
      <alignment/>
      <protection/>
    </xf>
    <xf numFmtId="3" fontId="5" fillId="0" borderId="46" xfId="79" applyNumberFormat="1" applyFont="1" applyFill="1" applyBorder="1">
      <alignment/>
      <protection/>
    </xf>
    <xf numFmtId="3" fontId="4" fillId="0" borderId="46" xfId="79" applyNumberFormat="1" applyFont="1" applyFill="1" applyBorder="1" applyAlignment="1">
      <alignment vertical="center"/>
      <protection/>
    </xf>
    <xf numFmtId="3" fontId="2" fillId="0" borderId="46" xfId="79" applyNumberFormat="1" applyFont="1" applyFill="1" applyBorder="1" applyAlignment="1">
      <alignment vertical="top"/>
      <protection/>
    </xf>
    <xf numFmtId="3" fontId="4" fillId="0" borderId="45" xfId="79" applyNumberFormat="1" applyFont="1" applyFill="1" applyBorder="1" applyAlignment="1">
      <alignment vertical="center"/>
      <protection/>
    </xf>
    <xf numFmtId="3" fontId="2" fillId="0" borderId="46" xfId="79" applyNumberFormat="1" applyFont="1" applyFill="1" applyBorder="1" applyAlignment="1">
      <alignment/>
      <protection/>
    </xf>
    <xf numFmtId="3" fontId="2" fillId="0" borderId="0" xfId="79" applyNumberFormat="1" applyFont="1" applyFill="1" applyBorder="1" applyAlignment="1">
      <alignment horizontal="center" vertical="top" wrapText="1"/>
      <protection/>
    </xf>
    <xf numFmtId="3" fontId="10" fillId="0" borderId="51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/>
    </xf>
    <xf numFmtId="3" fontId="12" fillId="0" borderId="52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top"/>
    </xf>
    <xf numFmtId="3" fontId="10" fillId="0" borderId="25" xfId="0" applyNumberFormat="1" applyFont="1" applyFill="1" applyBorder="1" applyAlignment="1">
      <alignment horizontal="center" vertical="top"/>
    </xf>
    <xf numFmtId="3" fontId="10" fillId="0" borderId="25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top"/>
    </xf>
    <xf numFmtId="3" fontId="12" fillId="0" borderId="25" xfId="0" applyNumberFormat="1" applyFont="1" applyFill="1" applyBorder="1" applyAlignment="1">
      <alignment vertical="top"/>
    </xf>
    <xf numFmtId="3" fontId="13" fillId="0" borderId="26" xfId="0" applyNumberFormat="1" applyFont="1" applyFill="1" applyBorder="1" applyAlignment="1">
      <alignment vertical="top"/>
    </xf>
    <xf numFmtId="0" fontId="0" fillId="0" borderId="25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3" fontId="10" fillId="0" borderId="32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/>
    </xf>
    <xf numFmtId="3" fontId="10" fillId="0" borderId="25" xfId="90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53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3" fontId="10" fillId="0" borderId="3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center" vertical="top"/>
    </xf>
    <xf numFmtId="3" fontId="13" fillId="0" borderId="58" xfId="0" applyNumberFormat="1" applyFont="1" applyFill="1" applyBorder="1" applyAlignment="1">
      <alignment vertical="center"/>
    </xf>
    <xf numFmtId="3" fontId="13" fillId="0" borderId="25" xfId="90" applyNumberFormat="1" applyFont="1" applyFill="1" applyBorder="1" applyAlignment="1">
      <alignment/>
      <protection/>
    </xf>
    <xf numFmtId="3" fontId="13" fillId="0" borderId="30" xfId="90" applyNumberFormat="1" applyFont="1" applyFill="1" applyBorder="1" applyAlignment="1">
      <alignment wrapText="1"/>
      <protection/>
    </xf>
    <xf numFmtId="3" fontId="13" fillId="0" borderId="30" xfId="90" applyNumberFormat="1" applyFont="1" applyFill="1" applyBorder="1" applyAlignment="1">
      <alignment/>
      <protection/>
    </xf>
    <xf numFmtId="3" fontId="10" fillId="0" borderId="2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59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3" fillId="0" borderId="60" xfId="0" applyNumberFormat="1" applyFont="1" applyFill="1" applyBorder="1" applyAlignment="1">
      <alignment horizontal="right"/>
    </xf>
    <xf numFmtId="3" fontId="13" fillId="0" borderId="59" xfId="0" applyNumberFormat="1" applyFont="1" applyFill="1" applyBorder="1" applyAlignment="1">
      <alignment horizontal="right" vertical="center"/>
    </xf>
    <xf numFmtId="3" fontId="13" fillId="0" borderId="60" xfId="0" applyNumberFormat="1" applyFont="1" applyFill="1" applyBorder="1" applyAlignment="1">
      <alignment horizontal="right" vertical="center"/>
    </xf>
    <xf numFmtId="3" fontId="16" fillId="0" borderId="5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2" fillId="0" borderId="61" xfId="84" applyNumberFormat="1" applyFont="1" applyBorder="1" applyAlignment="1">
      <alignment horizontal="center" vertical="center" wrapText="1"/>
      <protection/>
    </xf>
    <xf numFmtId="3" fontId="2" fillId="0" borderId="62" xfId="84" applyNumberFormat="1" applyFont="1" applyBorder="1" applyAlignment="1">
      <alignment horizontal="center" vertical="center" wrapText="1"/>
      <protection/>
    </xf>
    <xf numFmtId="3" fontId="2" fillId="0" borderId="61" xfId="84" applyNumberFormat="1" applyFont="1" applyBorder="1" applyAlignment="1">
      <alignment horizontal="center" vertical="center" wrapText="1"/>
      <protection/>
    </xf>
    <xf numFmtId="3" fontId="10" fillId="0" borderId="0" xfId="80" applyNumberFormat="1" applyFont="1" applyFill="1">
      <alignment/>
      <protection/>
    </xf>
    <xf numFmtId="3" fontId="25" fillId="0" borderId="25" xfId="80" applyNumberFormat="1" applyFont="1" applyFill="1" applyBorder="1" applyAlignment="1">
      <alignment wrapText="1"/>
      <protection/>
    </xf>
    <xf numFmtId="3" fontId="2" fillId="0" borderId="0" xfId="80" applyNumberFormat="1" applyFont="1" applyFill="1" applyBorder="1">
      <alignment/>
      <protection/>
    </xf>
    <xf numFmtId="3" fontId="13" fillId="0" borderId="32" xfId="80" applyNumberFormat="1" applyFont="1" applyFill="1" applyBorder="1" applyAlignment="1">
      <alignment horizontal="center" vertical="center"/>
      <protection/>
    </xf>
    <xf numFmtId="3" fontId="2" fillId="0" borderId="63" xfId="79" applyNumberFormat="1" applyFont="1" applyFill="1" applyBorder="1" applyAlignment="1">
      <alignment horizontal="center" textRotation="90" wrapText="1"/>
      <protection/>
    </xf>
    <xf numFmtId="3" fontId="2" fillId="0" borderId="13" xfId="79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64" xfId="79" applyNumberFormat="1" applyFont="1" applyFill="1" applyBorder="1" applyAlignment="1">
      <alignment horizontal="center" textRotation="90" wrapText="1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49" fontId="2" fillId="0" borderId="63" xfId="79" applyNumberFormat="1" applyFont="1" applyFill="1" applyBorder="1" applyAlignment="1">
      <alignment horizontal="center"/>
      <protection/>
    </xf>
    <xf numFmtId="49" fontId="2" fillId="0" borderId="64" xfId="79" applyNumberFormat="1" applyFont="1" applyFill="1" applyBorder="1" applyAlignment="1">
      <alignment horizontal="center"/>
      <protection/>
    </xf>
    <xf numFmtId="49" fontId="5" fillId="0" borderId="13" xfId="79" applyNumberFormat="1" applyFont="1" applyFill="1" applyBorder="1" applyAlignment="1">
      <alignment horizontal="center"/>
      <protection/>
    </xf>
    <xf numFmtId="49" fontId="2" fillId="0" borderId="13" xfId="79" applyNumberFormat="1" applyFont="1" applyFill="1" applyBorder="1" applyAlignment="1">
      <alignment horizontal="center" vertical="center"/>
      <protection/>
    </xf>
    <xf numFmtId="3" fontId="10" fillId="0" borderId="49" xfId="79" applyNumberFormat="1" applyFont="1" applyFill="1" applyBorder="1" applyAlignment="1">
      <alignment horizontal="center" vertical="center" wrapText="1"/>
      <protection/>
    </xf>
    <xf numFmtId="3" fontId="2" fillId="0" borderId="68" xfId="79" applyNumberFormat="1" applyFont="1" applyFill="1" applyBorder="1" applyAlignment="1">
      <alignment horizontal="center" vertical="center" textRotation="90" wrapText="1"/>
      <protection/>
    </xf>
    <xf numFmtId="3" fontId="2" fillId="0" borderId="49" xfId="79" applyNumberFormat="1" applyFont="1" applyFill="1" applyBorder="1" applyAlignment="1">
      <alignment horizontal="center" vertical="center" textRotation="90" wrapText="1"/>
      <protection/>
    </xf>
    <xf numFmtId="3" fontId="4" fillId="0" borderId="49" xfId="79" applyNumberFormat="1" applyFont="1" applyFill="1" applyBorder="1" applyAlignment="1">
      <alignment horizontal="center" vertical="center" wrapText="1"/>
      <protection/>
    </xf>
    <xf numFmtId="3" fontId="2" fillId="0" borderId="69" xfId="79" applyNumberFormat="1" applyFont="1" applyFill="1" applyBorder="1" applyAlignment="1">
      <alignment horizontal="center" vertical="center" wrapText="1"/>
      <protection/>
    </xf>
    <xf numFmtId="3" fontId="2" fillId="0" borderId="21" xfId="79" applyNumberFormat="1" applyFont="1" applyFill="1" applyBorder="1" applyAlignment="1">
      <alignment horizontal="center" vertical="center" wrapText="1"/>
      <protection/>
    </xf>
    <xf numFmtId="3" fontId="4" fillId="0" borderId="19" xfId="79" applyNumberFormat="1" applyFont="1" applyFill="1" applyBorder="1" applyAlignment="1">
      <alignment horizontal="right" wrapText="1"/>
      <protection/>
    </xf>
    <xf numFmtId="3" fontId="4" fillId="0" borderId="50" xfId="79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 horizontal="right"/>
    </xf>
    <xf numFmtId="3" fontId="4" fillId="0" borderId="18" xfId="79" applyNumberFormat="1" applyFont="1" applyFill="1" applyBorder="1" applyAlignment="1">
      <alignment horizontal="right" wrapText="1"/>
      <protection/>
    </xf>
    <xf numFmtId="49" fontId="4" fillId="0" borderId="0" xfId="0" applyNumberFormat="1" applyFont="1" applyFill="1" applyAlignment="1">
      <alignment/>
    </xf>
    <xf numFmtId="3" fontId="4" fillId="0" borderId="40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horizontal="right" vertical="center"/>
    </xf>
    <xf numFmtId="3" fontId="5" fillId="0" borderId="0" xfId="79" applyNumberFormat="1" applyFont="1" applyFill="1" applyBorder="1" applyAlignment="1">
      <alignment horizontal="right"/>
      <protection/>
    </xf>
    <xf numFmtId="3" fontId="2" fillId="0" borderId="15" xfId="79" applyNumberFormat="1" applyFont="1" applyFill="1" applyBorder="1" applyAlignment="1">
      <alignment horizontal="center"/>
      <protection/>
    </xf>
    <xf numFmtId="49" fontId="2" fillId="0" borderId="68" xfId="79" applyNumberFormat="1" applyFont="1" applyFill="1" applyBorder="1" applyAlignment="1">
      <alignment horizontal="center" vertical="center" textRotation="90"/>
      <protection/>
    </xf>
    <xf numFmtId="3" fontId="2" fillId="0" borderId="49" xfId="79" applyNumberFormat="1" applyFont="1" applyFill="1" applyBorder="1" applyAlignment="1">
      <alignment horizontal="center" vertical="center" textRotation="90"/>
      <protection/>
    </xf>
    <xf numFmtId="3" fontId="4" fillId="0" borderId="49" xfId="79" applyNumberFormat="1" applyFont="1" applyFill="1" applyBorder="1" applyAlignment="1">
      <alignment horizontal="center" vertical="center"/>
      <protection/>
    </xf>
    <xf numFmtId="3" fontId="2" fillId="0" borderId="72" xfId="7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3" xfId="86" applyFont="1" applyFill="1" applyBorder="1" applyAlignment="1">
      <alignment horizontal="center" vertical="center" wrapText="1"/>
      <protection/>
    </xf>
    <xf numFmtId="0" fontId="2" fillId="0" borderId="30" xfId="89" applyFont="1" applyFill="1" applyBorder="1" applyAlignment="1">
      <alignment vertical="center" wrapText="1"/>
      <protection/>
    </xf>
    <xf numFmtId="14" fontId="2" fillId="0" borderId="30" xfId="89" applyNumberFormat="1" applyFont="1" applyFill="1" applyBorder="1" applyAlignment="1">
      <alignment horizontal="center" vertical="center"/>
      <protection/>
    </xf>
    <xf numFmtId="3" fontId="2" fillId="0" borderId="30" xfId="88" applyNumberFormat="1" applyFont="1" applyFill="1" applyBorder="1" applyAlignment="1">
      <alignment horizontal="right" vertical="center"/>
      <protection/>
    </xf>
    <xf numFmtId="0" fontId="2" fillId="0" borderId="25" xfId="89" applyFont="1" applyFill="1" applyBorder="1" applyAlignment="1">
      <alignment horizontal="center" vertical="center" wrapText="1"/>
      <protection/>
    </xf>
    <xf numFmtId="0" fontId="2" fillId="0" borderId="54" xfId="89" applyFont="1" applyFill="1" applyBorder="1" applyAlignment="1">
      <alignment horizontal="center" vertical="center" wrapText="1"/>
      <protection/>
    </xf>
    <xf numFmtId="0" fontId="2" fillId="0" borderId="0" xfId="93" applyFont="1" applyFill="1" applyBorder="1">
      <alignment/>
      <protection/>
    </xf>
    <xf numFmtId="0" fontId="2" fillId="0" borderId="0" xfId="93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/>
      <protection/>
    </xf>
    <xf numFmtId="0" fontId="2" fillId="0" borderId="24" xfId="93" applyFont="1" applyFill="1" applyBorder="1" applyAlignment="1">
      <alignment horizontal="center" vertical="center"/>
      <protection/>
    </xf>
    <xf numFmtId="0" fontId="2" fillId="0" borderId="25" xfId="93" applyFont="1" applyFill="1" applyBorder="1" applyAlignment="1">
      <alignment horizontal="center" vertical="top"/>
      <protection/>
    </xf>
    <xf numFmtId="0" fontId="2" fillId="0" borderId="25" xfId="83" applyFont="1" applyFill="1" applyBorder="1" applyAlignment="1">
      <alignment wrapText="1"/>
      <protection/>
    </xf>
    <xf numFmtId="0" fontId="2" fillId="0" borderId="25" xfId="83" applyFont="1" applyFill="1" applyBorder="1" applyAlignment="1">
      <alignment vertical="top" wrapText="1"/>
      <protection/>
    </xf>
    <xf numFmtId="0" fontId="2" fillId="0" borderId="0" xfId="93" applyFont="1" applyFill="1" applyBorder="1" applyAlignment="1">
      <alignment vertical="center"/>
      <protection/>
    </xf>
    <xf numFmtId="0" fontId="2" fillId="0" borderId="25" xfId="93" applyFont="1" applyFill="1" applyBorder="1" applyAlignment="1">
      <alignment vertical="center" wrapText="1"/>
      <protection/>
    </xf>
    <xf numFmtId="3" fontId="2" fillId="0" borderId="30" xfId="83" applyNumberFormat="1" applyFont="1" applyFill="1" applyBorder="1" applyAlignment="1">
      <alignment horizontal="right"/>
      <protection/>
    </xf>
    <xf numFmtId="3" fontId="2" fillId="0" borderId="31" xfId="93" applyNumberFormat="1" applyFont="1" applyFill="1" applyBorder="1" applyAlignment="1">
      <alignment horizontal="right"/>
      <protection/>
    </xf>
    <xf numFmtId="3" fontId="2" fillId="0" borderId="30" xfId="93" applyNumberFormat="1" applyFont="1" applyFill="1" applyBorder="1" applyAlignment="1">
      <alignment horizontal="right"/>
      <protection/>
    </xf>
    <xf numFmtId="0" fontId="4" fillId="0" borderId="0" xfId="93" applyFont="1" applyFill="1" applyBorder="1" applyAlignment="1">
      <alignment vertical="center"/>
      <protection/>
    </xf>
    <xf numFmtId="0" fontId="2" fillId="0" borderId="0" xfId="93" applyFont="1" applyFill="1" applyBorder="1" applyAlignment="1">
      <alignment horizontal="left"/>
      <protection/>
    </xf>
    <xf numFmtId="3" fontId="2" fillId="0" borderId="25" xfId="93" applyNumberFormat="1" applyFont="1" applyFill="1" applyBorder="1" applyAlignment="1">
      <alignment horizontal="right"/>
      <protection/>
    </xf>
    <xf numFmtId="3" fontId="2" fillId="0" borderId="29" xfId="93" applyNumberFormat="1" applyFont="1" applyFill="1" applyBorder="1" applyAlignment="1">
      <alignment horizontal="right"/>
      <protection/>
    </xf>
    <xf numFmtId="3" fontId="2" fillId="0" borderId="0" xfId="94" applyNumberFormat="1" applyFont="1" applyFill="1" applyBorder="1" applyAlignment="1">
      <alignment horizontal="right"/>
      <protection/>
    </xf>
    <xf numFmtId="3" fontId="2" fillId="0" borderId="0" xfId="94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3" fillId="0" borderId="74" xfId="0" applyNumberFormat="1" applyFont="1" applyFill="1" applyBorder="1" applyAlignment="1">
      <alignment vertical="center"/>
    </xf>
    <xf numFmtId="3" fontId="16" fillId="0" borderId="74" xfId="0" applyNumberFormat="1" applyFont="1" applyFill="1" applyBorder="1" applyAlignment="1">
      <alignment vertical="center"/>
    </xf>
    <xf numFmtId="3" fontId="16" fillId="0" borderId="75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 horizontal="right" wrapText="1"/>
    </xf>
    <xf numFmtId="3" fontId="12" fillId="0" borderId="25" xfId="80" applyNumberFormat="1" applyFont="1" applyFill="1" applyBorder="1" applyAlignment="1">
      <alignment wrapText="1"/>
      <protection/>
    </xf>
    <xf numFmtId="3" fontId="12" fillId="0" borderId="30" xfId="80" applyNumberFormat="1" applyFont="1" applyFill="1" applyBorder="1" applyAlignment="1">
      <alignment horizontal="left" vertical="top" wrapText="1" indent="4"/>
      <protection/>
    </xf>
    <xf numFmtId="3" fontId="12" fillId="0" borderId="25" xfId="80" applyNumberFormat="1" applyFont="1" applyFill="1" applyBorder="1" applyAlignment="1">
      <alignment horizontal="left" wrapText="1"/>
      <protection/>
    </xf>
    <xf numFmtId="3" fontId="12" fillId="0" borderId="25" xfId="80" applyNumberFormat="1" applyFont="1" applyFill="1" applyBorder="1" applyAlignment="1">
      <alignment horizontal="left" wrapText="1" indent="3"/>
      <protection/>
    </xf>
    <xf numFmtId="3" fontId="13" fillId="0" borderId="25" xfId="0" applyNumberFormat="1" applyFont="1" applyFill="1" applyBorder="1" applyAlignment="1">
      <alignment horizontal="right" wrapText="1"/>
    </xf>
    <xf numFmtId="3" fontId="10" fillId="0" borderId="57" xfId="80" applyNumberFormat="1" applyFont="1" applyFill="1" applyBorder="1" applyAlignment="1">
      <alignment horizontal="center" vertical="center"/>
      <protection/>
    </xf>
    <xf numFmtId="0" fontId="10" fillId="0" borderId="77" xfId="95" applyFont="1" applyFill="1" applyBorder="1" applyAlignment="1">
      <alignment wrapText="1"/>
      <protection/>
    </xf>
    <xf numFmtId="3" fontId="13" fillId="0" borderId="78" xfId="80" applyNumberFormat="1" applyFont="1" applyFill="1" applyBorder="1" applyAlignment="1">
      <alignment horizontal="right" vertical="center"/>
      <protection/>
    </xf>
    <xf numFmtId="3" fontId="10" fillId="0" borderId="77" xfId="0" applyNumberFormat="1" applyFont="1" applyFill="1" applyBorder="1" applyAlignment="1">
      <alignment horizontal="right" vertical="center" wrapText="1"/>
    </xf>
    <xf numFmtId="3" fontId="13" fillId="0" borderId="79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5" xfId="90" applyNumberFormat="1" applyFont="1" applyFill="1" applyBorder="1" applyAlignment="1">
      <alignment/>
      <protection/>
    </xf>
    <xf numFmtId="3" fontId="10" fillId="0" borderId="25" xfId="90" applyNumberFormat="1" applyFont="1" applyFill="1" applyBorder="1" applyAlignment="1">
      <alignment horizontal="center"/>
      <protection/>
    </xf>
    <xf numFmtId="3" fontId="10" fillId="0" borderId="30" xfId="90" applyNumberFormat="1" applyFont="1" applyFill="1" applyBorder="1" applyAlignment="1">
      <alignment horizontal="center"/>
      <protection/>
    </xf>
    <xf numFmtId="3" fontId="10" fillId="0" borderId="31" xfId="0" applyNumberFormat="1" applyFont="1" applyFill="1" applyBorder="1" applyAlignment="1">
      <alignment/>
    </xf>
    <xf numFmtId="3" fontId="10" fillId="0" borderId="25" xfId="90" applyNumberFormat="1" applyFont="1" applyFill="1" applyBorder="1" applyAlignment="1">
      <alignment horizontal="center" vertical="top" wrapText="1"/>
      <protection/>
    </xf>
    <xf numFmtId="3" fontId="10" fillId="0" borderId="29" xfId="0" applyNumberFormat="1" applyFont="1" applyFill="1" applyBorder="1" applyAlignment="1">
      <alignment vertical="top"/>
    </xf>
    <xf numFmtId="3" fontId="13" fillId="0" borderId="30" xfId="0" applyNumberFormat="1" applyFont="1" applyFill="1" applyBorder="1" applyAlignment="1">
      <alignment horizontal="left"/>
    </xf>
    <xf numFmtId="3" fontId="13" fillId="0" borderId="52" xfId="90" applyNumberFormat="1" applyFont="1" applyFill="1" applyBorder="1" applyAlignment="1">
      <alignment horizontal="center"/>
      <protection/>
    </xf>
    <xf numFmtId="3" fontId="13" fillId="0" borderId="52" xfId="0" applyNumberFormat="1" applyFont="1" applyFill="1" applyBorder="1" applyAlignment="1">
      <alignment vertical="center"/>
    </xf>
    <xf numFmtId="3" fontId="13" fillId="0" borderId="80" xfId="0" applyNumberFormat="1" applyFont="1" applyFill="1" applyBorder="1" applyAlignment="1">
      <alignment vertical="center"/>
    </xf>
    <xf numFmtId="3" fontId="13" fillId="0" borderId="80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center" vertical="center"/>
    </xf>
    <xf numFmtId="3" fontId="13" fillId="0" borderId="80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" fillId="0" borderId="25" xfId="93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0" borderId="84" xfId="0" applyNumberFormat="1" applyFont="1" applyFill="1" applyBorder="1" applyAlignment="1">
      <alignment horizontal="center" wrapText="1"/>
    </xf>
    <xf numFmtId="3" fontId="2" fillId="0" borderId="85" xfId="0" applyNumberFormat="1" applyFont="1" applyFill="1" applyBorder="1" applyAlignment="1">
      <alignment/>
    </xf>
    <xf numFmtId="0" fontId="2" fillId="0" borderId="86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86" xfId="0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87" xfId="0" applyNumberFormat="1" applyFont="1" applyFill="1" applyBorder="1" applyAlignment="1">
      <alignment vertical="center"/>
    </xf>
    <xf numFmtId="3" fontId="4" fillId="0" borderId="88" xfId="0" applyNumberFormat="1" applyFont="1" applyFill="1" applyBorder="1" applyAlignment="1">
      <alignment horizontal="center" vertical="center"/>
    </xf>
    <xf numFmtId="3" fontId="4" fillId="0" borderId="8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85" xfId="0" applyNumberFormat="1" applyFont="1" applyFill="1" applyBorder="1" applyAlignment="1">
      <alignment horizontal="right"/>
    </xf>
    <xf numFmtId="1" fontId="2" fillId="0" borderId="86" xfId="0" applyNumberFormat="1" applyFont="1" applyFill="1" applyBorder="1" applyAlignment="1">
      <alignment horizontal="center"/>
    </xf>
    <xf numFmtId="3" fontId="2" fillId="0" borderId="90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3" fontId="4" fillId="0" borderId="91" xfId="0" applyNumberFormat="1" applyFont="1" applyFill="1" applyBorder="1" applyAlignment="1">
      <alignment horizontal="center" vertical="center"/>
    </xf>
    <xf numFmtId="3" fontId="4" fillId="0" borderId="92" xfId="0" applyNumberFormat="1" applyFont="1" applyFill="1" applyBorder="1" applyAlignment="1">
      <alignment horizontal="right" vertical="center"/>
    </xf>
    <xf numFmtId="0" fontId="4" fillId="0" borderId="93" xfId="0" applyFont="1" applyFill="1" applyBorder="1" applyAlignment="1">
      <alignment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right" vertical="center"/>
    </xf>
    <xf numFmtId="0" fontId="4" fillId="0" borderId="91" xfId="0" applyFont="1" applyFill="1" applyBorder="1" applyAlignment="1">
      <alignment horizontal="right" vertical="center"/>
    </xf>
    <xf numFmtId="0" fontId="4" fillId="0" borderId="96" xfId="0" applyFont="1" applyFill="1" applyBorder="1" applyAlignment="1">
      <alignment horizontal="right" vertical="center"/>
    </xf>
    <xf numFmtId="0" fontId="4" fillId="0" borderId="97" xfId="0" applyFont="1" applyFill="1" applyBorder="1" applyAlignment="1">
      <alignment horizontal="left" vertical="center"/>
    </xf>
    <xf numFmtId="3" fontId="4" fillId="0" borderId="8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9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0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8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1" xfId="0" applyFont="1" applyFill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2" fillId="0" borderId="85" xfId="0" applyNumberFormat="1" applyFont="1" applyFill="1" applyBorder="1" applyAlignment="1">
      <alignment horizontal="right" vertical="center"/>
    </xf>
    <xf numFmtId="3" fontId="2" fillId="0" borderId="102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65" fontId="2" fillId="0" borderId="85" xfId="102" applyNumberFormat="1" applyFont="1" applyFill="1" applyBorder="1" applyAlignment="1">
      <alignment horizontal="right"/>
    </xf>
    <xf numFmtId="165" fontId="2" fillId="0" borderId="106" xfId="102" applyNumberFormat="1" applyFont="1" applyFill="1" applyBorder="1" applyAlignment="1">
      <alignment horizontal="right"/>
    </xf>
    <xf numFmtId="3" fontId="2" fillId="0" borderId="90" xfId="0" applyNumberFormat="1" applyFont="1" applyFill="1" applyBorder="1" applyAlignment="1">
      <alignment horizontal="right" vertical="center" textRotation="180"/>
    </xf>
    <xf numFmtId="3" fontId="4" fillId="0" borderId="107" xfId="0" applyNumberFormat="1" applyFont="1" applyFill="1" applyBorder="1" applyAlignment="1">
      <alignment horizontal="right" vertical="center"/>
    </xf>
    <xf numFmtId="3" fontId="2" fillId="0" borderId="90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3" fontId="2" fillId="0" borderId="108" xfId="0" applyNumberFormat="1" applyFont="1" applyFill="1" applyBorder="1" applyAlignment="1">
      <alignment horizontal="right" vertical="center"/>
    </xf>
    <xf numFmtId="165" fontId="2" fillId="0" borderId="90" xfId="102" applyNumberFormat="1" applyFont="1" applyFill="1" applyBorder="1" applyAlignment="1">
      <alignment horizontal="right"/>
    </xf>
    <xf numFmtId="165" fontId="2" fillId="0" borderId="37" xfId="102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 vertical="center" wrapText="1"/>
    </xf>
    <xf numFmtId="3" fontId="10" fillId="0" borderId="109" xfId="0" applyNumberFormat="1" applyFont="1" applyFill="1" applyBorder="1" applyAlignment="1">
      <alignment horizontal="center"/>
    </xf>
    <xf numFmtId="3" fontId="10" fillId="0" borderId="109" xfId="0" applyNumberFormat="1" applyFont="1" applyFill="1" applyBorder="1" applyAlignment="1">
      <alignment horizontal="right"/>
    </xf>
    <xf numFmtId="3" fontId="13" fillId="0" borderId="109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vertical="center"/>
    </xf>
    <xf numFmtId="14" fontId="2" fillId="0" borderId="30" xfId="89" applyNumberFormat="1" applyFont="1" applyFill="1" applyBorder="1" applyAlignment="1">
      <alignment horizontal="center" vertical="center" wrapText="1"/>
      <protection/>
    </xf>
    <xf numFmtId="0" fontId="2" fillId="0" borderId="0" xfId="89" applyFont="1" applyFill="1" applyAlignment="1">
      <alignment horizontal="center" vertical="center"/>
      <protection/>
    </xf>
    <xf numFmtId="0" fontId="2" fillId="0" borderId="0" xfId="86" applyFont="1" applyFill="1" applyAlignment="1">
      <alignment horizontal="center"/>
      <protection/>
    </xf>
    <xf numFmtId="0" fontId="2" fillId="0" borderId="0" xfId="89" applyFont="1" applyFill="1">
      <alignment/>
      <protection/>
    </xf>
    <xf numFmtId="0" fontId="2" fillId="0" borderId="0" xfId="89" applyFont="1" applyFill="1" applyAlignment="1">
      <alignment vertical="center"/>
      <protection/>
    </xf>
    <xf numFmtId="0" fontId="2" fillId="0" borderId="0" xfId="86" applyFont="1" applyFill="1" applyAlignment="1">
      <alignment horizontal="center" vertical="center"/>
      <protection/>
    </xf>
    <xf numFmtId="0" fontId="2" fillId="0" borderId="0" xfId="87" applyFont="1" applyFill="1" applyAlignment="1">
      <alignment horizontal="center"/>
      <protection/>
    </xf>
    <xf numFmtId="0" fontId="2" fillId="0" borderId="0" xfId="89" applyFont="1" applyFill="1" applyAlignment="1">
      <alignment horizontal="center"/>
      <protection/>
    </xf>
    <xf numFmtId="0" fontId="2" fillId="0" borderId="32" xfId="89" applyFont="1" applyFill="1" applyBorder="1" applyAlignment="1">
      <alignment horizontal="center" vertical="top"/>
      <protection/>
    </xf>
    <xf numFmtId="0" fontId="2" fillId="0" borderId="30" xfId="89" applyFont="1" applyFill="1" applyBorder="1" applyAlignment="1">
      <alignment horizontal="center" vertical="center" wrapText="1"/>
      <protection/>
    </xf>
    <xf numFmtId="0" fontId="2" fillId="0" borderId="24" xfId="89" applyFont="1" applyFill="1" applyBorder="1" applyAlignment="1">
      <alignment horizontal="center" vertical="top"/>
      <protection/>
    </xf>
    <xf numFmtId="0" fontId="2" fillId="0" borderId="25" xfId="89" applyFont="1" applyFill="1" applyBorder="1" applyAlignment="1">
      <alignment vertical="center" wrapText="1"/>
      <protection/>
    </xf>
    <xf numFmtId="14" fontId="2" fillId="0" borderId="25" xfId="89" applyNumberFormat="1" applyFont="1" applyFill="1" applyBorder="1" applyAlignment="1">
      <alignment horizontal="center" vertical="center"/>
      <protection/>
    </xf>
    <xf numFmtId="0" fontId="2" fillId="0" borderId="76" xfId="89" applyFont="1" applyFill="1" applyBorder="1" applyAlignment="1">
      <alignment horizontal="center" vertical="top"/>
      <protection/>
    </xf>
    <xf numFmtId="0" fontId="2" fillId="0" borderId="54" xfId="89" applyFont="1" applyFill="1" applyBorder="1" applyAlignment="1">
      <alignment vertical="center" wrapText="1"/>
      <protection/>
    </xf>
    <xf numFmtId="14" fontId="2" fillId="0" borderId="54" xfId="89" applyNumberFormat="1" applyFont="1" applyFill="1" applyBorder="1" applyAlignment="1">
      <alignment horizontal="center" vertical="center"/>
      <protection/>
    </xf>
    <xf numFmtId="0" fontId="2" fillId="0" borderId="110" xfId="89" applyFont="1" applyFill="1" applyBorder="1" applyAlignment="1">
      <alignment horizontal="center" vertical="top"/>
      <protection/>
    </xf>
    <xf numFmtId="0" fontId="2" fillId="0" borderId="111" xfId="89" applyFont="1" applyFill="1" applyBorder="1" applyAlignment="1">
      <alignment vertical="center" wrapText="1"/>
      <protection/>
    </xf>
    <xf numFmtId="0" fontId="4" fillId="0" borderId="112" xfId="86" applyFont="1" applyFill="1" applyBorder="1" applyAlignment="1">
      <alignment horizontal="center" vertical="center"/>
      <protection/>
    </xf>
    <xf numFmtId="3" fontId="4" fillId="0" borderId="113" xfId="89" applyNumberFormat="1" applyFont="1" applyFill="1" applyBorder="1" applyAlignment="1">
      <alignment vertical="center"/>
      <protection/>
    </xf>
    <xf numFmtId="0" fontId="2" fillId="0" borderId="0" xfId="86" applyFont="1" applyFill="1">
      <alignment/>
      <protection/>
    </xf>
    <xf numFmtId="49" fontId="12" fillId="0" borderId="30" xfId="80" applyNumberFormat="1" applyFont="1" applyFill="1" applyBorder="1" applyAlignment="1">
      <alignment horizontal="left" wrapText="1" indent="4"/>
      <protection/>
    </xf>
    <xf numFmtId="10" fontId="2" fillId="0" borderId="27" xfId="104" applyNumberFormat="1" applyFont="1" applyFill="1" applyBorder="1" applyAlignment="1">
      <alignment vertical="center"/>
    </xf>
    <xf numFmtId="3" fontId="2" fillId="0" borderId="0" xfId="104" applyNumberFormat="1" applyFont="1" applyFill="1" applyBorder="1" applyAlignment="1">
      <alignment vertical="center"/>
    </xf>
    <xf numFmtId="10" fontId="4" fillId="0" borderId="27" xfId="104" applyNumberFormat="1" applyFont="1" applyFill="1" applyBorder="1" applyAlignment="1">
      <alignment vertical="center"/>
    </xf>
    <xf numFmtId="3" fontId="4" fillId="0" borderId="0" xfId="104" applyNumberFormat="1" applyFont="1" applyFill="1" applyBorder="1" applyAlignment="1">
      <alignment vertical="center"/>
    </xf>
    <xf numFmtId="0" fontId="4" fillId="0" borderId="0" xfId="82" applyFont="1" applyFill="1" applyAlignment="1">
      <alignment vertical="center"/>
      <protection/>
    </xf>
    <xf numFmtId="0" fontId="2" fillId="0" borderId="0" xfId="82" applyFont="1" applyFill="1" applyAlignment="1">
      <alignment vertical="center"/>
      <protection/>
    </xf>
    <xf numFmtId="3" fontId="10" fillId="0" borderId="25" xfId="80" applyNumberFormat="1" applyFont="1" applyFill="1" applyBorder="1" applyAlignment="1">
      <alignment horizontal="center" vertical="top"/>
      <protection/>
    </xf>
    <xf numFmtId="3" fontId="10" fillId="0" borderId="25" xfId="80" applyNumberFormat="1" applyFont="1" applyFill="1" applyBorder="1" applyAlignment="1">
      <alignment shrinkToFit="1"/>
      <protection/>
    </xf>
    <xf numFmtId="0" fontId="2" fillId="0" borderId="114" xfId="0" applyFont="1" applyFill="1" applyBorder="1" applyAlignment="1">
      <alignment horizontal="center" vertical="center"/>
    </xf>
    <xf numFmtId="164" fontId="4" fillId="0" borderId="109" xfId="0" applyNumberFormat="1" applyFont="1" applyFill="1" applyBorder="1" applyAlignment="1">
      <alignment vertical="center" wrapText="1"/>
    </xf>
    <xf numFmtId="4" fontId="4" fillId="0" borderId="109" xfId="0" applyNumberFormat="1" applyFont="1" applyFill="1" applyBorder="1" applyAlignment="1">
      <alignment vertical="center"/>
    </xf>
    <xf numFmtId="4" fontId="11" fillId="0" borderId="115" xfId="0" applyNumberFormat="1" applyFont="1" applyFill="1" applyBorder="1" applyAlignment="1">
      <alignment horizontal="center" vertical="center"/>
    </xf>
    <xf numFmtId="164" fontId="2" fillId="0" borderId="0" xfId="90" applyNumberFormat="1" applyFont="1" applyFill="1" applyBorder="1" applyAlignment="1">
      <alignment wrapText="1"/>
      <protection/>
    </xf>
    <xf numFmtId="0" fontId="2" fillId="0" borderId="116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90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3" fillId="0" borderId="79" xfId="80" applyNumberFormat="1" applyFont="1" applyFill="1" applyBorder="1" applyAlignment="1">
      <alignment horizontal="right"/>
      <protection/>
    </xf>
    <xf numFmtId="3" fontId="13" fillId="0" borderId="117" xfId="80" applyNumberFormat="1" applyFont="1" applyFill="1" applyBorder="1" applyAlignment="1">
      <alignment horizontal="right"/>
      <protection/>
    </xf>
    <xf numFmtId="3" fontId="13" fillId="0" borderId="117" xfId="80" applyNumberFormat="1" applyFont="1" applyFill="1" applyBorder="1" applyAlignment="1">
      <alignment horizontal="right" vertical="center"/>
      <protection/>
    </xf>
    <xf numFmtId="3" fontId="16" fillId="0" borderId="117" xfId="80" applyNumberFormat="1" applyFont="1" applyFill="1" applyBorder="1" applyAlignment="1">
      <alignment horizontal="right"/>
      <protection/>
    </xf>
    <xf numFmtId="3" fontId="16" fillId="0" borderId="117" xfId="80" applyNumberFormat="1" applyFont="1" applyFill="1" applyBorder="1" applyAlignment="1">
      <alignment horizontal="right" vertical="center"/>
      <protection/>
    </xf>
    <xf numFmtId="3" fontId="13" fillId="0" borderId="118" xfId="0" applyNumberFormat="1" applyFont="1" applyFill="1" applyBorder="1" applyAlignment="1">
      <alignment horizontal="right"/>
    </xf>
    <xf numFmtId="3" fontId="4" fillId="0" borderId="119" xfId="79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wrapText="1" indent="1"/>
    </xf>
    <xf numFmtId="3" fontId="4" fillId="0" borderId="0" xfId="80" applyNumberFormat="1" applyFont="1" applyFill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79" xfId="0" applyNumberFormat="1" applyFont="1" applyFill="1" applyBorder="1" applyAlignment="1">
      <alignment horizontal="right"/>
    </xf>
    <xf numFmtId="3" fontId="13" fillId="0" borderId="24" xfId="80" applyNumberFormat="1" applyFont="1" applyFill="1" applyBorder="1" applyAlignment="1">
      <alignment horizontal="center" vertical="center"/>
      <protection/>
    </xf>
    <xf numFmtId="3" fontId="13" fillId="0" borderId="30" xfId="80" applyNumberFormat="1" applyFont="1" applyFill="1" applyBorder="1" applyAlignment="1">
      <alignment wrapText="1"/>
      <protection/>
    </xf>
    <xf numFmtId="3" fontId="13" fillId="0" borderId="25" xfId="80" applyNumberFormat="1" applyFont="1" applyFill="1" applyBorder="1" applyAlignment="1">
      <alignment wrapText="1"/>
      <protection/>
    </xf>
    <xf numFmtId="3" fontId="13" fillId="0" borderId="24" xfId="80" applyNumberFormat="1" applyFont="1" applyFill="1" applyBorder="1" applyAlignment="1">
      <alignment horizontal="center"/>
      <protection/>
    </xf>
    <xf numFmtId="3" fontId="16" fillId="0" borderId="24" xfId="80" applyNumberFormat="1" applyFont="1" applyFill="1" applyBorder="1" applyAlignment="1">
      <alignment horizontal="center" vertical="center"/>
      <protection/>
    </xf>
    <xf numFmtId="3" fontId="4" fillId="0" borderId="25" xfId="80" applyNumberFormat="1" applyFont="1" applyFill="1" applyBorder="1" applyAlignment="1">
      <alignment shrinkToFit="1"/>
      <protection/>
    </xf>
    <xf numFmtId="3" fontId="13" fillId="0" borderId="25" xfId="80" applyNumberFormat="1" applyFont="1" applyFill="1" applyBorder="1" applyAlignment="1">
      <alignment shrinkToFit="1"/>
      <protection/>
    </xf>
    <xf numFmtId="3" fontId="13" fillId="0" borderId="25" xfId="80" applyNumberFormat="1" applyFont="1" applyFill="1" applyBorder="1" applyAlignment="1">
      <alignment horizontal="left" wrapText="1"/>
      <protection/>
    </xf>
    <xf numFmtId="3" fontId="13" fillId="0" borderId="30" xfId="80" applyNumberFormat="1" applyFont="1" applyFill="1" applyBorder="1" applyAlignment="1">
      <alignment horizontal="right" vertical="center"/>
      <protection/>
    </xf>
    <xf numFmtId="1" fontId="18" fillId="0" borderId="0" xfId="80" applyNumberFormat="1" applyFont="1" applyFill="1" applyBorder="1" applyAlignment="1">
      <alignment horizontal="center" vertical="center"/>
      <protection/>
    </xf>
    <xf numFmtId="1" fontId="18" fillId="0" borderId="0" xfId="80" applyNumberFormat="1" applyFont="1" applyFill="1" applyBorder="1" applyAlignment="1">
      <alignment horizontal="left" vertical="center"/>
      <protection/>
    </xf>
    <xf numFmtId="3" fontId="2" fillId="0" borderId="0" xfId="93" applyNumberFormat="1" applyFont="1" applyFill="1" applyBorder="1" applyAlignment="1">
      <alignment vertical="center"/>
      <protection/>
    </xf>
    <xf numFmtId="0" fontId="5" fillId="0" borderId="0" xfId="93" applyFont="1" applyFill="1" applyBorder="1" applyAlignment="1">
      <alignment horizontal="right" vertical="center"/>
      <protection/>
    </xf>
    <xf numFmtId="0" fontId="2" fillId="0" borderId="15" xfId="93" applyFont="1" applyFill="1" applyBorder="1" applyAlignment="1">
      <alignment horizontal="center" vertical="center"/>
      <protection/>
    </xf>
    <xf numFmtId="0" fontId="2" fillId="0" borderId="0" xfId="81" applyFont="1" applyFill="1" applyBorder="1" applyAlignment="1">
      <alignment vertical="center"/>
      <protection/>
    </xf>
    <xf numFmtId="0" fontId="2" fillId="0" borderId="52" xfId="93" applyFont="1" applyFill="1" applyBorder="1" applyAlignment="1">
      <alignment horizontal="left" vertical="center" wrapText="1"/>
      <protection/>
    </xf>
    <xf numFmtId="0" fontId="2" fillId="0" borderId="0" xfId="92" applyFont="1" applyFill="1" applyBorder="1" applyAlignment="1">
      <alignment vertical="center"/>
      <protection/>
    </xf>
    <xf numFmtId="0" fontId="2" fillId="0" borderId="25" xfId="93" applyFont="1" applyFill="1" applyBorder="1" applyAlignment="1">
      <alignment horizontal="left" vertical="center" wrapText="1"/>
      <protection/>
    </xf>
    <xf numFmtId="3" fontId="2" fillId="0" borderId="25" xfId="92" applyNumberFormat="1" applyFont="1" applyFill="1" applyBorder="1" applyAlignment="1">
      <alignment vertical="center"/>
      <protection/>
    </xf>
    <xf numFmtId="3" fontId="2" fillId="0" borderId="25" xfId="93" applyNumberFormat="1" applyFont="1" applyFill="1" applyBorder="1" applyAlignment="1">
      <alignment vertical="center"/>
      <protection/>
    </xf>
    <xf numFmtId="3" fontId="2" fillId="0" borderId="25" xfId="93" applyNumberFormat="1" applyFont="1" applyFill="1" applyBorder="1" applyAlignment="1">
      <alignment horizontal="right" vertical="center" wrapText="1"/>
      <protection/>
    </xf>
    <xf numFmtId="3" fontId="4" fillId="0" borderId="120" xfId="93" applyNumberFormat="1" applyFont="1" applyFill="1" applyBorder="1" applyAlignment="1">
      <alignment horizontal="right" vertical="center" wrapText="1"/>
      <protection/>
    </xf>
    <xf numFmtId="3" fontId="4" fillId="0" borderId="74" xfId="93" applyNumberFormat="1" applyFont="1" applyFill="1" applyBorder="1" applyAlignment="1">
      <alignment horizontal="right" vertical="center" wrapText="1"/>
      <protection/>
    </xf>
    <xf numFmtId="0" fontId="2" fillId="0" borderId="0" xfId="93" applyFont="1" applyFill="1" applyBorder="1" applyAlignment="1">
      <alignment vertical="center" wrapText="1"/>
      <protection/>
    </xf>
    <xf numFmtId="3" fontId="10" fillId="0" borderId="59" xfId="80" applyNumberFormat="1" applyFont="1" applyFill="1" applyBorder="1" applyAlignment="1">
      <alignment horizontal="center"/>
      <protection/>
    </xf>
    <xf numFmtId="3" fontId="12" fillId="0" borderId="59" xfId="80" applyNumberFormat="1" applyFont="1" applyFill="1" applyBorder="1" applyAlignment="1">
      <alignment horizontal="center"/>
      <protection/>
    </xf>
    <xf numFmtId="3" fontId="10" fillId="0" borderId="75" xfId="80" applyNumberFormat="1" applyFont="1" applyFill="1" applyBorder="1" applyAlignment="1">
      <alignment horizontal="center"/>
      <protection/>
    </xf>
    <xf numFmtId="3" fontId="10" fillId="0" borderId="121" xfId="0" applyNumberFormat="1" applyFont="1" applyFill="1" applyBorder="1" applyAlignment="1">
      <alignment horizontal="center" wrapText="1"/>
    </xf>
    <xf numFmtId="3" fontId="10" fillId="0" borderId="59" xfId="0" applyNumberFormat="1" applyFont="1" applyFill="1" applyBorder="1" applyAlignment="1">
      <alignment horizontal="center" wrapText="1"/>
    </xf>
    <xf numFmtId="0" fontId="2" fillId="0" borderId="0" xfId="85" applyFont="1" applyFill="1" applyBorder="1" applyAlignment="1">
      <alignment horizontal="center" vertical="top"/>
      <protection/>
    </xf>
    <xf numFmtId="0" fontId="4" fillId="0" borderId="0" xfId="85" applyFont="1" applyFill="1" applyBorder="1" applyAlignment="1">
      <alignment vertical="top"/>
      <protection/>
    </xf>
    <xf numFmtId="0" fontId="2" fillId="0" borderId="0" xfId="85" applyFont="1" applyFill="1" applyBorder="1" applyAlignment="1">
      <alignment vertical="top"/>
      <protection/>
    </xf>
    <xf numFmtId="0" fontId="2" fillId="0" borderId="0" xfId="85" applyFont="1" applyFill="1" applyBorder="1" applyAlignment="1">
      <alignment/>
      <protection/>
    </xf>
    <xf numFmtId="0" fontId="2" fillId="0" borderId="0" xfId="85" applyFont="1" applyFill="1" applyBorder="1" applyAlignment="1">
      <alignment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4" fillId="0" borderId="0" xfId="85" applyFont="1" applyFill="1" applyBorder="1" applyAlignment="1">
      <alignment horizontal="right" vertical="center"/>
      <protection/>
    </xf>
    <xf numFmtId="0" fontId="4" fillId="0" borderId="0" xfId="85" applyFont="1" applyFill="1" applyBorder="1" applyAlignment="1">
      <alignment vertical="center"/>
      <protection/>
    </xf>
    <xf numFmtId="3" fontId="4" fillId="0" borderId="122" xfId="79" applyNumberFormat="1" applyFont="1" applyFill="1" applyBorder="1" applyAlignment="1">
      <alignment horizontal="right" wrapText="1"/>
      <protection/>
    </xf>
    <xf numFmtId="3" fontId="10" fillId="0" borderId="123" xfId="0" applyNumberFormat="1" applyFont="1" applyFill="1" applyBorder="1" applyAlignment="1">
      <alignment horizontal="right" wrapText="1"/>
    </xf>
    <xf numFmtId="3" fontId="2" fillId="0" borderId="0" xfId="85" applyNumberFormat="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10" fillId="0" borderId="25" xfId="90" applyNumberFormat="1" applyFont="1" applyFill="1" applyBorder="1" applyAlignment="1">
      <alignment horizontal="center" vertical="center" wrapText="1"/>
      <protection/>
    </xf>
    <xf numFmtId="3" fontId="12" fillId="0" borderId="0" xfId="80" applyNumberFormat="1" applyFont="1" applyFill="1" applyAlignment="1">
      <alignment horizontal="center" vertical="center"/>
      <protection/>
    </xf>
    <xf numFmtId="3" fontId="10" fillId="0" borderId="0" xfId="80" applyNumberFormat="1" applyFont="1" applyFill="1" applyAlignment="1">
      <alignment horizontal="center" vertical="center"/>
      <protection/>
    </xf>
    <xf numFmtId="49" fontId="6" fillId="0" borderId="27" xfId="0" applyNumberFormat="1" applyFont="1" applyFill="1" applyBorder="1" applyAlignment="1">
      <alignment horizontal="center" wrapText="1"/>
    </xf>
    <xf numFmtId="0" fontId="2" fillId="0" borderId="24" xfId="93" applyFont="1" applyFill="1" applyBorder="1" applyAlignment="1">
      <alignment horizontal="center"/>
      <protection/>
    </xf>
    <xf numFmtId="3" fontId="12" fillId="0" borderId="32" xfId="80" applyNumberFormat="1" applyFont="1" applyFill="1" applyBorder="1" applyAlignment="1">
      <alignment horizontal="center" vertical="center"/>
      <protection/>
    </xf>
    <xf numFmtId="3" fontId="12" fillId="0" borderId="75" xfId="80" applyNumberFormat="1" applyFont="1" applyFill="1" applyBorder="1" applyAlignment="1">
      <alignment horizontal="center"/>
      <protection/>
    </xf>
    <xf numFmtId="3" fontId="12" fillId="0" borderId="30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 wrapText="1"/>
    </xf>
    <xf numFmtId="3" fontId="10" fillId="0" borderId="75" xfId="80" applyNumberFormat="1" applyFont="1" applyFill="1" applyBorder="1" applyAlignment="1">
      <alignment horizontal="center" vertical="center"/>
      <protection/>
    </xf>
    <xf numFmtId="3" fontId="10" fillId="0" borderId="124" xfId="80" applyNumberFormat="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>
      <alignment horizontal="right" vertical="center" wrapText="1"/>
    </xf>
    <xf numFmtId="3" fontId="13" fillId="0" borderId="25" xfId="80" applyNumberFormat="1" applyFont="1" applyFill="1" applyBorder="1" applyAlignment="1">
      <alignment horizontal="right" vertical="center"/>
      <protection/>
    </xf>
    <xf numFmtId="3" fontId="10" fillId="0" borderId="59" xfId="80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85" applyFont="1" applyFill="1" applyBorder="1" applyAlignment="1">
      <alignment horizontal="center" vertical="center"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2" fillId="0" borderId="111" xfId="89" applyFont="1" applyFill="1" applyBorder="1" applyAlignment="1">
      <alignment horizontal="center" vertical="center" wrapText="1"/>
      <protection/>
    </xf>
    <xf numFmtId="3" fontId="2" fillId="0" borderId="29" xfId="93" applyNumberFormat="1" applyFont="1" applyFill="1" applyBorder="1" applyAlignment="1">
      <alignment vertical="center"/>
      <protection/>
    </xf>
    <xf numFmtId="3" fontId="2" fillId="0" borderId="0" xfId="68" applyNumberFormat="1" applyFont="1" applyFill="1" applyBorder="1" applyAlignment="1">
      <alignment horizontal="center" vertical="center"/>
      <protection/>
    </xf>
    <xf numFmtId="3" fontId="2" fillId="0" borderId="0" xfId="68" applyNumberFormat="1" applyFont="1" applyFill="1" applyBorder="1" applyAlignment="1">
      <alignment horizontal="right"/>
      <protection/>
    </xf>
    <xf numFmtId="0" fontId="2" fillId="0" borderId="0" xfId="68" applyFont="1" applyFill="1" applyBorder="1">
      <alignment/>
      <protection/>
    </xf>
    <xf numFmtId="3" fontId="2" fillId="0" borderId="125" xfId="84" applyNumberFormat="1" applyFont="1" applyBorder="1" applyAlignment="1">
      <alignment horizontal="center" vertical="center" wrapText="1"/>
      <protection/>
    </xf>
    <xf numFmtId="3" fontId="2" fillId="0" borderId="126" xfId="84" applyNumberFormat="1" applyFont="1" applyBorder="1" applyAlignment="1">
      <alignment horizontal="right" vertical="center" wrapText="1"/>
      <protection/>
    </xf>
    <xf numFmtId="0" fontId="2" fillId="0" borderId="127" xfId="83" applyFont="1" applyFill="1" applyBorder="1" applyAlignment="1">
      <alignment wrapText="1"/>
      <protection/>
    </xf>
    <xf numFmtId="3" fontId="2" fillId="0" borderId="52" xfId="92" applyNumberFormat="1" applyFont="1" applyFill="1" applyBorder="1" applyAlignment="1">
      <alignment vertical="center" wrapText="1"/>
      <protection/>
    </xf>
    <xf numFmtId="3" fontId="2" fillId="0" borderId="120" xfId="92" applyNumberFormat="1" applyFont="1" applyFill="1" applyBorder="1" applyAlignment="1">
      <alignment vertical="center"/>
      <protection/>
    </xf>
    <xf numFmtId="3" fontId="2" fillId="0" borderId="80" xfId="92" applyNumberFormat="1" applyFont="1" applyFill="1" applyBorder="1" applyAlignment="1">
      <alignment vertical="center"/>
      <protection/>
    </xf>
    <xf numFmtId="3" fontId="2" fillId="0" borderId="29" xfId="92" applyNumberFormat="1" applyFont="1" applyFill="1" applyBorder="1" applyAlignment="1">
      <alignment vertical="center"/>
      <protection/>
    </xf>
    <xf numFmtId="3" fontId="2" fillId="0" borderId="25" xfId="92" applyNumberFormat="1" applyFont="1" applyFill="1" applyBorder="1" applyAlignment="1">
      <alignment vertical="center" wrapText="1"/>
      <protection/>
    </xf>
    <xf numFmtId="3" fontId="2" fillId="0" borderId="29" xfId="93" applyNumberFormat="1" applyFont="1" applyFill="1" applyBorder="1" applyAlignment="1">
      <alignment horizontal="right" vertical="center" wrapText="1"/>
      <protection/>
    </xf>
    <xf numFmtId="0" fontId="2" fillId="0" borderId="54" xfId="93" applyFont="1" applyFill="1" applyBorder="1" applyAlignment="1">
      <alignment vertical="center" wrapText="1"/>
      <protection/>
    </xf>
    <xf numFmtId="3" fontId="2" fillId="0" borderId="54" xfId="93" applyNumberFormat="1" applyFont="1" applyFill="1" applyBorder="1" applyAlignment="1">
      <alignment horizontal="right" vertical="center" wrapText="1"/>
      <protection/>
    </xf>
    <xf numFmtId="164" fontId="2" fillId="0" borderId="128" xfId="90" applyNumberFormat="1" applyFont="1" applyFill="1" applyBorder="1" applyAlignment="1">
      <alignment wrapText="1"/>
      <protection/>
    </xf>
    <xf numFmtId="4" fontId="2" fillId="0" borderId="128" xfId="0" applyNumberFormat="1" applyFont="1" applyFill="1" applyBorder="1" applyAlignment="1">
      <alignment vertical="center"/>
    </xf>
    <xf numFmtId="4" fontId="6" fillId="0" borderId="129" xfId="0" applyNumberFormat="1" applyFont="1" applyFill="1" applyBorder="1" applyAlignment="1">
      <alignment horizontal="center" vertical="center"/>
    </xf>
    <xf numFmtId="3" fontId="2" fillId="0" borderId="0" xfId="79" applyNumberFormat="1" applyFont="1" applyFill="1" applyBorder="1" applyAlignment="1">
      <alignment horizontal="left" wrapText="1" indent="3"/>
      <protection/>
    </xf>
    <xf numFmtId="3" fontId="2" fillId="0" borderId="0" xfId="79" applyNumberFormat="1" applyFont="1" applyFill="1" applyBorder="1" applyAlignment="1">
      <alignment vertical="center"/>
      <protection/>
    </xf>
    <xf numFmtId="3" fontId="2" fillId="0" borderId="46" xfId="79" applyNumberFormat="1" applyFont="1" applyFill="1" applyBorder="1" applyAlignment="1">
      <alignment vertical="center"/>
      <protection/>
    </xf>
    <xf numFmtId="0" fontId="2" fillId="0" borderId="25" xfId="93" applyFont="1" applyFill="1" applyBorder="1" applyAlignment="1">
      <alignment horizontal="left" vertical="top" wrapText="1"/>
      <protection/>
    </xf>
    <xf numFmtId="3" fontId="13" fillId="0" borderId="0" xfId="0" applyNumberFormat="1" applyFont="1" applyFill="1" applyBorder="1" applyAlignment="1">
      <alignment horizontal="right"/>
    </xf>
    <xf numFmtId="3" fontId="2" fillId="0" borderId="130" xfId="92" applyNumberFormat="1" applyFont="1" applyFill="1" applyBorder="1" applyAlignment="1">
      <alignment vertical="center"/>
      <protection/>
    </xf>
    <xf numFmtId="3" fontId="2" fillId="0" borderId="117" xfId="92" applyNumberFormat="1" applyFont="1" applyFill="1" applyBorder="1" applyAlignment="1">
      <alignment vertical="center"/>
      <protection/>
    </xf>
    <xf numFmtId="3" fontId="2" fillId="0" borderId="117" xfId="93" applyNumberFormat="1" applyFont="1" applyFill="1" applyBorder="1" applyAlignment="1">
      <alignment vertical="center"/>
      <protection/>
    </xf>
    <xf numFmtId="3" fontId="2" fillId="0" borderId="117" xfId="93" applyNumberFormat="1" applyFont="1" applyFill="1" applyBorder="1" applyAlignment="1">
      <alignment horizontal="right" vertical="center" wrapText="1"/>
      <protection/>
    </xf>
    <xf numFmtId="3" fontId="2" fillId="0" borderId="131" xfId="93" applyNumberFormat="1" applyFont="1" applyFill="1" applyBorder="1" applyAlignment="1">
      <alignment horizontal="right" vertical="center" wrapText="1"/>
      <protection/>
    </xf>
    <xf numFmtId="3" fontId="4" fillId="0" borderId="132" xfId="93" applyNumberFormat="1" applyFont="1" applyFill="1" applyBorder="1" applyAlignment="1">
      <alignment horizontal="right" vertical="center" wrapText="1"/>
      <protection/>
    </xf>
    <xf numFmtId="3" fontId="4" fillId="0" borderId="133" xfId="93" applyNumberFormat="1" applyFont="1" applyFill="1" applyBorder="1" applyAlignment="1">
      <alignment horizontal="right" vertical="center" wrapText="1"/>
      <protection/>
    </xf>
    <xf numFmtId="3" fontId="2" fillId="0" borderId="53" xfId="92" applyNumberFormat="1" applyFont="1" applyFill="1" applyBorder="1" applyAlignment="1">
      <alignment vertical="center"/>
      <protection/>
    </xf>
    <xf numFmtId="3" fontId="2" fillId="0" borderId="26" xfId="92" applyNumberFormat="1" applyFont="1" applyFill="1" applyBorder="1" applyAlignment="1">
      <alignment vertical="center"/>
      <protection/>
    </xf>
    <xf numFmtId="3" fontId="2" fillId="0" borderId="26" xfId="93" applyNumberFormat="1" applyFont="1" applyFill="1" applyBorder="1" applyAlignment="1">
      <alignment vertical="center"/>
      <protection/>
    </xf>
    <xf numFmtId="3" fontId="2" fillId="0" borderId="26" xfId="93" applyNumberFormat="1" applyFont="1" applyFill="1" applyBorder="1" applyAlignment="1">
      <alignment horizontal="right" vertical="center" wrapText="1"/>
      <protection/>
    </xf>
    <xf numFmtId="3" fontId="12" fillId="0" borderId="32" xfId="80" applyNumberFormat="1" applyFont="1" applyFill="1" applyBorder="1" applyAlignment="1">
      <alignment horizontal="center"/>
      <protection/>
    </xf>
    <xf numFmtId="3" fontId="5" fillId="0" borderId="0" xfId="80" applyNumberFormat="1" applyFont="1" applyFill="1" applyAlignment="1">
      <alignment horizontal="center"/>
      <protection/>
    </xf>
    <xf numFmtId="3" fontId="10" fillId="0" borderId="110" xfId="80" applyNumberFormat="1" applyFont="1" applyFill="1" applyBorder="1" applyAlignment="1">
      <alignment horizontal="center" vertical="center"/>
      <protection/>
    </xf>
    <xf numFmtId="3" fontId="10" fillId="0" borderId="111" xfId="80" applyNumberFormat="1" applyFont="1" applyFill="1" applyBorder="1" applyAlignment="1">
      <alignment horizontal="center"/>
      <protection/>
    </xf>
    <xf numFmtId="0" fontId="10" fillId="0" borderId="111" xfId="95" applyFont="1" applyFill="1" applyBorder="1" applyAlignment="1">
      <alignment wrapText="1"/>
      <protection/>
    </xf>
    <xf numFmtId="3" fontId="10" fillId="0" borderId="134" xfId="80" applyNumberFormat="1" applyFont="1" applyFill="1" applyBorder="1" applyAlignment="1">
      <alignment horizontal="center"/>
      <protection/>
    </xf>
    <xf numFmtId="3" fontId="13" fillId="0" borderId="135" xfId="80" applyNumberFormat="1" applyFont="1" applyFill="1" applyBorder="1" applyAlignment="1">
      <alignment horizontal="right" vertical="center"/>
      <protection/>
    </xf>
    <xf numFmtId="3" fontId="10" fillId="0" borderId="135" xfId="0" applyNumberFormat="1" applyFont="1" applyFill="1" applyBorder="1" applyAlignment="1">
      <alignment horizontal="right" vertical="center" wrapText="1"/>
    </xf>
    <xf numFmtId="3" fontId="10" fillId="0" borderId="136" xfId="0" applyNumberFormat="1" applyFont="1" applyFill="1" applyBorder="1" applyAlignment="1">
      <alignment horizontal="right" vertical="center" wrapText="1"/>
    </xf>
    <xf numFmtId="0" fontId="6" fillId="0" borderId="0" xfId="8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5" fillId="0" borderId="0" xfId="85" applyFon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center"/>
      <protection/>
    </xf>
    <xf numFmtId="2" fontId="4" fillId="0" borderId="20" xfId="85" applyNumberFormat="1" applyFont="1" applyFill="1" applyBorder="1" applyAlignment="1">
      <alignment horizontal="center" vertical="center" wrapText="1"/>
      <protection/>
    </xf>
    <xf numFmtId="0" fontId="2" fillId="0" borderId="137" xfId="86" applyFont="1" applyFill="1" applyBorder="1" applyAlignment="1">
      <alignment horizontal="center" vertical="center" wrapText="1"/>
      <protection/>
    </xf>
    <xf numFmtId="3" fontId="2" fillId="0" borderId="35" xfId="88" applyNumberFormat="1" applyFont="1" applyFill="1" applyBorder="1" applyAlignment="1">
      <alignment horizontal="right" vertical="center"/>
      <protection/>
    </xf>
    <xf numFmtId="3" fontId="4" fillId="0" borderId="138" xfId="89" applyNumberFormat="1" applyFont="1" applyFill="1" applyBorder="1" applyAlignment="1">
      <alignment vertical="center"/>
      <protection/>
    </xf>
    <xf numFmtId="3" fontId="10" fillId="0" borderId="77" xfId="80" applyNumberFormat="1" applyFont="1" applyFill="1" applyBorder="1" applyAlignment="1">
      <alignment horizontal="right"/>
      <protection/>
    </xf>
    <xf numFmtId="3" fontId="10" fillId="0" borderId="139" xfId="80" applyNumberFormat="1" applyFont="1" applyFill="1" applyBorder="1" applyAlignment="1">
      <alignment horizontal="right"/>
      <protection/>
    </xf>
    <xf numFmtId="3" fontId="10" fillId="0" borderId="111" xfId="80" applyNumberFormat="1" applyFont="1" applyFill="1" applyBorder="1" applyAlignment="1">
      <alignment horizontal="right"/>
      <protection/>
    </xf>
    <xf numFmtId="3" fontId="10" fillId="0" borderId="140" xfId="80" applyNumberFormat="1" applyFont="1" applyFill="1" applyBorder="1" applyAlignment="1">
      <alignment horizontal="right"/>
      <protection/>
    </xf>
    <xf numFmtId="0" fontId="25" fillId="0" borderId="25" xfId="93" applyFont="1" applyFill="1" applyBorder="1" applyAlignment="1">
      <alignment horizontal="left"/>
      <protection/>
    </xf>
    <xf numFmtId="0" fontId="4" fillId="0" borderId="0" xfId="93" applyFont="1" applyFill="1" applyBorder="1" applyAlignment="1">
      <alignment vertical="center" wrapText="1"/>
      <protection/>
    </xf>
    <xf numFmtId="3" fontId="2" fillId="0" borderId="127" xfId="84" applyNumberFormat="1" applyFont="1" applyFill="1" applyBorder="1" applyAlignment="1">
      <alignment horizontal="left" vertical="center" wrapText="1"/>
      <protection/>
    </xf>
    <xf numFmtId="3" fontId="13" fillId="0" borderId="79" xfId="90" applyNumberFormat="1" applyFont="1" applyFill="1" applyBorder="1" applyAlignment="1">
      <alignment horizontal="left"/>
      <protection/>
    </xf>
    <xf numFmtId="3" fontId="10" fillId="0" borderId="117" xfId="90" applyNumberFormat="1" applyFont="1" applyFill="1" applyBorder="1" applyAlignment="1">
      <alignment horizontal="left"/>
      <protection/>
    </xf>
    <xf numFmtId="3" fontId="10" fillId="0" borderId="117" xfId="90" applyNumberFormat="1" applyFont="1" applyFill="1" applyBorder="1" applyAlignment="1">
      <alignment/>
      <protection/>
    </xf>
    <xf numFmtId="3" fontId="13" fillId="0" borderId="117" xfId="90" applyNumberFormat="1" applyFont="1" applyFill="1" applyBorder="1" applyAlignment="1">
      <alignment horizontal="left"/>
      <protection/>
    </xf>
    <xf numFmtId="3" fontId="13" fillId="0" borderId="117" xfId="90" applyNumberFormat="1" applyFont="1" applyFill="1" applyBorder="1" applyAlignment="1">
      <alignment/>
      <protection/>
    </xf>
    <xf numFmtId="3" fontId="13" fillId="0" borderId="79" xfId="90" applyNumberFormat="1" applyFont="1" applyFill="1" applyBorder="1" applyAlignment="1">
      <alignment/>
      <protection/>
    </xf>
    <xf numFmtId="3" fontId="13" fillId="0" borderId="79" xfId="90" applyNumberFormat="1" applyFont="1" applyFill="1" applyBorder="1" applyAlignment="1">
      <alignment wrapText="1"/>
      <protection/>
    </xf>
    <xf numFmtId="3" fontId="13" fillId="0" borderId="117" xfId="90" applyNumberFormat="1" applyFont="1" applyFill="1" applyBorder="1" applyAlignment="1">
      <alignment wrapText="1"/>
      <protection/>
    </xf>
    <xf numFmtId="3" fontId="13" fillId="0" borderId="141" xfId="90" applyNumberFormat="1" applyFont="1" applyFill="1" applyBorder="1" applyAlignment="1">
      <alignment horizontal="left"/>
      <protection/>
    </xf>
    <xf numFmtId="3" fontId="10" fillId="0" borderId="127" xfId="90" applyNumberFormat="1" applyFont="1" applyFill="1" applyBorder="1" applyAlignment="1">
      <alignment horizontal="left"/>
      <protection/>
    </xf>
    <xf numFmtId="3" fontId="13" fillId="0" borderId="80" xfId="90" applyNumberFormat="1" applyFont="1" applyFill="1" applyBorder="1" applyAlignment="1">
      <alignment wrapText="1"/>
      <protection/>
    </xf>
    <xf numFmtId="3" fontId="13" fillId="0" borderId="142" xfId="90" applyNumberFormat="1" applyFont="1" applyFill="1" applyBorder="1" applyAlignment="1">
      <alignment wrapText="1"/>
      <protection/>
    </xf>
    <xf numFmtId="3" fontId="13" fillId="0" borderId="130" xfId="90" applyNumberFormat="1" applyFont="1" applyFill="1" applyBorder="1" applyAlignment="1">
      <alignment wrapText="1"/>
      <protection/>
    </xf>
    <xf numFmtId="3" fontId="13" fillId="0" borderId="80" xfId="90" applyNumberFormat="1" applyFont="1" applyFill="1" applyBorder="1" applyAlignment="1">
      <alignment/>
      <protection/>
    </xf>
    <xf numFmtId="3" fontId="10" fillId="0" borderId="125" xfId="0" applyNumberFormat="1" applyFont="1" applyFill="1" applyBorder="1" applyAlignment="1">
      <alignment horizontal="center" vertical="center"/>
    </xf>
    <xf numFmtId="3" fontId="16" fillId="0" borderId="125" xfId="0" applyNumberFormat="1" applyFont="1" applyFill="1" applyBorder="1" applyAlignment="1">
      <alignment horizontal="center" vertical="center"/>
    </xf>
    <xf numFmtId="3" fontId="10" fillId="0" borderId="125" xfId="0" applyNumberFormat="1" applyFont="1" applyFill="1" applyBorder="1" applyAlignment="1">
      <alignment horizontal="center" vertical="top"/>
    </xf>
    <xf numFmtId="3" fontId="10" fillId="0" borderId="113" xfId="0" applyNumberFormat="1" applyFont="1" applyFill="1" applyBorder="1" applyAlignment="1">
      <alignment horizontal="center" vertical="center"/>
    </xf>
    <xf numFmtId="3" fontId="10" fillId="0" borderId="14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4" xfId="0" applyNumberFormat="1" applyFont="1" applyFill="1" applyBorder="1" applyAlignment="1">
      <alignment vertical="center" wrapText="1"/>
    </xf>
    <xf numFmtId="3" fontId="10" fillId="0" borderId="130" xfId="0" applyNumberFormat="1" applyFont="1" applyFill="1" applyBorder="1" applyAlignment="1">
      <alignment horizontal="center"/>
    </xf>
    <xf numFmtId="3" fontId="10" fillId="0" borderId="117" xfId="0" applyNumberFormat="1" applyFont="1" applyFill="1" applyBorder="1" applyAlignment="1">
      <alignment horizontal="center"/>
    </xf>
    <xf numFmtId="3" fontId="10" fillId="0" borderId="117" xfId="0" applyNumberFormat="1" applyFont="1" applyFill="1" applyBorder="1" applyAlignment="1">
      <alignment horizontal="center" vertical="top"/>
    </xf>
    <xf numFmtId="3" fontId="10" fillId="0" borderId="79" xfId="0" applyNumberFormat="1" applyFont="1" applyFill="1" applyBorder="1" applyAlignment="1">
      <alignment horizontal="center"/>
    </xf>
    <xf numFmtId="3" fontId="13" fillId="0" borderId="75" xfId="0" applyNumberFormat="1" applyFont="1" applyFill="1" applyBorder="1" applyAlignment="1">
      <alignment/>
    </xf>
    <xf numFmtId="3" fontId="13" fillId="0" borderId="80" xfId="0" applyNumberFormat="1" applyFont="1" applyFill="1" applyBorder="1" applyAlignment="1">
      <alignment/>
    </xf>
    <xf numFmtId="3" fontId="10" fillId="0" borderId="117" xfId="90" applyNumberFormat="1" applyFont="1" applyFill="1" applyBorder="1" applyAlignment="1">
      <alignment wrapText="1"/>
      <protection/>
    </xf>
    <xf numFmtId="3" fontId="13" fillId="0" borderId="142" xfId="0" applyNumberFormat="1" applyFont="1" applyFill="1" applyBorder="1" applyAlignment="1">
      <alignment/>
    </xf>
    <xf numFmtId="3" fontId="10" fillId="0" borderId="29" xfId="90" applyNumberFormat="1" applyFont="1" applyFill="1" applyBorder="1" applyAlignment="1">
      <alignment/>
      <protection/>
    </xf>
    <xf numFmtId="3" fontId="10" fillId="0" borderId="25" xfId="90" applyNumberFormat="1" applyFont="1" applyFill="1" applyBorder="1" applyAlignment="1">
      <alignment vertical="top" wrapText="1"/>
      <protection/>
    </xf>
    <xf numFmtId="3" fontId="16" fillId="0" borderId="3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0" fillId="0" borderId="77" xfId="0" applyNumberFormat="1" applyFont="1" applyFill="1" applyBorder="1" applyAlignment="1">
      <alignment vertical="center"/>
    </xf>
    <xf numFmtId="3" fontId="13" fillId="0" borderId="145" xfId="0" applyNumberFormat="1" applyFont="1" applyFill="1" applyBorder="1" applyAlignment="1">
      <alignment vertical="center"/>
    </xf>
    <xf numFmtId="3" fontId="10" fillId="0" borderId="0" xfId="68" applyNumberFormat="1" applyFont="1" applyFill="1" applyBorder="1" applyAlignment="1">
      <alignment horizontal="center" vertical="center"/>
      <protection/>
    </xf>
    <xf numFmtId="3" fontId="10" fillId="0" borderId="0" xfId="68" applyNumberFormat="1" applyFont="1" applyFill="1" applyBorder="1" applyAlignment="1">
      <alignment horizontal="right"/>
      <protection/>
    </xf>
    <xf numFmtId="3" fontId="10" fillId="0" borderId="0" xfId="93" applyNumberFormat="1" applyFont="1" applyFill="1" applyBorder="1" applyAlignment="1">
      <alignment horizontal="right"/>
      <protection/>
    </xf>
    <xf numFmtId="0" fontId="10" fillId="0" borderId="0" xfId="93" applyFont="1" applyFill="1" applyBorder="1">
      <alignment/>
      <protection/>
    </xf>
    <xf numFmtId="0" fontId="10" fillId="0" borderId="0" xfId="93" applyFont="1" applyFill="1" applyBorder="1" applyAlignment="1">
      <alignment horizontal="center" vertical="center"/>
      <protection/>
    </xf>
    <xf numFmtId="0" fontId="10" fillId="0" borderId="0" xfId="93" applyFont="1" applyFill="1" applyBorder="1" applyAlignment="1">
      <alignment horizontal="center" vertical="top"/>
      <protection/>
    </xf>
    <xf numFmtId="0" fontId="10" fillId="0" borderId="0" xfId="93" applyFont="1" applyFill="1" applyBorder="1" applyAlignment="1">
      <alignment wrapText="1"/>
      <protection/>
    </xf>
    <xf numFmtId="3" fontId="10" fillId="0" borderId="0" xfId="93" applyNumberFormat="1" applyFont="1" applyFill="1" applyBorder="1" applyAlignment="1">
      <alignment horizontal="center" vertical="center" wrapText="1"/>
      <protection/>
    </xf>
    <xf numFmtId="3" fontId="12" fillId="0" borderId="0" xfId="93" applyNumberFormat="1" applyFont="1" applyFill="1" applyBorder="1" applyAlignment="1">
      <alignment horizontal="right"/>
      <protection/>
    </xf>
    <xf numFmtId="3" fontId="10" fillId="0" borderId="30" xfId="93" applyNumberFormat="1" applyFont="1" applyFill="1" applyBorder="1" applyAlignment="1">
      <alignment horizontal="right" vertical="center"/>
      <protection/>
    </xf>
    <xf numFmtId="3" fontId="10" fillId="0" borderId="31" xfId="93" applyNumberFormat="1" applyFont="1" applyFill="1" applyBorder="1" applyAlignment="1">
      <alignment horizontal="right" vertical="center"/>
      <protection/>
    </xf>
    <xf numFmtId="3" fontId="10" fillId="0" borderId="0" xfId="68" applyNumberFormat="1" applyFont="1" applyFill="1" applyBorder="1" applyAlignment="1">
      <alignment horizontal="left" vertical="top"/>
      <protection/>
    </xf>
    <xf numFmtId="3" fontId="10" fillId="0" borderId="0" xfId="94" applyNumberFormat="1" applyFont="1" applyFill="1" applyBorder="1" applyAlignment="1">
      <alignment horizontal="right"/>
      <protection/>
    </xf>
    <xf numFmtId="3" fontId="10" fillId="0" borderId="0" xfId="94" applyNumberFormat="1" applyFont="1" applyFill="1" applyBorder="1" applyAlignment="1">
      <alignment horizontal="right" wrapText="1"/>
      <protection/>
    </xf>
    <xf numFmtId="3" fontId="10" fillId="0" borderId="0" xfId="93" applyNumberFormat="1" applyFont="1" applyFill="1" applyBorder="1" applyAlignment="1">
      <alignment horizontal="right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0" xfId="93" applyFont="1" applyFill="1" applyBorder="1" applyAlignment="1">
      <alignment horizontal="center" vertical="center"/>
      <protection/>
    </xf>
    <xf numFmtId="3" fontId="6" fillId="0" borderId="0" xfId="93" applyNumberFormat="1" applyFont="1" applyFill="1" applyBorder="1" applyAlignment="1">
      <alignment horizontal="center" vertical="center"/>
      <protection/>
    </xf>
    <xf numFmtId="0" fontId="10" fillId="0" borderId="0" xfId="93" applyFont="1" applyFill="1" applyBorder="1" applyAlignment="1">
      <alignment vertical="center"/>
      <protection/>
    </xf>
    <xf numFmtId="3" fontId="16" fillId="0" borderId="23" xfId="0" applyNumberFormat="1" applyFont="1" applyFill="1" applyBorder="1" applyAlignment="1">
      <alignment vertical="center"/>
    </xf>
    <xf numFmtId="3" fontId="16" fillId="0" borderId="123" xfId="0" applyNumberFormat="1" applyFont="1" applyFill="1" applyBorder="1" applyAlignment="1">
      <alignment vertical="center"/>
    </xf>
    <xf numFmtId="3" fontId="16" fillId="0" borderId="146" xfId="0" applyNumberFormat="1" applyFont="1" applyFill="1" applyBorder="1" applyAlignment="1">
      <alignment vertical="center"/>
    </xf>
    <xf numFmtId="3" fontId="16" fillId="0" borderId="121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23" xfId="0" applyNumberFormat="1" applyFont="1" applyFill="1" applyBorder="1" applyAlignment="1">
      <alignment horizontal="right" vertical="center"/>
    </xf>
    <xf numFmtId="3" fontId="16" fillId="0" borderId="23" xfId="90" applyNumberFormat="1" applyFont="1" applyFill="1" applyBorder="1" applyAlignment="1">
      <alignment horizontal="center" vertical="center"/>
      <protection/>
    </xf>
    <xf numFmtId="3" fontId="16" fillId="0" borderId="118" xfId="0" applyNumberFormat="1" applyFont="1" applyFill="1" applyBorder="1" applyAlignment="1">
      <alignment horizontal="right" vertical="center"/>
    </xf>
    <xf numFmtId="3" fontId="10" fillId="0" borderId="141" xfId="84" applyNumberFormat="1" applyFont="1" applyBorder="1" applyAlignment="1">
      <alignment horizontal="left" vertical="center" wrapText="1"/>
      <protection/>
    </xf>
    <xf numFmtId="3" fontId="10" fillId="0" borderId="30" xfId="83" applyNumberFormat="1" applyFont="1" applyFill="1" applyBorder="1" applyAlignment="1">
      <alignment horizontal="right" vertical="center"/>
      <protection/>
    </xf>
    <xf numFmtId="3" fontId="10" fillId="0" borderId="147" xfId="93" applyNumberFormat="1" applyFont="1" applyFill="1" applyBorder="1" applyAlignment="1">
      <alignment horizontal="right" vertical="center"/>
      <protection/>
    </xf>
    <xf numFmtId="0" fontId="10" fillId="0" borderId="24" xfId="93" applyFont="1" applyFill="1" applyBorder="1" applyAlignment="1">
      <alignment horizontal="center" vertical="center"/>
      <protection/>
    </xf>
    <xf numFmtId="0" fontId="10" fillId="0" borderId="25" xfId="93" applyFont="1" applyFill="1" applyBorder="1" applyAlignment="1">
      <alignment horizontal="center"/>
      <protection/>
    </xf>
    <xf numFmtId="0" fontId="10" fillId="0" borderId="25" xfId="83" applyFont="1" applyFill="1" applyBorder="1" applyAlignment="1">
      <alignment wrapText="1"/>
      <protection/>
    </xf>
    <xf numFmtId="3" fontId="10" fillId="0" borderId="25" xfId="93" applyNumberFormat="1" applyFont="1" applyFill="1" applyBorder="1" applyAlignment="1">
      <alignment horizontal="right" vertical="center"/>
      <protection/>
    </xf>
    <xf numFmtId="3" fontId="10" fillId="0" borderId="25" xfId="83" applyNumberFormat="1" applyFont="1" applyFill="1" applyBorder="1" applyAlignment="1">
      <alignment horizontal="right" vertical="center"/>
      <protection/>
    </xf>
    <xf numFmtId="3" fontId="10" fillId="0" borderId="29" xfId="93" applyNumberFormat="1" applyFont="1" applyFill="1" applyBorder="1" applyAlignment="1">
      <alignment horizontal="right" vertical="center"/>
      <protection/>
    </xf>
    <xf numFmtId="3" fontId="10" fillId="0" borderId="148" xfId="93" applyNumberFormat="1" applyFont="1" applyFill="1" applyBorder="1" applyAlignment="1">
      <alignment horizontal="right" vertical="center"/>
      <protection/>
    </xf>
    <xf numFmtId="0" fontId="10" fillId="0" borderId="25" xfId="93" applyFont="1" applyFill="1" applyBorder="1" applyAlignment="1">
      <alignment horizontal="center" vertical="top"/>
      <protection/>
    </xf>
    <xf numFmtId="0" fontId="10" fillId="33" borderId="0" xfId="93" applyFont="1" applyFill="1" applyBorder="1" applyAlignment="1">
      <alignment vertical="center"/>
      <protection/>
    </xf>
    <xf numFmtId="3" fontId="10" fillId="0" borderId="0" xfId="93" applyNumberFormat="1" applyFont="1" applyFill="1" applyBorder="1" applyAlignment="1">
      <alignment vertical="center"/>
      <protection/>
    </xf>
    <xf numFmtId="0" fontId="6" fillId="0" borderId="0" xfId="94" applyFont="1" applyFill="1" applyBorder="1" applyAlignment="1">
      <alignment horizontal="center" vertical="center" wrapText="1"/>
      <protection/>
    </xf>
    <xf numFmtId="3" fontId="6" fillId="0" borderId="0" xfId="94" applyNumberFormat="1" applyFont="1" applyFill="1" applyBorder="1" applyAlignment="1">
      <alignment horizontal="center" vertical="center"/>
      <protection/>
    </xf>
    <xf numFmtId="3" fontId="10" fillId="0" borderId="16" xfId="93" applyNumberFormat="1" applyFont="1" applyFill="1" applyBorder="1" applyAlignment="1">
      <alignment horizontal="center" vertical="center" wrapText="1"/>
      <protection/>
    </xf>
    <xf numFmtId="3" fontId="10" fillId="0" borderId="52" xfId="83" applyNumberFormat="1" applyFont="1" applyFill="1" applyBorder="1" applyAlignment="1">
      <alignment horizontal="right" vertical="center" wrapText="1"/>
      <protection/>
    </xf>
    <xf numFmtId="3" fontId="10" fillId="0" borderId="149" xfId="83" applyNumberFormat="1" applyFont="1" applyFill="1" applyBorder="1" applyAlignment="1">
      <alignment horizontal="right" vertical="center" wrapText="1"/>
      <protection/>
    </xf>
    <xf numFmtId="3" fontId="10" fillId="0" borderId="25" xfId="83" applyNumberFormat="1" applyFont="1" applyFill="1" applyBorder="1" applyAlignment="1">
      <alignment horizontal="right" vertical="center" wrapText="1"/>
      <protection/>
    </xf>
    <xf numFmtId="3" fontId="10" fillId="0" borderId="150" xfId="83" applyNumberFormat="1" applyFont="1" applyFill="1" applyBorder="1" applyAlignment="1">
      <alignment horizontal="right" vertical="center" wrapText="1"/>
      <protection/>
    </xf>
    <xf numFmtId="3" fontId="10" fillId="0" borderId="150" xfId="93" applyNumberFormat="1" applyFont="1" applyFill="1" applyBorder="1" applyAlignment="1">
      <alignment horizontal="right" vertical="center"/>
      <protection/>
    </xf>
    <xf numFmtId="0" fontId="10" fillId="0" borderId="0" xfId="93" applyFont="1" applyFill="1" applyBorder="1" applyAlignment="1">
      <alignment horizontal="center"/>
      <protection/>
    </xf>
    <xf numFmtId="3" fontId="2" fillId="0" borderId="0" xfId="68" applyNumberFormat="1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/>
      <protection/>
    </xf>
    <xf numFmtId="3" fontId="2" fillId="0" borderId="0" xfId="93" applyNumberFormat="1" applyFont="1" applyFill="1" applyBorder="1" applyAlignment="1">
      <alignment horizontal="center" wrapText="1"/>
      <protection/>
    </xf>
    <xf numFmtId="3" fontId="2" fillId="0" borderId="16" xfId="93" applyNumberFormat="1" applyFont="1" applyFill="1" applyBorder="1" applyAlignment="1">
      <alignment horizontal="center" vertical="center" wrapText="1"/>
      <protection/>
    </xf>
    <xf numFmtId="3" fontId="2" fillId="0" borderId="14" xfId="93" applyNumberFormat="1" applyFont="1" applyFill="1" applyBorder="1" applyAlignment="1">
      <alignment horizontal="center" vertical="center" wrapText="1"/>
      <protection/>
    </xf>
    <xf numFmtId="0" fontId="4" fillId="0" borderId="32" xfId="93" applyFont="1" applyFill="1" applyBorder="1" applyAlignment="1">
      <alignment horizontal="center"/>
      <protection/>
    </xf>
    <xf numFmtId="3" fontId="4" fillId="0" borderId="151" xfId="83" applyNumberFormat="1" applyFont="1" applyFill="1" applyBorder="1" applyAlignment="1">
      <alignment horizontal="right" wrapText="1"/>
      <protection/>
    </xf>
    <xf numFmtId="0" fontId="4" fillId="0" borderId="0" xfId="93" applyFont="1" applyFill="1" applyBorder="1" applyAlignment="1">
      <alignment/>
      <protection/>
    </xf>
    <xf numFmtId="3" fontId="2" fillId="0" borderId="25" xfId="83" applyNumberFormat="1" applyFont="1" applyFill="1" applyBorder="1" applyAlignment="1">
      <alignment horizontal="right" wrapText="1"/>
      <protection/>
    </xf>
    <xf numFmtId="3" fontId="2" fillId="0" borderId="147" xfId="93" applyNumberFormat="1" applyFont="1" applyFill="1" applyBorder="1" applyAlignment="1">
      <alignment horizontal="right"/>
      <protection/>
    </xf>
    <xf numFmtId="0" fontId="2" fillId="0" borderId="25" xfId="83" applyFont="1" applyFill="1" applyBorder="1" applyAlignment="1">
      <alignment horizontal="left"/>
      <protection/>
    </xf>
    <xf numFmtId="3" fontId="2" fillId="0" borderId="25" xfId="83" applyNumberFormat="1" applyFont="1" applyFill="1" applyBorder="1" applyAlignment="1">
      <alignment horizontal="right"/>
      <protection/>
    </xf>
    <xf numFmtId="3" fontId="2" fillId="0" borderId="148" xfId="93" applyNumberFormat="1" applyFont="1" applyFill="1" applyBorder="1" applyAlignment="1">
      <alignment horizontal="right"/>
      <protection/>
    </xf>
    <xf numFmtId="3" fontId="2" fillId="0" borderId="0" xfId="68" applyNumberFormat="1" applyFont="1" applyFill="1" applyBorder="1" applyAlignment="1">
      <alignment horizontal="left"/>
      <protection/>
    </xf>
    <xf numFmtId="3" fontId="91" fillId="0" borderId="0" xfId="68" applyNumberFormat="1" applyFont="1" applyFill="1" applyBorder="1" applyAlignment="1">
      <alignment horizontal="left"/>
      <protection/>
    </xf>
    <xf numFmtId="0" fontId="4" fillId="0" borderId="24" xfId="93" applyFont="1" applyFill="1" applyBorder="1" applyAlignment="1">
      <alignment horizontal="center"/>
      <protection/>
    </xf>
    <xf numFmtId="3" fontId="4" fillId="0" borderId="150" xfId="83" applyNumberFormat="1" applyFont="1" applyFill="1" applyBorder="1" applyAlignment="1">
      <alignment horizontal="right" wrapText="1"/>
      <protection/>
    </xf>
    <xf numFmtId="0" fontId="26" fillId="0" borderId="30" xfId="93" applyFont="1" applyFill="1" applyBorder="1" applyAlignment="1">
      <alignment horizontal="left"/>
      <protection/>
    </xf>
    <xf numFmtId="0" fontId="2" fillId="0" borderId="25" xfId="83" applyFont="1" applyFill="1" applyBorder="1" applyAlignment="1">
      <alignment/>
      <protection/>
    </xf>
    <xf numFmtId="0" fontId="2" fillId="0" borderId="127" xfId="83" applyFont="1" applyFill="1" applyBorder="1" applyAlignment="1">
      <alignment/>
      <protection/>
    </xf>
    <xf numFmtId="0" fontId="2" fillId="0" borderId="127" xfId="83" applyFont="1" applyFill="1" applyBorder="1" applyAlignment="1">
      <alignment horizontal="left"/>
      <protection/>
    </xf>
    <xf numFmtId="3" fontId="4" fillId="0" borderId="150" xfId="93" applyNumberFormat="1" applyFont="1" applyFill="1" applyBorder="1" applyAlignment="1">
      <alignment horizontal="right"/>
      <protection/>
    </xf>
    <xf numFmtId="3" fontId="10" fillId="0" borderId="0" xfId="93" applyNumberFormat="1" applyFont="1" applyFill="1" applyBorder="1" applyAlignment="1">
      <alignment horizontal="center" vertical="center"/>
      <protection/>
    </xf>
    <xf numFmtId="3" fontId="4" fillId="0" borderId="0" xfId="93" applyNumberFormat="1" applyFont="1" applyFill="1" applyBorder="1" applyAlignment="1">
      <alignment horizontal="right"/>
      <protection/>
    </xf>
    <xf numFmtId="3" fontId="4" fillId="0" borderId="0" xfId="94" applyNumberFormat="1" applyFont="1" applyFill="1" applyBorder="1" applyAlignment="1">
      <alignment horizontal="right"/>
      <protection/>
    </xf>
    <xf numFmtId="3" fontId="2" fillId="0" borderId="120" xfId="83" applyNumberFormat="1" applyFont="1" applyFill="1" applyBorder="1" applyAlignment="1">
      <alignment horizontal="right" wrapText="1"/>
      <protection/>
    </xf>
    <xf numFmtId="3" fontId="2" fillId="0" borderId="152" xfId="83" applyNumberFormat="1" applyFont="1" applyFill="1" applyBorder="1" applyAlignment="1">
      <alignment horizontal="right" vertical="center" wrapText="1"/>
      <protection/>
    </xf>
    <xf numFmtId="3" fontId="2" fillId="0" borderId="127" xfId="84" applyNumberFormat="1" applyFont="1" applyFill="1" applyBorder="1" applyAlignment="1">
      <alignment horizontal="left"/>
      <protection/>
    </xf>
    <xf numFmtId="3" fontId="2" fillId="0" borderId="0" xfId="82" applyNumberFormat="1" applyFont="1" applyAlignment="1">
      <alignment horizontal="right" vertical="center"/>
      <protection/>
    </xf>
    <xf numFmtId="3" fontId="10" fillId="0" borderId="117" xfId="91" applyNumberFormat="1" applyFont="1" applyFill="1" applyBorder="1" applyAlignment="1">
      <alignment horizontal="left" vertical="center" wrapText="1"/>
      <protection/>
    </xf>
    <xf numFmtId="3" fontId="10" fillId="0" borderId="131" xfId="91" applyNumberFormat="1" applyFont="1" applyFill="1" applyBorder="1" applyAlignment="1">
      <alignment horizontal="left" vertical="center"/>
      <protection/>
    </xf>
    <xf numFmtId="3" fontId="10" fillId="0" borderId="117" xfId="91" applyNumberFormat="1" applyFont="1" applyFill="1" applyBorder="1" applyAlignment="1">
      <alignment horizontal="left" vertical="center"/>
      <protection/>
    </xf>
    <xf numFmtId="3" fontId="10" fillId="0" borderId="79" xfId="91" applyNumberFormat="1" applyFont="1" applyFill="1" applyBorder="1" applyAlignment="1">
      <alignment horizontal="left" vertical="center" wrapText="1"/>
      <protection/>
    </xf>
    <xf numFmtId="3" fontId="2" fillId="0" borderId="0" xfId="82" applyNumberFormat="1" applyFont="1" applyFill="1" applyBorder="1" applyAlignment="1">
      <alignment horizontal="center" vertical="center"/>
      <protection/>
    </xf>
    <xf numFmtId="3" fontId="2" fillId="0" borderId="0" xfId="79" applyNumberFormat="1" applyFont="1" applyFill="1" applyBorder="1" applyAlignment="1">
      <alignment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3" fillId="0" borderId="23" xfId="0" applyNumberFormat="1" applyFont="1" applyFill="1" applyBorder="1" applyAlignment="1">
      <alignment vertical="center"/>
    </xf>
    <xf numFmtId="3" fontId="13" fillId="0" borderId="123" xfId="0" applyNumberFormat="1" applyFont="1" applyFill="1" applyBorder="1" applyAlignment="1">
      <alignment vertical="center"/>
    </xf>
    <xf numFmtId="3" fontId="92" fillId="0" borderId="24" xfId="0" applyNumberFormat="1" applyFont="1" applyFill="1" applyBorder="1" applyAlignment="1">
      <alignment horizontal="center" vertical="center"/>
    </xf>
    <xf numFmtId="3" fontId="92" fillId="0" borderId="25" xfId="0" applyNumberFormat="1" applyFont="1" applyFill="1" applyBorder="1" applyAlignment="1">
      <alignment horizontal="center"/>
    </xf>
    <xf numFmtId="3" fontId="92" fillId="0" borderId="127" xfId="0" applyNumberFormat="1" applyFont="1" applyFill="1" applyBorder="1" applyAlignment="1">
      <alignment horizontal="center"/>
    </xf>
    <xf numFmtId="3" fontId="92" fillId="0" borderId="117" xfId="90" applyNumberFormat="1" applyFont="1" applyFill="1" applyBorder="1" applyAlignment="1">
      <alignment/>
      <protection/>
    </xf>
    <xf numFmtId="3" fontId="92" fillId="0" borderId="25" xfId="0" applyNumberFormat="1" applyFont="1" applyFill="1" applyBorder="1" applyAlignment="1">
      <alignment/>
    </xf>
    <xf numFmtId="3" fontId="93" fillId="0" borderId="25" xfId="0" applyNumberFormat="1" applyFont="1" applyFill="1" applyBorder="1" applyAlignment="1">
      <alignment/>
    </xf>
    <xf numFmtId="3" fontId="92" fillId="0" borderId="26" xfId="0" applyNumberFormat="1" applyFont="1" applyFill="1" applyBorder="1" applyAlignment="1">
      <alignment/>
    </xf>
    <xf numFmtId="3" fontId="92" fillId="0" borderId="0" xfId="0" applyNumberFormat="1" applyFont="1" applyFill="1" applyAlignment="1">
      <alignment vertical="center"/>
    </xf>
    <xf numFmtId="0" fontId="94" fillId="0" borderId="0" xfId="0" applyFont="1" applyFill="1" applyAlignment="1">
      <alignment/>
    </xf>
    <xf numFmtId="3" fontId="92" fillId="0" borderId="0" xfId="0" applyNumberFormat="1" applyFont="1" applyFill="1" applyAlignment="1">
      <alignment vertical="top"/>
    </xf>
    <xf numFmtId="3" fontId="92" fillId="0" borderId="0" xfId="0" applyNumberFormat="1" applyFont="1" applyFill="1" applyAlignment="1">
      <alignment/>
    </xf>
    <xf numFmtId="3" fontId="93" fillId="0" borderId="0" xfId="0" applyNumberFormat="1" applyFont="1" applyFill="1" applyAlignment="1">
      <alignment vertical="top"/>
    </xf>
    <xf numFmtId="3" fontId="92" fillId="0" borderId="24" xfId="0" applyNumberFormat="1" applyFont="1" applyFill="1" applyBorder="1" applyAlignment="1">
      <alignment horizontal="center" vertical="top"/>
    </xf>
    <xf numFmtId="3" fontId="92" fillId="0" borderId="54" xfId="0" applyNumberFormat="1" applyFont="1" applyFill="1" applyBorder="1" applyAlignment="1">
      <alignment horizontal="center"/>
    </xf>
    <xf numFmtId="3" fontId="92" fillId="0" borderId="153" xfId="0" applyNumberFormat="1" applyFont="1" applyFill="1" applyBorder="1" applyAlignment="1">
      <alignment horizontal="center"/>
    </xf>
    <xf numFmtId="3" fontId="92" fillId="0" borderId="131" xfId="90" applyNumberFormat="1" applyFont="1" applyFill="1" applyBorder="1" applyAlignment="1">
      <alignment horizontal="left"/>
      <protection/>
    </xf>
    <xf numFmtId="3" fontId="92" fillId="0" borderId="54" xfId="0" applyNumberFormat="1" applyFont="1" applyFill="1" applyBorder="1" applyAlignment="1">
      <alignment vertical="top"/>
    </xf>
    <xf numFmtId="3" fontId="93" fillId="0" borderId="54" xfId="0" applyNumberFormat="1" applyFont="1" applyFill="1" applyBorder="1" applyAlignment="1">
      <alignment vertical="top"/>
    </xf>
    <xf numFmtId="3" fontId="92" fillId="0" borderId="55" xfId="0" applyNumberFormat="1" applyFont="1" applyFill="1" applyBorder="1" applyAlignment="1">
      <alignment vertical="top"/>
    </xf>
    <xf numFmtId="3" fontId="92" fillId="0" borderId="154" xfId="0" applyNumberFormat="1" applyFont="1" applyFill="1" applyBorder="1" applyAlignment="1">
      <alignment vertical="top"/>
    </xf>
    <xf numFmtId="3" fontId="92" fillId="0" borderId="111" xfId="0" applyNumberFormat="1" applyFont="1" applyFill="1" applyBorder="1" applyAlignment="1">
      <alignment horizontal="center"/>
    </xf>
    <xf numFmtId="3" fontId="92" fillId="0" borderId="155" xfId="0" applyNumberFormat="1" applyFont="1" applyFill="1" applyBorder="1" applyAlignment="1">
      <alignment horizontal="center"/>
    </xf>
    <xf numFmtId="3" fontId="92" fillId="0" borderId="135" xfId="90" applyNumberFormat="1" applyFont="1" applyFill="1" applyBorder="1" applyAlignment="1">
      <alignment horizontal="left"/>
      <protection/>
    </xf>
    <xf numFmtId="3" fontId="92" fillId="0" borderId="111" xfId="0" applyNumberFormat="1" applyFont="1" applyFill="1" applyBorder="1" applyAlignment="1">
      <alignment vertical="top"/>
    </xf>
    <xf numFmtId="3" fontId="93" fillId="0" borderId="111" xfId="0" applyNumberFormat="1" applyFont="1" applyFill="1" applyBorder="1" applyAlignment="1">
      <alignment vertical="top"/>
    </xf>
    <xf numFmtId="3" fontId="92" fillId="0" borderId="26" xfId="0" applyNumberFormat="1" applyFont="1" applyFill="1" applyBorder="1" applyAlignment="1">
      <alignment vertical="center"/>
    </xf>
    <xf numFmtId="3" fontId="92" fillId="0" borderId="26" xfId="0" applyNumberFormat="1" applyFont="1" applyFill="1" applyBorder="1" applyAlignment="1">
      <alignment vertical="top"/>
    </xf>
    <xf numFmtId="3" fontId="92" fillId="0" borderId="55" xfId="0" applyNumberFormat="1" applyFont="1" applyFill="1" applyBorder="1" applyAlignment="1">
      <alignment vertical="center"/>
    </xf>
    <xf numFmtId="3" fontId="92" fillId="0" borderId="154" xfId="0" applyNumberFormat="1" applyFont="1" applyFill="1" applyBorder="1" applyAlignment="1">
      <alignment vertical="center"/>
    </xf>
    <xf numFmtId="3" fontId="92" fillId="0" borderId="25" xfId="0" applyNumberFormat="1" applyFont="1" applyFill="1" applyBorder="1" applyAlignment="1">
      <alignment vertical="center"/>
    </xf>
    <xf numFmtId="3" fontId="93" fillId="0" borderId="25" xfId="0" applyNumberFormat="1" applyFont="1" applyFill="1" applyBorder="1" applyAlignment="1">
      <alignment vertical="center"/>
    </xf>
    <xf numFmtId="3" fontId="92" fillId="0" borderId="117" xfId="90" applyNumberFormat="1" applyFont="1" applyFill="1" applyBorder="1" applyAlignment="1">
      <alignment horizontal="left"/>
      <protection/>
    </xf>
    <xf numFmtId="3" fontId="92" fillId="0" borderId="25" xfId="0" applyNumberFormat="1" applyFont="1" applyFill="1" applyBorder="1" applyAlignment="1">
      <alignment vertical="top"/>
    </xf>
    <xf numFmtId="3" fontId="93" fillId="0" borderId="25" xfId="0" applyNumberFormat="1" applyFont="1" applyFill="1" applyBorder="1" applyAlignment="1">
      <alignment vertical="top"/>
    </xf>
    <xf numFmtId="3" fontId="93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/>
    </xf>
    <xf numFmtId="3" fontId="92" fillId="0" borderId="131" xfId="90" applyNumberFormat="1" applyFont="1" applyFill="1" applyBorder="1" applyAlignment="1">
      <alignment/>
      <protection/>
    </xf>
    <xf numFmtId="3" fontId="92" fillId="0" borderId="54" xfId="0" applyNumberFormat="1" applyFont="1" applyFill="1" applyBorder="1" applyAlignment="1">
      <alignment vertical="center"/>
    </xf>
    <xf numFmtId="3" fontId="93" fillId="0" borderId="54" xfId="0" applyNumberFormat="1" applyFont="1" applyFill="1" applyBorder="1" applyAlignment="1">
      <alignment vertical="center"/>
    </xf>
    <xf numFmtId="3" fontId="92" fillId="0" borderId="135" xfId="90" applyNumberFormat="1" applyFont="1" applyFill="1" applyBorder="1" applyAlignment="1">
      <alignment/>
      <protection/>
    </xf>
    <xf numFmtId="3" fontId="92" fillId="0" borderId="111" xfId="0" applyNumberFormat="1" applyFont="1" applyFill="1" applyBorder="1" applyAlignment="1">
      <alignment vertical="center"/>
    </xf>
    <xf numFmtId="3" fontId="93" fillId="0" borderId="111" xfId="0" applyNumberFormat="1" applyFont="1" applyFill="1" applyBorder="1" applyAlignment="1">
      <alignment vertical="center"/>
    </xf>
    <xf numFmtId="3" fontId="92" fillId="0" borderId="156" xfId="0" applyNumberFormat="1" applyFont="1" applyFill="1" applyBorder="1" applyAlignment="1">
      <alignment vertical="center"/>
    </xf>
    <xf numFmtId="3" fontId="92" fillId="0" borderId="157" xfId="0" applyNumberFormat="1" applyFont="1" applyFill="1" applyBorder="1" applyAlignment="1">
      <alignment horizontal="center" vertical="center"/>
    </xf>
    <xf numFmtId="3" fontId="92" fillId="0" borderId="158" xfId="0" applyNumberFormat="1" applyFont="1" applyFill="1" applyBorder="1" applyAlignment="1">
      <alignment horizontal="center"/>
    </xf>
    <xf numFmtId="3" fontId="92" fillId="0" borderId="159" xfId="0" applyNumberFormat="1" applyFont="1" applyFill="1" applyBorder="1" applyAlignment="1">
      <alignment horizontal="center"/>
    </xf>
    <xf numFmtId="3" fontId="92" fillId="0" borderId="160" xfId="90" applyNumberFormat="1" applyFont="1" applyFill="1" applyBorder="1" applyAlignment="1">
      <alignment/>
      <protection/>
    </xf>
    <xf numFmtId="3" fontId="92" fillId="0" borderId="158" xfId="0" applyNumberFormat="1" applyFont="1" applyFill="1" applyBorder="1" applyAlignment="1">
      <alignment vertical="center"/>
    </xf>
    <xf numFmtId="3" fontId="93" fillId="0" borderId="158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3" fontId="16" fillId="0" borderId="52" xfId="0" applyNumberFormat="1" applyFont="1" applyFill="1" applyBorder="1" applyAlignment="1">
      <alignment vertical="center"/>
    </xf>
    <xf numFmtId="3" fontId="92" fillId="0" borderId="76" xfId="0" applyNumberFormat="1" applyFont="1" applyFill="1" applyBorder="1" applyAlignment="1">
      <alignment horizontal="center" vertical="center"/>
    </xf>
    <xf numFmtId="3" fontId="92" fillId="0" borderId="54" xfId="90" applyNumberFormat="1" applyFont="1" applyFill="1" applyBorder="1" applyAlignment="1">
      <alignment/>
      <protection/>
    </xf>
    <xf numFmtId="3" fontId="92" fillId="0" borderId="54" xfId="90" applyNumberFormat="1" applyFont="1" applyFill="1" applyBorder="1" applyAlignment="1">
      <alignment horizontal="left"/>
      <protection/>
    </xf>
    <xf numFmtId="3" fontId="92" fillId="0" borderId="158" xfId="90" applyNumberFormat="1" applyFont="1" applyFill="1" applyBorder="1" applyAlignment="1">
      <alignment horizontal="left"/>
      <protection/>
    </xf>
    <xf numFmtId="3" fontId="10" fillId="0" borderId="29" xfId="91" applyNumberFormat="1" applyFont="1" applyFill="1" applyBorder="1" applyAlignment="1">
      <alignment vertical="center" wrapText="1"/>
      <protection/>
    </xf>
    <xf numFmtId="3" fontId="10" fillId="0" borderId="161" xfId="91" applyNumberFormat="1" applyFont="1" applyFill="1" applyBorder="1" applyAlignment="1">
      <alignment vertical="center" wrapText="1"/>
      <protection/>
    </xf>
    <xf numFmtId="3" fontId="10" fillId="0" borderId="31" xfId="91" applyNumberFormat="1" applyFont="1" applyFill="1" applyBorder="1" applyAlignment="1">
      <alignment vertical="center" wrapText="1"/>
      <protection/>
    </xf>
    <xf numFmtId="3" fontId="16" fillId="0" borderId="133" xfId="0" applyNumberFormat="1" applyFont="1" applyFill="1" applyBorder="1" applyAlignment="1">
      <alignment horizontal="left" vertical="center"/>
    </xf>
    <xf numFmtId="3" fontId="10" fillId="0" borderId="162" xfId="91" applyNumberFormat="1" applyFont="1" applyFill="1" applyBorder="1" applyAlignment="1">
      <alignment vertical="center"/>
      <protection/>
    </xf>
    <xf numFmtId="3" fontId="92" fillId="0" borderId="117" xfId="0" applyNumberFormat="1" applyFont="1" applyFill="1" applyBorder="1" applyAlignment="1">
      <alignment horizontal="center" vertical="center"/>
    </xf>
    <xf numFmtId="3" fontId="92" fillId="0" borderId="25" xfId="90" applyNumberFormat="1" applyFont="1" applyFill="1" applyBorder="1" applyAlignment="1">
      <alignment/>
      <protection/>
    </xf>
    <xf numFmtId="3" fontId="92" fillId="0" borderId="29" xfId="0" applyNumberFormat="1" applyFont="1" applyFill="1" applyBorder="1" applyAlignment="1">
      <alignment vertical="center"/>
    </xf>
    <xf numFmtId="3" fontId="92" fillId="0" borderId="59" xfId="0" applyNumberFormat="1" applyFont="1" applyFill="1" applyBorder="1" applyAlignment="1">
      <alignment/>
    </xf>
    <xf numFmtId="3" fontId="92" fillId="0" borderId="25" xfId="0" applyNumberFormat="1" applyFont="1" applyFill="1" applyBorder="1" applyAlignment="1">
      <alignment horizontal="right"/>
    </xf>
    <xf numFmtId="3" fontId="92" fillId="0" borderId="26" xfId="0" applyNumberFormat="1" applyFont="1" applyFill="1" applyBorder="1" applyAlignment="1">
      <alignment horizontal="right"/>
    </xf>
    <xf numFmtId="3" fontId="92" fillId="0" borderId="0" xfId="0" applyNumberFormat="1" applyFont="1" applyFill="1" applyBorder="1" applyAlignment="1">
      <alignment horizontal="right" vertical="center"/>
    </xf>
    <xf numFmtId="3" fontId="92" fillId="0" borderId="0" xfId="0" applyNumberFormat="1" applyFont="1" applyFill="1" applyBorder="1" applyAlignment="1">
      <alignment vertical="center"/>
    </xf>
    <xf numFmtId="3" fontId="92" fillId="0" borderId="0" xfId="0" applyNumberFormat="1" applyFont="1" applyFill="1" applyBorder="1" applyAlignment="1">
      <alignment horizontal="right"/>
    </xf>
    <xf numFmtId="3" fontId="92" fillId="0" borderId="0" xfId="0" applyNumberFormat="1" applyFont="1" applyFill="1" applyBorder="1" applyAlignment="1">
      <alignment/>
    </xf>
    <xf numFmtId="3" fontId="92" fillId="0" borderId="131" xfId="0" applyNumberFormat="1" applyFont="1" applyFill="1" applyBorder="1" applyAlignment="1">
      <alignment horizontal="center" vertical="center"/>
    </xf>
    <xf numFmtId="3" fontId="92" fillId="0" borderId="161" xfId="0" applyNumberFormat="1" applyFont="1" applyFill="1" applyBorder="1" applyAlignment="1">
      <alignment vertical="center"/>
    </xf>
    <xf numFmtId="3" fontId="92" fillId="0" borderId="163" xfId="0" applyNumberFormat="1" applyFont="1" applyFill="1" applyBorder="1" applyAlignment="1">
      <alignment/>
    </xf>
    <xf numFmtId="3" fontId="92" fillId="0" borderId="54" xfId="0" applyNumberFormat="1" applyFont="1" applyFill="1" applyBorder="1" applyAlignment="1">
      <alignment horizontal="right"/>
    </xf>
    <xf numFmtId="3" fontId="92" fillId="0" borderId="55" xfId="0" applyNumberFormat="1" applyFont="1" applyFill="1" applyBorder="1" applyAlignment="1">
      <alignment horizontal="right"/>
    </xf>
    <xf numFmtId="3" fontId="92" fillId="0" borderId="111" xfId="0" applyNumberFormat="1" applyFont="1" applyFill="1" applyBorder="1" applyAlignment="1">
      <alignment horizontal="center" vertical="center"/>
    </xf>
    <xf numFmtId="3" fontId="92" fillId="0" borderId="135" xfId="0" applyNumberFormat="1" applyFont="1" applyFill="1" applyBorder="1" applyAlignment="1">
      <alignment horizontal="center" vertical="center"/>
    </xf>
    <xf numFmtId="3" fontId="92" fillId="0" borderId="111" xfId="90" applyNumberFormat="1" applyFont="1" applyFill="1" applyBorder="1" applyAlignment="1">
      <alignment horizontal="left"/>
      <protection/>
    </xf>
    <xf numFmtId="3" fontId="92" fillId="0" borderId="140" xfId="0" applyNumberFormat="1" applyFont="1" applyFill="1" applyBorder="1" applyAlignment="1">
      <alignment vertical="center"/>
    </xf>
    <xf numFmtId="3" fontId="92" fillId="0" borderId="134" xfId="0" applyNumberFormat="1" applyFont="1" applyFill="1" applyBorder="1" applyAlignment="1">
      <alignment/>
    </xf>
    <xf numFmtId="3" fontId="92" fillId="0" borderId="111" xfId="0" applyNumberFormat="1" applyFont="1" applyFill="1" applyBorder="1" applyAlignment="1">
      <alignment horizontal="right"/>
    </xf>
    <xf numFmtId="3" fontId="92" fillId="0" borderId="154" xfId="0" applyNumberFormat="1" applyFont="1" applyFill="1" applyBorder="1" applyAlignment="1">
      <alignment horizontal="right"/>
    </xf>
    <xf numFmtId="3" fontId="92" fillId="0" borderId="25" xfId="90" applyNumberFormat="1" applyFont="1" applyFill="1" applyBorder="1" applyAlignment="1">
      <alignment horizontal="left"/>
      <protection/>
    </xf>
    <xf numFmtId="3" fontId="92" fillId="0" borderId="25" xfId="90" applyNumberFormat="1" applyFont="1" applyFill="1" applyBorder="1" applyAlignment="1">
      <alignment horizontal="center" vertical="center"/>
      <protection/>
    </xf>
    <xf numFmtId="3" fontId="92" fillId="0" borderId="0" xfId="0" applyNumberFormat="1" applyFont="1" applyFill="1" applyAlignment="1">
      <alignment horizontal="right"/>
    </xf>
    <xf numFmtId="3" fontId="92" fillId="0" borderId="111" xfId="90" applyNumberFormat="1" applyFont="1" applyFill="1" applyBorder="1" applyAlignment="1">
      <alignment/>
      <protection/>
    </xf>
    <xf numFmtId="3" fontId="93" fillId="0" borderId="0" xfId="0" applyNumberFormat="1" applyFont="1" applyFill="1" applyBorder="1" applyAlignment="1">
      <alignment horizontal="right" vertical="center"/>
    </xf>
    <xf numFmtId="3" fontId="93" fillId="0" borderId="0" xfId="0" applyNumberFormat="1" applyFont="1" applyFill="1" applyBorder="1" applyAlignment="1">
      <alignment vertical="center"/>
    </xf>
    <xf numFmtId="3" fontId="16" fillId="0" borderId="164" xfId="0" applyNumberFormat="1" applyFont="1" applyFill="1" applyBorder="1" applyAlignment="1">
      <alignment vertical="center"/>
    </xf>
    <xf numFmtId="3" fontId="92" fillId="0" borderId="160" xfId="0" applyNumberFormat="1" applyFont="1" applyFill="1" applyBorder="1" applyAlignment="1">
      <alignment horizontal="center" vertical="center"/>
    </xf>
    <xf numFmtId="3" fontId="92" fillId="0" borderId="158" xfId="90" applyNumberFormat="1" applyFont="1" applyFill="1" applyBorder="1" applyAlignment="1">
      <alignment/>
      <protection/>
    </xf>
    <xf numFmtId="3" fontId="92" fillId="0" borderId="165" xfId="0" applyNumberFormat="1" applyFont="1" applyFill="1" applyBorder="1" applyAlignment="1">
      <alignment vertical="center"/>
    </xf>
    <xf numFmtId="3" fontId="92" fillId="0" borderId="166" xfId="0" applyNumberFormat="1" applyFont="1" applyFill="1" applyBorder="1" applyAlignment="1">
      <alignment/>
    </xf>
    <xf numFmtId="3" fontId="92" fillId="0" borderId="158" xfId="0" applyNumberFormat="1" applyFont="1" applyFill="1" applyBorder="1" applyAlignment="1">
      <alignment horizontal="right"/>
    </xf>
    <xf numFmtId="3" fontId="92" fillId="0" borderId="156" xfId="0" applyNumberFormat="1" applyFont="1" applyFill="1" applyBorder="1" applyAlignment="1">
      <alignment horizontal="right"/>
    </xf>
    <xf numFmtId="3" fontId="13" fillId="0" borderId="60" xfId="0" applyNumberFormat="1" applyFont="1" applyFill="1" applyBorder="1" applyAlignment="1">
      <alignment vertical="center"/>
    </xf>
    <xf numFmtId="3" fontId="13" fillId="0" borderId="23" xfId="90" applyNumberFormat="1" applyFont="1" applyFill="1" applyBorder="1" applyAlignment="1">
      <alignment horizontal="center" vertical="center"/>
      <protection/>
    </xf>
    <xf numFmtId="3" fontId="10" fillId="0" borderId="52" xfId="90" applyNumberFormat="1" applyFont="1" applyFill="1" applyBorder="1" applyAlignment="1">
      <alignment horizontal="center" vertical="center"/>
      <protection/>
    </xf>
    <xf numFmtId="3" fontId="16" fillId="0" borderId="80" xfId="0" applyNumberFormat="1" applyFont="1" applyFill="1" applyBorder="1" applyAlignment="1">
      <alignment vertical="center"/>
    </xf>
    <xf numFmtId="3" fontId="16" fillId="0" borderId="60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vertical="center"/>
    </xf>
    <xf numFmtId="3" fontId="92" fillId="0" borderId="25" xfId="0" applyNumberFormat="1" applyFont="1" applyFill="1" applyBorder="1" applyAlignment="1">
      <alignment horizontal="right" vertical="center"/>
    </xf>
    <xf numFmtId="3" fontId="92" fillId="0" borderId="26" xfId="0" applyNumberFormat="1" applyFont="1" applyFill="1" applyBorder="1" applyAlignment="1">
      <alignment horizontal="right" vertical="center"/>
    </xf>
    <xf numFmtId="3" fontId="92" fillId="0" borderId="29" xfId="90" applyNumberFormat="1" applyFont="1" applyFill="1" applyBorder="1" applyAlignment="1">
      <alignment/>
      <protection/>
    </xf>
    <xf numFmtId="3" fontId="92" fillId="0" borderId="25" xfId="90" applyNumberFormat="1" applyFont="1" applyFill="1" applyBorder="1" applyAlignment="1">
      <alignment horizontal="center"/>
      <protection/>
    </xf>
    <xf numFmtId="3" fontId="92" fillId="0" borderId="0" xfId="0" applyNumberFormat="1" applyFont="1" applyFill="1" applyAlignment="1">
      <alignment horizontal="right" vertical="center"/>
    </xf>
    <xf numFmtId="3" fontId="92" fillId="0" borderId="165" xfId="90" applyNumberFormat="1" applyFont="1" applyFill="1" applyBorder="1" applyAlignment="1">
      <alignment/>
      <protection/>
    </xf>
    <xf numFmtId="3" fontId="92" fillId="0" borderId="158" xfId="90" applyNumberFormat="1" applyFont="1" applyFill="1" applyBorder="1" applyAlignment="1">
      <alignment horizontal="center"/>
      <protection/>
    </xf>
    <xf numFmtId="3" fontId="92" fillId="0" borderId="158" xfId="0" applyNumberFormat="1" applyFont="1" applyFill="1" applyBorder="1" applyAlignment="1">
      <alignment horizontal="right" vertical="center"/>
    </xf>
    <xf numFmtId="3" fontId="92" fillId="0" borderId="156" xfId="0" applyNumberFormat="1" applyFont="1" applyFill="1" applyBorder="1" applyAlignment="1">
      <alignment horizontal="right" vertical="center"/>
    </xf>
    <xf numFmtId="3" fontId="93" fillId="0" borderId="24" xfId="0" applyNumberFormat="1" applyFont="1" applyFill="1" applyBorder="1" applyAlignment="1">
      <alignment horizontal="left" vertical="center" wrapText="1"/>
    </xf>
    <xf numFmtId="3" fontId="93" fillId="0" borderId="117" xfId="0" applyNumberFormat="1" applyFont="1" applyFill="1" applyBorder="1" applyAlignment="1">
      <alignment horizontal="left" vertical="center" wrapText="1"/>
    </xf>
    <xf numFmtId="3" fontId="93" fillId="0" borderId="25" xfId="0" applyNumberFormat="1" applyFont="1" applyFill="1" applyBorder="1" applyAlignment="1">
      <alignment horizontal="left" vertical="center" wrapText="1"/>
    </xf>
    <xf numFmtId="3" fontId="93" fillId="0" borderId="25" xfId="0" applyNumberFormat="1" applyFont="1" applyFill="1" applyBorder="1" applyAlignment="1">
      <alignment horizontal="right" vertical="center"/>
    </xf>
    <xf numFmtId="3" fontId="93" fillId="0" borderId="29" xfId="0" applyNumberFormat="1" applyFont="1" applyFill="1" applyBorder="1" applyAlignment="1">
      <alignment horizontal="right" vertical="center"/>
    </xf>
    <xf numFmtId="3" fontId="92" fillId="0" borderId="59" xfId="0" applyNumberFormat="1" applyFont="1" applyFill="1" applyBorder="1" applyAlignment="1">
      <alignment horizontal="right" vertical="center"/>
    </xf>
    <xf numFmtId="3" fontId="93" fillId="0" borderId="157" xfId="0" applyNumberFormat="1" applyFont="1" applyFill="1" applyBorder="1" applyAlignment="1">
      <alignment horizontal="left" vertical="center" wrapText="1"/>
    </xf>
    <xf numFmtId="3" fontId="93" fillId="0" borderId="160" xfId="0" applyNumberFormat="1" applyFont="1" applyFill="1" applyBorder="1" applyAlignment="1">
      <alignment horizontal="left" vertical="center" wrapText="1"/>
    </xf>
    <xf numFmtId="3" fontId="93" fillId="0" borderId="158" xfId="0" applyNumberFormat="1" applyFont="1" applyFill="1" applyBorder="1" applyAlignment="1">
      <alignment horizontal="left" vertical="center" wrapText="1"/>
    </xf>
    <xf numFmtId="3" fontId="93" fillId="0" borderId="158" xfId="0" applyNumberFormat="1" applyFont="1" applyFill="1" applyBorder="1" applyAlignment="1">
      <alignment horizontal="right" vertical="center"/>
    </xf>
    <xf numFmtId="3" fontId="93" fillId="0" borderId="165" xfId="0" applyNumberFormat="1" applyFont="1" applyFill="1" applyBorder="1" applyAlignment="1">
      <alignment horizontal="right" vertical="center"/>
    </xf>
    <xf numFmtId="3" fontId="92" fillId="0" borderId="166" xfId="0" applyNumberFormat="1" applyFont="1" applyFill="1" applyBorder="1" applyAlignment="1">
      <alignment horizontal="right" vertical="center"/>
    </xf>
    <xf numFmtId="3" fontId="9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0" fillId="0" borderId="109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9" xfId="0" applyNumberFormat="1" applyFont="1" applyFill="1" applyBorder="1" applyAlignment="1">
      <alignment/>
    </xf>
    <xf numFmtId="3" fontId="10" fillId="0" borderId="29" xfId="90" applyNumberFormat="1" applyFont="1" applyFill="1" applyBorder="1" applyAlignment="1">
      <alignment wrapText="1"/>
      <protection/>
    </xf>
    <xf numFmtId="3" fontId="93" fillId="0" borderId="150" xfId="0" applyNumberFormat="1" applyFont="1" applyFill="1" applyBorder="1" applyAlignment="1">
      <alignment horizontal="right" vertical="center"/>
    </xf>
    <xf numFmtId="3" fontId="6" fillId="0" borderId="0" xfId="79" applyNumberFormat="1" applyFont="1" applyFill="1" applyAlignment="1">
      <alignment horizontal="center" vertical="center"/>
      <protection/>
    </xf>
    <xf numFmtId="3" fontId="6" fillId="0" borderId="0" xfId="79" applyNumberFormat="1" applyFont="1" applyFill="1" applyAlignment="1">
      <alignment horizontal="center"/>
      <protection/>
    </xf>
    <xf numFmtId="3" fontId="11" fillId="0" borderId="0" xfId="79" applyNumberFormat="1" applyFont="1" applyFill="1" applyAlignment="1">
      <alignment horizontal="center" vertical="center"/>
      <protection/>
    </xf>
    <xf numFmtId="3" fontId="6" fillId="0" borderId="0" xfId="79" applyNumberFormat="1" applyFont="1" applyFill="1" applyAlignment="1">
      <alignment horizontal="center" vertical="top"/>
      <protection/>
    </xf>
    <xf numFmtId="3" fontId="10" fillId="0" borderId="0" xfId="80" applyNumberFormat="1" applyFont="1" applyFill="1" applyAlignment="1">
      <alignment horizontal="right"/>
      <protection/>
    </xf>
    <xf numFmtId="3" fontId="4" fillId="0" borderId="0" xfId="80" applyNumberFormat="1" applyFont="1" applyFill="1" applyAlignment="1">
      <alignment horizontal="center" vertical="center"/>
      <protection/>
    </xf>
    <xf numFmtId="3" fontId="2" fillId="0" borderId="0" xfId="93" applyNumberFormat="1" applyFont="1" applyFill="1" applyBorder="1" applyAlignment="1">
      <alignment horizontal="right"/>
      <protection/>
    </xf>
    <xf numFmtId="0" fontId="2" fillId="0" borderId="0" xfId="93" applyFont="1" applyFill="1" applyBorder="1" applyAlignment="1">
      <alignment horizontal="center"/>
      <protection/>
    </xf>
    <xf numFmtId="3" fontId="2" fillId="0" borderId="0" xfId="93" applyNumberFormat="1" applyFont="1" applyFill="1" applyBorder="1" applyAlignment="1" applyProtection="1">
      <alignment horizontal="right"/>
      <protection locked="0"/>
    </xf>
    <xf numFmtId="0" fontId="2" fillId="0" borderId="0" xfId="93" applyFont="1" applyFill="1" applyBorder="1" applyProtection="1">
      <alignment/>
      <protection locked="0"/>
    </xf>
    <xf numFmtId="0" fontId="2" fillId="0" borderId="0" xfId="93" applyFont="1" applyFill="1" applyBorder="1" applyAlignment="1" applyProtection="1">
      <alignment horizontal="center" vertical="center"/>
      <protection locked="0"/>
    </xf>
    <xf numFmtId="0" fontId="10" fillId="0" borderId="0" xfId="93" applyFont="1" applyFill="1" applyBorder="1" applyAlignment="1" applyProtection="1">
      <alignment horizontal="center" vertical="center"/>
      <protection locked="0"/>
    </xf>
    <xf numFmtId="0" fontId="10" fillId="0" borderId="0" xfId="93" applyFont="1" applyFill="1" applyBorder="1" applyAlignment="1" applyProtection="1">
      <alignment horizontal="center" vertical="top"/>
      <protection locked="0"/>
    </xf>
    <xf numFmtId="0" fontId="10" fillId="0" borderId="0" xfId="93" applyFont="1" applyFill="1" applyBorder="1" applyAlignment="1" applyProtection="1">
      <alignment wrapText="1"/>
      <protection locked="0"/>
    </xf>
    <xf numFmtId="3" fontId="10" fillId="0" borderId="0" xfId="93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93" applyNumberFormat="1" applyFont="1" applyFill="1" applyBorder="1" applyAlignment="1" applyProtection="1">
      <alignment horizontal="right"/>
      <protection locked="0"/>
    </xf>
    <xf numFmtId="3" fontId="12" fillId="0" borderId="0" xfId="93" applyNumberFormat="1" applyFont="1" applyFill="1" applyBorder="1" applyAlignment="1" applyProtection="1">
      <alignment horizontal="right"/>
      <protection locked="0"/>
    </xf>
    <xf numFmtId="0" fontId="10" fillId="0" borderId="0" xfId="93" applyFont="1" applyFill="1" applyBorder="1" applyProtection="1">
      <alignment/>
      <protection locked="0"/>
    </xf>
    <xf numFmtId="0" fontId="6" fillId="0" borderId="0" xfId="93" applyFont="1" applyFill="1" applyBorder="1" applyAlignment="1" applyProtection="1">
      <alignment horizontal="center"/>
      <protection locked="0"/>
    </xf>
    <xf numFmtId="0" fontId="6" fillId="0" borderId="0" xfId="94" applyFont="1" applyFill="1" applyBorder="1" applyAlignment="1" applyProtection="1">
      <alignment horizontal="center" wrapText="1"/>
      <protection locked="0"/>
    </xf>
    <xf numFmtId="3" fontId="6" fillId="0" borderId="0" xfId="94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93" applyFont="1" applyFill="1" applyBorder="1" applyAlignment="1" applyProtection="1">
      <alignment horizontal="center" vertical="center"/>
      <protection locked="0"/>
    </xf>
    <xf numFmtId="3" fontId="10" fillId="0" borderId="0" xfId="93" applyNumberFormat="1" applyFont="1" applyFill="1" applyBorder="1" applyAlignment="1" applyProtection="1">
      <alignment horizontal="center" vertical="center"/>
      <protection locked="0"/>
    </xf>
    <xf numFmtId="0" fontId="10" fillId="0" borderId="32" xfId="94" applyFont="1" applyFill="1" applyBorder="1" applyAlignment="1" applyProtection="1">
      <alignment horizontal="center"/>
      <protection locked="0"/>
    </xf>
    <xf numFmtId="3" fontId="25" fillId="0" borderId="30" xfId="90" applyNumberFormat="1" applyFont="1" applyFill="1" applyBorder="1" applyAlignment="1" applyProtection="1">
      <alignment horizontal="left"/>
      <protection locked="0"/>
    </xf>
    <xf numFmtId="0" fontId="10" fillId="0" borderId="30" xfId="94" applyFont="1" applyFill="1" applyBorder="1" applyAlignment="1" applyProtection="1">
      <alignment horizontal="center"/>
      <protection locked="0"/>
    </xf>
    <xf numFmtId="0" fontId="25" fillId="0" borderId="30" xfId="93" applyFont="1" applyFill="1" applyBorder="1" applyAlignment="1" applyProtection="1">
      <alignment horizontal="left" wrapText="1"/>
      <protection locked="0"/>
    </xf>
    <xf numFmtId="3" fontId="10" fillId="0" borderId="31" xfId="93" applyNumberFormat="1" applyFont="1" applyFill="1" applyBorder="1" applyAlignment="1" applyProtection="1">
      <alignment horizontal="left"/>
      <protection locked="0"/>
    </xf>
    <xf numFmtId="3" fontId="10" fillId="0" borderId="35" xfId="93" applyNumberFormat="1" applyFont="1" applyFill="1" applyBorder="1" applyAlignment="1" applyProtection="1">
      <alignment horizontal="left"/>
      <protection locked="0"/>
    </xf>
    <xf numFmtId="0" fontId="10" fillId="0" borderId="0" xfId="93" applyFont="1" applyFill="1" applyBorder="1" applyAlignment="1" applyProtection="1">
      <alignment horizontal="left"/>
      <protection locked="0"/>
    </xf>
    <xf numFmtId="3" fontId="10" fillId="0" borderId="25" xfId="90" applyNumberFormat="1" applyFont="1" applyFill="1" applyBorder="1" applyAlignment="1" applyProtection="1">
      <alignment horizontal="center"/>
      <protection locked="0"/>
    </xf>
    <xf numFmtId="3" fontId="10" fillId="0" borderId="31" xfId="93" applyNumberFormat="1" applyFont="1" applyFill="1" applyBorder="1" applyAlignment="1" applyProtection="1">
      <alignment horizontal="right" vertical="center"/>
      <protection locked="0"/>
    </xf>
    <xf numFmtId="3" fontId="10" fillId="0" borderId="35" xfId="93" applyNumberFormat="1" applyFont="1" applyFill="1" applyBorder="1" applyAlignment="1" applyProtection="1">
      <alignment horizontal="right" vertical="center"/>
      <protection locked="0"/>
    </xf>
    <xf numFmtId="0" fontId="10" fillId="0" borderId="0" xfId="93" applyFont="1" applyFill="1" applyBorder="1" applyAlignment="1" applyProtection="1">
      <alignment/>
      <protection locked="0"/>
    </xf>
    <xf numFmtId="0" fontId="16" fillId="0" borderId="25" xfId="93" applyFont="1" applyFill="1" applyBorder="1" applyAlignment="1" applyProtection="1">
      <alignment/>
      <protection locked="0"/>
    </xf>
    <xf numFmtId="0" fontId="16" fillId="0" borderId="30" xfId="94" applyFont="1" applyFill="1" applyBorder="1" applyAlignment="1" applyProtection="1">
      <alignment horizontal="left"/>
      <protection locked="0"/>
    </xf>
    <xf numFmtId="3" fontId="25" fillId="0" borderId="25" xfId="90" applyNumberFormat="1" applyFont="1" applyFill="1" applyBorder="1" applyAlignment="1" applyProtection="1">
      <alignment horizontal="left"/>
      <protection locked="0"/>
    </xf>
    <xf numFmtId="0" fontId="16" fillId="0" borderId="25" xfId="93" applyFont="1" applyFill="1" applyBorder="1" applyAlignment="1" applyProtection="1">
      <alignment horizontal="left"/>
      <protection locked="0"/>
    </xf>
    <xf numFmtId="0" fontId="13" fillId="0" borderId="25" xfId="93" applyFont="1" applyFill="1" applyBorder="1" applyAlignment="1" applyProtection="1">
      <alignment wrapText="1"/>
      <protection locked="0"/>
    </xf>
    <xf numFmtId="0" fontId="10" fillId="0" borderId="25" xfId="93" applyFont="1" applyFill="1" applyBorder="1" applyAlignment="1" applyProtection="1">
      <alignment horizontal="left" wrapText="1"/>
      <protection locked="0"/>
    </xf>
    <xf numFmtId="3" fontId="10" fillId="0" borderId="25" xfId="90" applyNumberFormat="1" applyFont="1" applyFill="1" applyBorder="1" applyAlignment="1" applyProtection="1">
      <alignment horizontal="center" vertical="top"/>
      <protection locked="0"/>
    </xf>
    <xf numFmtId="3" fontId="25" fillId="0" borderId="30" xfId="0" applyNumberFormat="1" applyFont="1" applyFill="1" applyBorder="1" applyAlignment="1" applyProtection="1">
      <alignment horizontal="left"/>
      <protection locked="0"/>
    </xf>
    <xf numFmtId="0" fontId="13" fillId="0" borderId="0" xfId="93" applyFont="1" applyFill="1" applyBorder="1" applyAlignment="1" applyProtection="1">
      <alignment horizontal="left" vertical="center"/>
      <protection locked="0"/>
    </xf>
    <xf numFmtId="3" fontId="25" fillId="0" borderId="31" xfId="0" applyNumberFormat="1" applyFont="1" applyFill="1" applyBorder="1" applyAlignment="1" applyProtection="1">
      <alignment horizontal="left"/>
      <protection locked="0"/>
    </xf>
    <xf numFmtId="0" fontId="10" fillId="0" borderId="30" xfId="94" applyFont="1" applyFill="1" applyBorder="1" applyAlignment="1" applyProtection="1">
      <alignment horizontal="center" vertical="top"/>
      <protection locked="0"/>
    </xf>
    <xf numFmtId="3" fontId="10" fillId="0" borderId="0" xfId="94" applyNumberFormat="1" applyFont="1" applyFill="1" applyBorder="1" applyAlignment="1" applyProtection="1">
      <alignment horizontal="right"/>
      <protection locked="0"/>
    </xf>
    <xf numFmtId="3" fontId="10" fillId="0" borderId="0" xfId="93" applyNumberFormat="1" applyFont="1" applyFill="1" applyBorder="1" applyAlignment="1" applyProtection="1">
      <alignment horizontal="right" vertical="center"/>
      <protection locked="0"/>
    </xf>
    <xf numFmtId="3" fontId="10" fillId="0" borderId="30" xfId="80" applyNumberFormat="1" applyFont="1" applyFill="1" applyBorder="1" applyAlignment="1">
      <alignment horizontal="center"/>
      <protection/>
    </xf>
    <xf numFmtId="3" fontId="10" fillId="0" borderId="37" xfId="0" applyNumberFormat="1" applyFont="1" applyFill="1" applyBorder="1" applyAlignment="1">
      <alignment horizontal="center" vertical="center" wrapText="1"/>
    </xf>
    <xf numFmtId="1" fontId="10" fillId="0" borderId="0" xfId="80" applyNumberFormat="1" applyFont="1" applyFill="1" applyBorder="1" applyAlignment="1">
      <alignment horizontal="center" vertical="center"/>
      <protection/>
    </xf>
    <xf numFmtId="1" fontId="2" fillId="0" borderId="0" xfId="80" applyNumberFormat="1" applyFont="1" applyFill="1" applyBorder="1" applyAlignment="1">
      <alignment horizontal="center" vertical="center"/>
      <protection/>
    </xf>
    <xf numFmtId="3" fontId="2" fillId="0" borderId="0" xfId="80" applyNumberFormat="1" applyFont="1" applyFill="1" applyAlignment="1">
      <alignment horizontal="right"/>
      <protection/>
    </xf>
    <xf numFmtId="3" fontId="10" fillId="0" borderId="0" xfId="80" applyNumberFormat="1" applyFont="1" applyFill="1" applyAlignment="1">
      <alignment horizontal="center"/>
      <protection/>
    </xf>
    <xf numFmtId="3" fontId="10" fillId="0" borderId="0" xfId="80" applyNumberFormat="1" applyFont="1" applyFill="1" applyAlignment="1">
      <alignment horizontal="center" vertical="top"/>
      <protection/>
    </xf>
    <xf numFmtId="0" fontId="13" fillId="0" borderId="0" xfId="80" applyFont="1" applyFill="1" applyBorder="1" applyAlignment="1">
      <alignment vertical="top" wrapText="1"/>
      <protection/>
    </xf>
    <xf numFmtId="3" fontId="10" fillId="0" borderId="0" xfId="80" applyNumberFormat="1" applyFont="1" applyFill="1" applyAlignment="1">
      <alignment/>
      <protection/>
    </xf>
    <xf numFmtId="0" fontId="10" fillId="0" borderId="0" xfId="80" applyFont="1" applyFill="1" applyBorder="1" applyAlignment="1">
      <alignment horizontal="center"/>
      <protection/>
    </xf>
    <xf numFmtId="3" fontId="13" fillId="0" borderId="0" xfId="80" applyNumberFormat="1" applyFont="1" applyFill="1" applyAlignment="1">
      <alignment/>
      <protection/>
    </xf>
    <xf numFmtId="1" fontId="6" fillId="0" borderId="0" xfId="80" applyNumberFormat="1" applyFont="1" applyFill="1" applyBorder="1" applyAlignment="1">
      <alignment horizontal="center" vertical="center"/>
      <protection/>
    </xf>
    <xf numFmtId="3" fontId="6" fillId="0" borderId="0" xfId="80" applyNumberFormat="1" applyFont="1" applyFill="1" applyBorder="1" applyAlignment="1">
      <alignment horizontal="center" vertical="center"/>
      <protection/>
    </xf>
    <xf numFmtId="3" fontId="6" fillId="0" borderId="0" xfId="80" applyNumberFormat="1" applyFont="1" applyFill="1" applyBorder="1" applyAlignment="1">
      <alignment horizontal="center" vertical="center" wrapText="1"/>
      <protection/>
    </xf>
    <xf numFmtId="3" fontId="6" fillId="0" borderId="0" xfId="80" applyNumberFormat="1" applyFont="1" applyFill="1" applyBorder="1" applyAlignment="1">
      <alignment horizontal="center"/>
      <protection/>
    </xf>
    <xf numFmtId="3" fontId="10" fillId="0" borderId="51" xfId="80" applyNumberFormat="1" applyFont="1" applyFill="1" applyBorder="1" applyAlignment="1">
      <alignment horizontal="center"/>
      <protection/>
    </xf>
    <xf numFmtId="3" fontId="25" fillId="0" borderId="52" xfId="80" applyNumberFormat="1" applyFont="1" applyFill="1" applyBorder="1" applyAlignment="1">
      <alignment horizontal="left"/>
      <protection/>
    </xf>
    <xf numFmtId="0" fontId="13" fillId="0" borderId="52" xfId="80" applyFont="1" applyFill="1" applyBorder="1" applyAlignment="1">
      <alignment horizontal="center" vertical="center" wrapText="1"/>
      <protection/>
    </xf>
    <xf numFmtId="3" fontId="10" fillId="0" borderId="52" xfId="80" applyNumberFormat="1" applyFont="1" applyFill="1" applyBorder="1" applyAlignment="1">
      <alignment horizontal="center" vertical="center" wrapText="1"/>
      <protection/>
    </xf>
    <xf numFmtId="3" fontId="13" fillId="0" borderId="52" xfId="80" applyNumberFormat="1" applyFont="1" applyFill="1" applyBorder="1" applyAlignment="1">
      <alignment horizontal="center" vertical="center" wrapText="1"/>
      <protection/>
    </xf>
    <xf numFmtId="3" fontId="10" fillId="0" borderId="52" xfId="0" applyNumberFormat="1" applyFont="1" applyFill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textRotation="90" wrapText="1"/>
    </xf>
    <xf numFmtId="3" fontId="10" fillId="0" borderId="149" xfId="80" applyNumberFormat="1" applyFont="1" applyFill="1" applyBorder="1" applyAlignment="1">
      <alignment horizontal="center" vertical="center" wrapText="1"/>
      <protection/>
    </xf>
    <xf numFmtId="0" fontId="10" fillId="0" borderId="32" xfId="93" applyFont="1" applyFill="1" applyBorder="1" applyAlignment="1">
      <alignment horizontal="center"/>
      <protection/>
    </xf>
    <xf numFmtId="3" fontId="10" fillId="0" borderId="15" xfId="93" applyNumberFormat="1" applyFont="1" applyFill="1" applyBorder="1" applyAlignment="1">
      <alignment horizontal="center" vertical="center" wrapText="1"/>
      <protection/>
    </xf>
    <xf numFmtId="3" fontId="10" fillId="0" borderId="130" xfId="83" applyNumberFormat="1" applyFont="1" applyFill="1" applyBorder="1" applyAlignment="1">
      <alignment horizontal="right" vertical="center" wrapText="1"/>
      <protection/>
    </xf>
    <xf numFmtId="3" fontId="10" fillId="0" borderId="117" xfId="83" applyNumberFormat="1" applyFont="1" applyFill="1" applyBorder="1" applyAlignment="1">
      <alignment horizontal="right" vertical="center" wrapText="1"/>
      <protection/>
    </xf>
    <xf numFmtId="3" fontId="10" fillId="0" borderId="117" xfId="93" applyNumberFormat="1" applyFont="1" applyFill="1" applyBorder="1" applyAlignment="1">
      <alignment horizontal="right" vertical="center"/>
      <protection/>
    </xf>
    <xf numFmtId="3" fontId="13" fillId="0" borderId="74" xfId="83" applyNumberFormat="1" applyFont="1" applyFill="1" applyBorder="1" applyAlignment="1">
      <alignment horizontal="right" vertical="center" wrapText="1"/>
      <protection/>
    </xf>
    <xf numFmtId="3" fontId="13" fillId="0" borderId="167" xfId="83" applyNumberFormat="1" applyFont="1" applyFill="1" applyBorder="1" applyAlignment="1">
      <alignment horizontal="right" vertical="center" wrapText="1"/>
      <protection/>
    </xf>
    <xf numFmtId="3" fontId="13" fillId="0" borderId="45" xfId="83" applyNumberFormat="1" applyFont="1" applyFill="1" applyBorder="1" applyAlignment="1">
      <alignment horizontal="right" vertical="center" wrapText="1"/>
      <protection/>
    </xf>
    <xf numFmtId="3" fontId="13" fillId="0" borderId="152" xfId="83" applyNumberFormat="1" applyFont="1" applyFill="1" applyBorder="1" applyAlignment="1">
      <alignment horizontal="right" vertical="center" wrapText="1"/>
      <protection/>
    </xf>
    <xf numFmtId="3" fontId="10" fillId="0" borderId="168" xfId="93" applyNumberFormat="1" applyFont="1" applyFill="1" applyBorder="1" applyAlignment="1">
      <alignment horizontal="center" vertical="center" wrapText="1"/>
      <protection/>
    </xf>
    <xf numFmtId="3" fontId="10" fillId="0" borderId="0" xfId="93" applyNumberFormat="1" applyFont="1" applyFill="1" applyBorder="1" applyAlignment="1" applyProtection="1">
      <alignment/>
      <protection locked="0"/>
    </xf>
    <xf numFmtId="3" fontId="13" fillId="0" borderId="30" xfId="94" applyNumberFormat="1" applyFont="1" applyFill="1" applyBorder="1" applyAlignment="1" applyProtection="1">
      <alignment/>
      <protection locked="0"/>
    </xf>
    <xf numFmtId="3" fontId="10" fillId="0" borderId="30" xfId="93" applyNumberFormat="1" applyFont="1" applyFill="1" applyBorder="1" applyAlignment="1" applyProtection="1">
      <alignment/>
      <protection locked="0"/>
    </xf>
    <xf numFmtId="3" fontId="10" fillId="0" borderId="30" xfId="94" applyNumberFormat="1" applyFont="1" applyFill="1" applyBorder="1" applyAlignment="1" applyProtection="1">
      <alignment vertical="center"/>
      <protection locked="0"/>
    </xf>
    <xf numFmtId="3" fontId="10" fillId="0" borderId="30" xfId="93" applyNumberFormat="1" applyFont="1" applyFill="1" applyBorder="1" applyAlignment="1" applyProtection="1">
      <alignment vertical="center"/>
      <protection locked="0"/>
    </xf>
    <xf numFmtId="3" fontId="10" fillId="0" borderId="0" xfId="94" applyNumberFormat="1" applyFont="1" applyFill="1" applyBorder="1" applyAlignment="1" applyProtection="1">
      <alignment/>
      <protection locked="0"/>
    </xf>
    <xf numFmtId="3" fontId="10" fillId="0" borderId="0" xfId="94" applyNumberFormat="1" applyFont="1" applyFill="1" applyBorder="1" applyAlignment="1" applyProtection="1">
      <alignment wrapText="1"/>
      <protection locked="0"/>
    </xf>
    <xf numFmtId="3" fontId="10" fillId="0" borderId="30" xfId="94" applyNumberFormat="1" applyFont="1" applyFill="1" applyBorder="1" applyAlignment="1" applyProtection="1">
      <alignment/>
      <protection locked="0"/>
    </xf>
    <xf numFmtId="0" fontId="10" fillId="0" borderId="57" xfId="94" applyFont="1" applyFill="1" applyBorder="1" applyAlignment="1" applyProtection="1">
      <alignment horizontal="center"/>
      <protection locked="0"/>
    </xf>
    <xf numFmtId="3" fontId="10" fillId="0" borderId="54" xfId="90" applyNumberFormat="1" applyFont="1" applyFill="1" applyBorder="1" applyAlignment="1" applyProtection="1">
      <alignment horizontal="center"/>
      <protection locked="0"/>
    </xf>
    <xf numFmtId="0" fontId="10" fillId="0" borderId="77" xfId="94" applyFont="1" applyFill="1" applyBorder="1" applyAlignment="1" applyProtection="1">
      <alignment horizontal="center"/>
      <protection locked="0"/>
    </xf>
    <xf numFmtId="3" fontId="10" fillId="0" borderId="77" xfId="94" applyNumberFormat="1" applyFont="1" applyFill="1" applyBorder="1" applyAlignment="1" applyProtection="1">
      <alignment vertical="center"/>
      <protection locked="0"/>
    </xf>
    <xf numFmtId="3" fontId="10" fillId="0" borderId="77" xfId="93" applyNumberFormat="1" applyFont="1" applyFill="1" applyBorder="1" applyAlignment="1" applyProtection="1">
      <alignment vertical="center"/>
      <protection locked="0"/>
    </xf>
    <xf numFmtId="3" fontId="10" fillId="0" borderId="139" xfId="93" applyNumberFormat="1" applyFont="1" applyFill="1" applyBorder="1" applyAlignment="1" applyProtection="1">
      <alignment horizontal="right" vertical="center"/>
      <protection locked="0"/>
    </xf>
    <xf numFmtId="3" fontId="10" fillId="0" borderId="56" xfId="93" applyNumberFormat="1" applyFont="1" applyFill="1" applyBorder="1" applyAlignment="1" applyProtection="1">
      <alignment horizontal="right" vertical="center"/>
      <protection locked="0"/>
    </xf>
    <xf numFmtId="0" fontId="13" fillId="0" borderId="145" xfId="94" applyFont="1" applyFill="1" applyBorder="1" applyAlignment="1" applyProtection="1">
      <alignment horizontal="center" vertical="center"/>
      <protection locked="0"/>
    </xf>
    <xf numFmtId="3" fontId="13" fillId="0" borderId="145" xfId="94" applyNumberFormat="1" applyFont="1" applyFill="1" applyBorder="1" applyAlignment="1" applyProtection="1">
      <alignment vertical="center"/>
      <protection locked="0"/>
    </xf>
    <xf numFmtId="3" fontId="13" fillId="0" borderId="145" xfId="93" applyNumberFormat="1" applyFont="1" applyFill="1" applyBorder="1" applyAlignment="1" applyProtection="1">
      <alignment vertical="center"/>
      <protection locked="0"/>
    </xf>
    <xf numFmtId="3" fontId="13" fillId="0" borderId="169" xfId="93" applyNumberFormat="1" applyFont="1" applyFill="1" applyBorder="1" applyAlignment="1" applyProtection="1">
      <alignment horizontal="right" vertical="center"/>
      <protection locked="0"/>
    </xf>
    <xf numFmtId="3" fontId="13" fillId="0" borderId="58" xfId="93" applyNumberFormat="1" applyFont="1" applyFill="1" applyBorder="1" applyAlignment="1" applyProtection="1">
      <alignment horizontal="right" vertical="center"/>
      <protection locked="0"/>
    </xf>
    <xf numFmtId="0" fontId="13" fillId="0" borderId="74" xfId="94" applyFont="1" applyFill="1" applyBorder="1" applyAlignment="1" applyProtection="1">
      <alignment horizontal="center" vertical="center"/>
      <protection locked="0"/>
    </xf>
    <xf numFmtId="3" fontId="13" fillId="0" borderId="74" xfId="94" applyNumberFormat="1" applyFont="1" applyFill="1" applyBorder="1" applyAlignment="1" applyProtection="1">
      <alignment vertical="center"/>
      <protection locked="0"/>
    </xf>
    <xf numFmtId="3" fontId="13" fillId="0" borderId="74" xfId="93" applyNumberFormat="1" applyFont="1" applyFill="1" applyBorder="1" applyAlignment="1" applyProtection="1">
      <alignment vertical="center"/>
      <protection locked="0"/>
    </xf>
    <xf numFmtId="3" fontId="13" fillId="0" borderId="170" xfId="93" applyNumberFormat="1" applyFont="1" applyFill="1" applyBorder="1" applyAlignment="1" applyProtection="1">
      <alignment horizontal="right" vertical="center"/>
      <protection locked="0"/>
    </xf>
    <xf numFmtId="3" fontId="13" fillId="0" borderId="34" xfId="93" applyNumberFormat="1" applyFont="1" applyFill="1" applyBorder="1" applyAlignment="1" applyProtection="1">
      <alignment horizontal="right" vertical="center"/>
      <protection locked="0"/>
    </xf>
    <xf numFmtId="0" fontId="10" fillId="0" borderId="30" xfId="93" applyFont="1" applyFill="1" applyBorder="1" applyAlignment="1" applyProtection="1">
      <alignment horizontal="left" wrapText="1"/>
      <protection locked="0"/>
    </xf>
    <xf numFmtId="0" fontId="10" fillId="0" borderId="54" xfId="93" applyFont="1" applyFill="1" applyBorder="1" applyAlignment="1" applyProtection="1">
      <alignment horizontal="left" wrapText="1"/>
      <protection locked="0"/>
    </xf>
    <xf numFmtId="0" fontId="10" fillId="0" borderId="30" xfId="93" applyFont="1" applyFill="1" applyBorder="1" applyAlignment="1" applyProtection="1">
      <alignment horizontal="left" vertical="top" wrapText="1"/>
      <protection locked="0"/>
    </xf>
    <xf numFmtId="0" fontId="10" fillId="0" borderId="0" xfId="80" applyNumberFormat="1" applyFont="1" applyFill="1" applyBorder="1" applyAlignment="1">
      <alignment horizontal="center" vertical="center"/>
      <protection/>
    </xf>
    <xf numFmtId="0" fontId="2" fillId="0" borderId="0" xfId="80" applyNumberFormat="1" applyFont="1" applyFill="1" applyBorder="1" applyAlignment="1">
      <alignment horizontal="center" vertical="center"/>
      <protection/>
    </xf>
    <xf numFmtId="3" fontId="2" fillId="0" borderId="0" xfId="80" applyNumberFormat="1" applyFont="1" applyFill="1" applyAlignment="1">
      <alignment vertical="top"/>
      <protection/>
    </xf>
    <xf numFmtId="3" fontId="2" fillId="0" borderId="0" xfId="80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0" fontId="10" fillId="0" borderId="0" xfId="93" applyFont="1" applyFill="1" applyBorder="1" applyAlignment="1">
      <alignment/>
      <protection/>
    </xf>
    <xf numFmtId="3" fontId="10" fillId="0" borderId="0" xfId="93" applyNumberFormat="1" applyFont="1" applyFill="1" applyBorder="1" applyAlignment="1">
      <alignment horizontal="center" wrapText="1"/>
      <protection/>
    </xf>
    <xf numFmtId="3" fontId="13" fillId="0" borderId="0" xfId="93" applyNumberFormat="1" applyFont="1" applyFill="1" applyBorder="1" applyAlignment="1">
      <alignment horizontal="right"/>
      <protection/>
    </xf>
    <xf numFmtId="0" fontId="6" fillId="0" borderId="0" xfId="93" applyFont="1" applyFill="1" applyBorder="1" applyAlignment="1">
      <alignment horizontal="center"/>
      <protection/>
    </xf>
    <xf numFmtId="0" fontId="6" fillId="0" borderId="0" xfId="94" applyFont="1" applyFill="1" applyBorder="1" applyAlignment="1">
      <alignment horizontal="center" wrapText="1"/>
      <protection/>
    </xf>
    <xf numFmtId="3" fontId="6" fillId="0" borderId="0" xfId="94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10" fillId="0" borderId="75" xfId="93" applyFont="1" applyFill="1" applyBorder="1" applyAlignment="1">
      <alignment horizontal="center" vertical="center" wrapText="1"/>
      <protection/>
    </xf>
    <xf numFmtId="0" fontId="10" fillId="0" borderId="59" xfId="93" applyFont="1" applyFill="1" applyBorder="1" applyAlignment="1">
      <alignment horizontal="center" vertical="center" wrapText="1"/>
      <protection/>
    </xf>
    <xf numFmtId="3" fontId="10" fillId="0" borderId="59" xfId="83" applyNumberFormat="1" applyFont="1" applyFill="1" applyBorder="1" applyAlignment="1">
      <alignment horizontal="center" vertical="center" wrapText="1"/>
      <protection/>
    </xf>
    <xf numFmtId="0" fontId="2" fillId="0" borderId="127" xfId="83" applyFont="1" applyFill="1" applyBorder="1" applyAlignment="1">
      <alignment vertical="top" wrapText="1"/>
      <protection/>
    </xf>
    <xf numFmtId="3" fontId="2" fillId="0" borderId="127" xfId="84" applyNumberFormat="1" applyFont="1" applyFill="1" applyBorder="1" applyAlignment="1">
      <alignment horizontal="left" vertical="top" wrapText="1"/>
      <protection/>
    </xf>
    <xf numFmtId="0" fontId="2" fillId="0" borderId="25" xfId="83" applyFont="1" applyFill="1" applyBorder="1" applyAlignment="1">
      <alignment horizontal="left" vertical="top" wrapText="1"/>
      <protection/>
    </xf>
    <xf numFmtId="3" fontId="2" fillId="0" borderId="141" xfId="84" applyNumberFormat="1" applyFont="1" applyFill="1" applyBorder="1" applyAlignment="1">
      <alignment horizontal="left"/>
      <protection/>
    </xf>
    <xf numFmtId="3" fontId="96" fillId="0" borderId="150" xfId="83" applyNumberFormat="1" applyFont="1" applyFill="1" applyBorder="1" applyAlignment="1">
      <alignment horizontal="right" wrapText="1"/>
      <protection/>
    </xf>
    <xf numFmtId="0" fontId="96" fillId="0" borderId="24" xfId="93" applyFont="1" applyFill="1" applyBorder="1" applyAlignment="1">
      <alignment horizontal="center"/>
      <protection/>
    </xf>
    <xf numFmtId="0" fontId="96" fillId="0" borderId="25" xfId="93" applyFont="1" applyFill="1" applyBorder="1" applyAlignment="1">
      <alignment horizontal="center"/>
      <protection/>
    </xf>
    <xf numFmtId="0" fontId="96" fillId="0" borderId="25" xfId="83" applyFont="1" applyFill="1" applyBorder="1" applyAlignment="1">
      <alignment horizontal="left"/>
      <protection/>
    </xf>
    <xf numFmtId="3" fontId="96" fillId="0" borderId="25" xfId="93" applyNumberFormat="1" applyFont="1" applyFill="1" applyBorder="1" applyAlignment="1">
      <alignment horizontal="right"/>
      <protection/>
    </xf>
    <xf numFmtId="3" fontId="96" fillId="0" borderId="25" xfId="83" applyNumberFormat="1" applyFont="1" applyFill="1" applyBorder="1" applyAlignment="1">
      <alignment horizontal="right"/>
      <protection/>
    </xf>
    <xf numFmtId="3" fontId="96" fillId="0" borderId="29" xfId="93" applyNumberFormat="1" applyFont="1" applyFill="1" applyBorder="1" applyAlignment="1">
      <alignment horizontal="right"/>
      <protection/>
    </xf>
    <xf numFmtId="3" fontId="96" fillId="0" borderId="25" xfId="83" applyNumberFormat="1" applyFont="1" applyFill="1" applyBorder="1" applyAlignment="1">
      <alignment horizontal="right" wrapText="1"/>
      <protection/>
    </xf>
    <xf numFmtId="3" fontId="96" fillId="0" borderId="148" xfId="93" applyNumberFormat="1" applyFont="1" applyFill="1" applyBorder="1" applyAlignment="1">
      <alignment horizontal="right"/>
      <protection/>
    </xf>
    <xf numFmtId="0" fontId="96" fillId="0" borderId="0" xfId="93" applyFont="1" applyFill="1" applyBorder="1" applyAlignment="1">
      <alignment/>
      <protection/>
    </xf>
    <xf numFmtId="0" fontId="96" fillId="0" borderId="127" xfId="83" applyFont="1" applyFill="1" applyBorder="1" applyAlignment="1">
      <alignment/>
      <protection/>
    </xf>
    <xf numFmtId="3" fontId="2" fillId="0" borderId="28" xfId="93" applyNumberFormat="1" applyFont="1" applyFill="1" applyBorder="1" applyAlignment="1">
      <alignment horizontal="center" vertical="center" wrapText="1"/>
      <protection/>
    </xf>
    <xf numFmtId="3" fontId="2" fillId="0" borderId="132" xfId="83" applyNumberFormat="1" applyFont="1" applyFill="1" applyBorder="1" applyAlignment="1">
      <alignment horizontal="right" wrapText="1"/>
      <protection/>
    </xf>
    <xf numFmtId="3" fontId="2" fillId="0" borderId="117" xfId="83" applyNumberFormat="1" applyFont="1" applyFill="1" applyBorder="1" applyAlignment="1">
      <alignment horizontal="right" wrapText="1"/>
      <protection/>
    </xf>
    <xf numFmtId="3" fontId="96" fillId="0" borderId="117" xfId="83" applyNumberFormat="1" applyFont="1" applyFill="1" applyBorder="1" applyAlignment="1">
      <alignment horizontal="right" wrapText="1"/>
      <protection/>
    </xf>
    <xf numFmtId="3" fontId="2" fillId="0" borderId="117" xfId="93" applyNumberFormat="1" applyFont="1" applyFill="1" applyBorder="1" applyAlignment="1">
      <alignment horizontal="right"/>
      <protection/>
    </xf>
    <xf numFmtId="0" fontId="2" fillId="0" borderId="75" xfId="93" applyFont="1" applyFill="1" applyBorder="1" applyAlignment="1">
      <alignment horizontal="center" wrapText="1"/>
      <protection/>
    </xf>
    <xf numFmtId="0" fontId="2" fillId="0" borderId="59" xfId="93" applyFont="1" applyFill="1" applyBorder="1" applyAlignment="1">
      <alignment horizontal="center" wrapText="1"/>
      <protection/>
    </xf>
    <xf numFmtId="0" fontId="96" fillId="0" borderId="59" xfId="93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3" fontId="10" fillId="0" borderId="0" xfId="84" applyNumberFormat="1" applyFont="1">
      <alignment/>
      <protection/>
    </xf>
    <xf numFmtId="3" fontId="10" fillId="0" borderId="0" xfId="84" applyNumberFormat="1" applyFont="1" applyAlignment="1">
      <alignment horizontal="center"/>
      <protection/>
    </xf>
    <xf numFmtId="3" fontId="10" fillId="0" borderId="0" xfId="84" applyNumberFormat="1" applyFont="1" applyAlignment="1">
      <alignment horizontal="left" wrapText="1"/>
      <protection/>
    </xf>
    <xf numFmtId="14" fontId="10" fillId="0" borderId="0" xfId="84" applyNumberFormat="1" applyFont="1" applyAlignment="1">
      <alignment horizontal="center"/>
      <protection/>
    </xf>
    <xf numFmtId="3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97" fillId="0" borderId="25" xfId="93" applyNumberFormat="1" applyFont="1" applyFill="1" applyBorder="1" applyAlignment="1">
      <alignment horizontal="right"/>
      <protection/>
    </xf>
    <xf numFmtId="3" fontId="97" fillId="0" borderId="25" xfId="83" applyNumberFormat="1" applyFont="1" applyFill="1" applyBorder="1" applyAlignment="1">
      <alignment horizontal="right" wrapText="1"/>
      <protection/>
    </xf>
    <xf numFmtId="3" fontId="97" fillId="0" borderId="132" xfId="83" applyNumberFormat="1" applyFont="1" applyFill="1" applyBorder="1" applyAlignment="1">
      <alignment horizontal="right" wrapText="1"/>
      <protection/>
    </xf>
    <xf numFmtId="3" fontId="97" fillId="0" borderId="120" xfId="83" applyNumberFormat="1" applyFont="1" applyFill="1" applyBorder="1" applyAlignment="1">
      <alignment horizontal="right" wrapText="1"/>
      <protection/>
    </xf>
    <xf numFmtId="3" fontId="96" fillId="0" borderId="151" xfId="83" applyNumberFormat="1" applyFont="1" applyFill="1" applyBorder="1" applyAlignment="1">
      <alignment horizontal="right" wrapText="1"/>
      <protection/>
    </xf>
    <xf numFmtId="3" fontId="97" fillId="0" borderId="117" xfId="83" applyNumberFormat="1" applyFont="1" applyFill="1" applyBorder="1" applyAlignment="1">
      <alignment horizontal="right" wrapText="1"/>
      <protection/>
    </xf>
    <xf numFmtId="3" fontId="97" fillId="0" borderId="117" xfId="93" applyNumberFormat="1" applyFont="1" applyFill="1" applyBorder="1" applyAlignment="1">
      <alignment horizontal="right"/>
      <protection/>
    </xf>
    <xf numFmtId="3" fontId="96" fillId="0" borderId="150" xfId="93" applyNumberFormat="1" applyFont="1" applyFill="1" applyBorder="1" applyAlignment="1">
      <alignment horizontal="right"/>
      <protection/>
    </xf>
    <xf numFmtId="0" fontId="2" fillId="0" borderId="127" xfId="83" applyFont="1" applyFill="1" applyBorder="1" applyAlignment="1">
      <alignment horizontal="left" wrapText="1"/>
      <protection/>
    </xf>
    <xf numFmtId="2" fontId="2" fillId="0" borderId="25" xfId="83" applyNumberFormat="1" applyFont="1" applyFill="1" applyBorder="1" applyAlignment="1">
      <alignment wrapText="1"/>
      <protection/>
    </xf>
    <xf numFmtId="0" fontId="97" fillId="0" borderId="0" xfId="93" applyFont="1" applyFill="1" applyBorder="1" applyAlignment="1">
      <alignment/>
      <protection/>
    </xf>
    <xf numFmtId="3" fontId="2" fillId="0" borderId="0" xfId="93" applyNumberFormat="1" applyFont="1" applyFill="1" applyBorder="1" applyAlignment="1">
      <alignment horizontal="right"/>
      <protection/>
    </xf>
    <xf numFmtId="0" fontId="27" fillId="0" borderId="25" xfId="83" applyFont="1" applyFill="1" applyBorder="1" applyAlignment="1">
      <alignment horizontal="left"/>
      <protection/>
    </xf>
    <xf numFmtId="0" fontId="2" fillId="0" borderId="59" xfId="93" applyFont="1" applyFill="1" applyBorder="1" applyAlignment="1">
      <alignment horizontal="center" vertical="top" wrapText="1"/>
      <protection/>
    </xf>
    <xf numFmtId="3" fontId="97" fillId="0" borderId="25" xfId="83" applyNumberFormat="1" applyFont="1" applyFill="1" applyBorder="1" applyAlignment="1">
      <alignment horizontal="right"/>
      <protection/>
    </xf>
    <xf numFmtId="0" fontId="2" fillId="0" borderId="25" xfId="93" applyFont="1" applyFill="1" applyBorder="1" applyAlignment="1">
      <alignment wrapText="1"/>
      <protection/>
    </xf>
    <xf numFmtId="0" fontId="26" fillId="0" borderId="25" xfId="93" applyFont="1" applyFill="1" applyBorder="1" applyAlignment="1">
      <alignment/>
      <protection/>
    </xf>
    <xf numFmtId="0" fontId="2" fillId="0" borderId="25" xfId="93" applyFont="1" applyFill="1" applyBorder="1" applyAlignment="1">
      <alignment horizontal="left" wrapText="1" indent="1"/>
      <protection/>
    </xf>
    <xf numFmtId="0" fontId="26" fillId="0" borderId="25" xfId="93" applyFont="1" applyFill="1" applyBorder="1" applyAlignment="1">
      <alignment wrapText="1"/>
      <protection/>
    </xf>
    <xf numFmtId="0" fontId="17" fillId="0" borderId="25" xfId="93" applyFont="1" applyFill="1" applyBorder="1" applyAlignment="1">
      <alignment wrapText="1"/>
      <protection/>
    </xf>
    <xf numFmtId="0" fontId="26" fillId="0" borderId="25" xfId="93" applyFont="1" applyFill="1" applyBorder="1" applyAlignment="1">
      <alignment horizontal="left" wrapText="1"/>
      <protection/>
    </xf>
    <xf numFmtId="0" fontId="17" fillId="0" borderId="25" xfId="93" applyFont="1" applyFill="1" applyBorder="1" applyAlignment="1">
      <alignment shrinkToFit="1"/>
      <protection/>
    </xf>
    <xf numFmtId="0" fontId="26" fillId="0" borderId="25" xfId="93" applyFont="1" applyFill="1" applyBorder="1" applyAlignment="1">
      <alignment horizontal="left"/>
      <protection/>
    </xf>
    <xf numFmtId="0" fontId="2" fillId="0" borderId="25" xfId="93" applyFont="1" applyFill="1" applyBorder="1" applyAlignment="1">
      <alignment vertical="top" wrapText="1"/>
      <protection/>
    </xf>
    <xf numFmtId="0" fontId="2" fillId="0" borderId="139" xfId="83" applyFont="1" applyFill="1" applyBorder="1" applyAlignment="1">
      <alignment wrapText="1"/>
      <protection/>
    </xf>
    <xf numFmtId="0" fontId="2" fillId="0" borderId="25" xfId="83" applyFont="1" applyFill="1" applyBorder="1" applyAlignment="1">
      <alignment shrinkToFit="1"/>
      <protection/>
    </xf>
    <xf numFmtId="0" fontId="4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98" fillId="0" borderId="25" xfId="93" applyFont="1" applyFill="1" applyBorder="1" applyAlignment="1">
      <alignment wrapText="1"/>
      <protection/>
    </xf>
    <xf numFmtId="3" fontId="2" fillId="0" borderId="127" xfId="93" applyNumberFormat="1" applyFont="1" applyFill="1" applyBorder="1" applyAlignment="1">
      <alignment/>
      <protection/>
    </xf>
    <xf numFmtId="0" fontId="38" fillId="0" borderId="25" xfId="83" applyFont="1" applyFill="1" applyBorder="1" applyAlignment="1">
      <alignment horizontal="left"/>
      <protection/>
    </xf>
    <xf numFmtId="3" fontId="2" fillId="0" borderId="27" xfId="0" applyNumberFormat="1" applyFont="1" applyBorder="1" applyAlignment="1">
      <alignment/>
    </xf>
    <xf numFmtId="3" fontId="2" fillId="0" borderId="122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 vertical="center"/>
    </xf>
    <xf numFmtId="3" fontId="10" fillId="0" borderId="25" xfId="90" applyNumberFormat="1" applyFont="1" applyFill="1" applyBorder="1" applyAlignment="1">
      <alignment horizontal="left"/>
      <protection/>
    </xf>
    <xf numFmtId="3" fontId="10" fillId="0" borderId="29" xfId="90" applyNumberFormat="1" applyFont="1" applyFill="1" applyBorder="1" applyAlignment="1">
      <alignment vertical="top" wrapText="1"/>
      <protection/>
    </xf>
    <xf numFmtId="3" fontId="10" fillId="0" borderId="31" xfId="93" applyNumberFormat="1" applyFont="1" applyFill="1" applyBorder="1" applyAlignment="1" applyProtection="1">
      <alignment horizontal="right"/>
      <protection locked="0"/>
    </xf>
    <xf numFmtId="0" fontId="39" fillId="0" borderId="25" xfId="93" applyFont="1" applyFill="1" applyBorder="1" applyAlignment="1" applyProtection="1">
      <alignment horizontal="left"/>
      <protection locked="0"/>
    </xf>
    <xf numFmtId="0" fontId="10" fillId="0" borderId="32" xfId="94" applyFont="1" applyFill="1" applyBorder="1" applyAlignment="1" applyProtection="1">
      <alignment horizontal="center" vertical="top"/>
      <protection locked="0"/>
    </xf>
    <xf numFmtId="0" fontId="10" fillId="0" borderId="25" xfId="93" applyFont="1" applyFill="1" applyBorder="1" applyAlignment="1" applyProtection="1">
      <alignment horizontal="left" vertical="top" wrapText="1"/>
      <protection locked="0"/>
    </xf>
    <xf numFmtId="3" fontId="10" fillId="0" borderId="30" xfId="94" applyNumberFormat="1" applyFont="1" applyFill="1" applyBorder="1" applyAlignment="1" applyProtection="1">
      <alignment horizontal="center" vertical="top"/>
      <protection locked="0"/>
    </xf>
    <xf numFmtId="3" fontId="10" fillId="0" borderId="30" xfId="93" applyNumberFormat="1" applyFont="1" applyFill="1" applyBorder="1" applyAlignment="1" applyProtection="1">
      <alignment horizontal="center" vertical="top"/>
      <protection locked="0"/>
    </xf>
    <xf numFmtId="3" fontId="10" fillId="0" borderId="31" xfId="93" applyNumberFormat="1" applyFont="1" applyFill="1" applyBorder="1" applyAlignment="1" applyProtection="1">
      <alignment vertical="center"/>
      <protection locked="0"/>
    </xf>
    <xf numFmtId="0" fontId="10" fillId="0" borderId="0" xfId="93" applyFont="1" applyFill="1" applyBorder="1" applyAlignment="1" applyProtection="1">
      <alignment vertical="top"/>
      <protection locked="0"/>
    </xf>
    <xf numFmtId="3" fontId="10" fillId="0" borderId="29" xfId="90" applyNumberFormat="1" applyFont="1" applyFill="1" applyBorder="1" applyAlignment="1">
      <alignment horizontal="left"/>
      <protection/>
    </xf>
    <xf numFmtId="3" fontId="10" fillId="0" borderId="1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3" fontId="4" fillId="0" borderId="41" xfId="0" applyNumberFormat="1" applyFont="1" applyFill="1" applyBorder="1" applyAlignment="1">
      <alignment vertical="center"/>
    </xf>
    <xf numFmtId="3" fontId="4" fillId="0" borderId="171" xfId="0" applyNumberFormat="1" applyFont="1" applyFill="1" applyBorder="1" applyAlignment="1">
      <alignment horizontal="right" vertical="center"/>
    </xf>
    <xf numFmtId="0" fontId="2" fillId="0" borderId="25" xfId="93" applyFont="1" applyFill="1" applyBorder="1" applyAlignment="1">
      <alignment horizontal="left" indent="1" shrinkToFit="1"/>
      <protection/>
    </xf>
    <xf numFmtId="0" fontId="2" fillId="0" borderId="0" xfId="70" applyFont="1" applyFill="1" applyBorder="1" applyAlignment="1" applyProtection="1">
      <alignment horizontal="center" vertical="center"/>
      <protection locked="0"/>
    </xf>
    <xf numFmtId="3" fontId="2" fillId="0" borderId="0" xfId="70" applyNumberFormat="1" applyFont="1" applyFill="1" applyBorder="1" applyAlignment="1" applyProtection="1">
      <alignment horizontal="center" vertical="center"/>
      <protection locked="0"/>
    </xf>
    <xf numFmtId="3" fontId="2" fillId="0" borderId="0" xfId="70" applyNumberFormat="1" applyFont="1" applyFill="1" applyBorder="1" applyAlignment="1" applyProtection="1">
      <alignment/>
      <protection locked="0"/>
    </xf>
    <xf numFmtId="3" fontId="2" fillId="0" borderId="0" xfId="70" applyNumberFormat="1" applyFont="1" applyFill="1" applyBorder="1" applyAlignment="1" applyProtection="1">
      <alignment horizontal="right"/>
      <protection locked="0"/>
    </xf>
    <xf numFmtId="0" fontId="2" fillId="0" borderId="0" xfId="70" applyFont="1" applyFill="1" applyBorder="1" applyProtection="1">
      <alignment/>
      <protection locked="0"/>
    </xf>
    <xf numFmtId="3" fontId="10" fillId="0" borderId="0" xfId="70" applyNumberFormat="1" applyFont="1" applyFill="1" applyBorder="1" applyAlignment="1" applyProtection="1">
      <alignment horizontal="left" vertical="top"/>
      <protection locked="0"/>
    </xf>
    <xf numFmtId="3" fontId="10" fillId="0" borderId="0" xfId="70" applyNumberFormat="1" applyFont="1" applyFill="1" applyBorder="1" applyAlignment="1" applyProtection="1">
      <alignment horizontal="center" vertical="top"/>
      <protection locked="0"/>
    </xf>
    <xf numFmtId="3" fontId="10" fillId="0" borderId="0" xfId="70" applyNumberFormat="1" applyFont="1" applyFill="1" applyBorder="1" applyAlignment="1" applyProtection="1">
      <alignment horizontal="center" vertical="center"/>
      <protection locked="0"/>
    </xf>
    <xf numFmtId="3" fontId="10" fillId="0" borderId="0" xfId="70" applyNumberFormat="1" applyFont="1" applyFill="1" applyBorder="1" applyAlignment="1" applyProtection="1">
      <alignment/>
      <protection locked="0"/>
    </xf>
    <xf numFmtId="0" fontId="2" fillId="0" borderId="30" xfId="93" applyFont="1" applyFill="1" applyBorder="1" applyAlignment="1">
      <alignment horizontal="center"/>
      <protection/>
    </xf>
    <xf numFmtId="3" fontId="97" fillId="0" borderId="30" xfId="93" applyNumberFormat="1" applyFont="1" applyFill="1" applyBorder="1" applyAlignment="1">
      <alignment horizontal="right"/>
      <protection/>
    </xf>
    <xf numFmtId="3" fontId="97" fillId="0" borderId="30" xfId="83" applyNumberFormat="1" applyFont="1" applyFill="1" applyBorder="1" applyAlignment="1">
      <alignment horizontal="right"/>
      <protection/>
    </xf>
    <xf numFmtId="3" fontId="97" fillId="0" borderId="31" xfId="93" applyNumberFormat="1" applyFont="1" applyFill="1" applyBorder="1" applyAlignment="1">
      <alignment horizontal="right"/>
      <protection/>
    </xf>
    <xf numFmtId="3" fontId="96" fillId="0" borderId="79" xfId="83" applyNumberFormat="1" applyFont="1" applyFill="1" applyBorder="1" applyAlignment="1">
      <alignment horizontal="right" wrapText="1"/>
      <protection/>
    </xf>
    <xf numFmtId="3" fontId="96" fillId="0" borderId="30" xfId="83" applyNumberFormat="1" applyFont="1" applyFill="1" applyBorder="1" applyAlignment="1">
      <alignment horizontal="right" wrapText="1"/>
      <protection/>
    </xf>
    <xf numFmtId="3" fontId="97" fillId="0" borderId="30" xfId="83" applyNumberFormat="1" applyFont="1" applyFill="1" applyBorder="1" applyAlignment="1">
      <alignment horizontal="right" wrapText="1"/>
      <protection/>
    </xf>
    <xf numFmtId="3" fontId="96" fillId="0" borderId="172" xfId="83" applyNumberFormat="1" applyFont="1" applyFill="1" applyBorder="1" applyAlignment="1">
      <alignment horizontal="right" wrapText="1"/>
      <protection/>
    </xf>
    <xf numFmtId="0" fontId="38" fillId="0" borderId="30" xfId="83" applyFont="1" applyFill="1" applyBorder="1" applyAlignment="1">
      <alignment horizontal="left"/>
      <protection/>
    </xf>
    <xf numFmtId="3" fontId="96" fillId="0" borderId="173" xfId="93" applyNumberFormat="1" applyFont="1" applyFill="1" applyBorder="1" applyAlignment="1">
      <alignment horizontal="right"/>
      <protection/>
    </xf>
    <xf numFmtId="3" fontId="96" fillId="0" borderId="147" xfId="93" applyNumberFormat="1" applyFont="1" applyFill="1" applyBorder="1" applyAlignment="1">
      <alignment horizontal="right"/>
      <protection/>
    </xf>
    <xf numFmtId="3" fontId="2" fillId="0" borderId="173" xfId="93" applyNumberFormat="1" applyFont="1" applyFill="1" applyBorder="1" applyAlignment="1">
      <alignment horizontal="right"/>
      <protection/>
    </xf>
    <xf numFmtId="0" fontId="2" fillId="0" borderId="54" xfId="93" applyFont="1" applyFill="1" applyBorder="1" applyAlignment="1">
      <alignment horizontal="center"/>
      <protection/>
    </xf>
    <xf numFmtId="0" fontId="96" fillId="0" borderId="54" xfId="83" applyFont="1" applyFill="1" applyBorder="1" applyAlignment="1">
      <alignment horizontal="left"/>
      <protection/>
    </xf>
    <xf numFmtId="3" fontId="97" fillId="0" borderId="54" xfId="83" applyNumberFormat="1" applyFont="1" applyFill="1" applyBorder="1" applyAlignment="1">
      <alignment horizontal="right"/>
      <protection/>
    </xf>
    <xf numFmtId="0" fontId="96" fillId="0" borderId="163" xfId="93" applyFont="1" applyFill="1" applyBorder="1" applyAlignment="1">
      <alignment horizontal="center" wrapText="1"/>
      <protection/>
    </xf>
    <xf numFmtId="3" fontId="96" fillId="0" borderId="131" xfId="83" applyNumberFormat="1" applyFont="1" applyFill="1" applyBorder="1" applyAlignment="1">
      <alignment horizontal="right" wrapText="1"/>
      <protection/>
    </xf>
    <xf numFmtId="3" fontId="96" fillId="0" borderId="54" xfId="83" applyNumberFormat="1" applyFont="1" applyFill="1" applyBorder="1" applyAlignment="1">
      <alignment horizontal="right" wrapText="1"/>
      <protection/>
    </xf>
    <xf numFmtId="3" fontId="97" fillId="0" borderId="54" xfId="83" applyNumberFormat="1" applyFont="1" applyFill="1" applyBorder="1" applyAlignment="1">
      <alignment horizontal="right" wrapText="1"/>
      <protection/>
    </xf>
    <xf numFmtId="3" fontId="96" fillId="0" borderId="174" xfId="83" applyNumberFormat="1" applyFont="1" applyFill="1" applyBorder="1" applyAlignment="1">
      <alignment horizontal="right" wrapText="1"/>
      <protection/>
    </xf>
    <xf numFmtId="0" fontId="2" fillId="0" borderId="175" xfId="93" applyFont="1" applyFill="1" applyBorder="1" applyAlignment="1">
      <alignment horizontal="center"/>
      <protection/>
    </xf>
    <xf numFmtId="0" fontId="4" fillId="0" borderId="175" xfId="83" applyFont="1" applyFill="1" applyBorder="1" applyAlignment="1">
      <alignment horizontal="left"/>
      <protection/>
    </xf>
    <xf numFmtId="3" fontId="96" fillId="0" borderId="176" xfId="93" applyNumberFormat="1" applyFont="1" applyFill="1" applyBorder="1" applyAlignment="1">
      <alignment horizontal="right"/>
      <protection/>
    </xf>
    <xf numFmtId="0" fontId="96" fillId="0" borderId="153" xfId="83" applyFont="1" applyFill="1" applyBorder="1" applyAlignment="1">
      <alignment/>
      <protection/>
    </xf>
    <xf numFmtId="3" fontId="2" fillId="0" borderId="54" xfId="93" applyNumberFormat="1" applyFont="1" applyFill="1" applyBorder="1" applyAlignment="1">
      <alignment horizontal="right"/>
      <protection/>
    </xf>
    <xf numFmtId="3" fontId="2" fillId="0" borderId="54" xfId="83" applyNumberFormat="1" applyFont="1" applyFill="1" applyBorder="1" applyAlignment="1">
      <alignment horizontal="right"/>
      <protection/>
    </xf>
    <xf numFmtId="3" fontId="2" fillId="0" borderId="161" xfId="93" applyNumberFormat="1" applyFont="1" applyFill="1" applyBorder="1" applyAlignment="1">
      <alignment horizontal="right"/>
      <protection/>
    </xf>
    <xf numFmtId="0" fontId="2" fillId="0" borderId="163" xfId="93" applyFont="1" applyFill="1" applyBorder="1" applyAlignment="1">
      <alignment horizontal="center" wrapText="1"/>
      <protection/>
    </xf>
    <xf numFmtId="3" fontId="2" fillId="0" borderId="131" xfId="83" applyNumberFormat="1" applyFont="1" applyFill="1" applyBorder="1" applyAlignment="1">
      <alignment horizontal="right" wrapText="1"/>
      <protection/>
    </xf>
    <xf numFmtId="3" fontId="2" fillId="0" borderId="54" xfId="83" applyNumberFormat="1" applyFont="1" applyFill="1" applyBorder="1" applyAlignment="1">
      <alignment horizontal="right" wrapText="1"/>
      <protection/>
    </xf>
    <xf numFmtId="0" fontId="2" fillId="0" borderId="145" xfId="93" applyFont="1" applyFill="1" applyBorder="1" applyAlignment="1">
      <alignment horizontal="center" vertical="top"/>
      <protection/>
    </xf>
    <xf numFmtId="0" fontId="4" fillId="0" borderId="145" xfId="83" applyFont="1" applyFill="1" applyBorder="1" applyAlignment="1">
      <alignment horizontal="left"/>
      <protection/>
    </xf>
    <xf numFmtId="3" fontId="2" fillId="0" borderId="145" xfId="93" applyNumberFormat="1" applyFont="1" applyFill="1" applyBorder="1" applyAlignment="1">
      <alignment horizontal="right"/>
      <protection/>
    </xf>
    <xf numFmtId="0" fontId="2" fillId="0" borderId="177" xfId="93" applyFont="1" applyFill="1" applyBorder="1" applyAlignment="1">
      <alignment horizontal="center" wrapText="1"/>
      <protection/>
    </xf>
    <xf numFmtId="3" fontId="2" fillId="0" borderId="171" xfId="93" applyNumberFormat="1" applyFont="1" applyFill="1" applyBorder="1" applyAlignment="1">
      <alignment horizontal="right"/>
      <protection/>
    </xf>
    <xf numFmtId="0" fontId="4" fillId="0" borderId="178" xfId="93" applyFont="1" applyFill="1" applyBorder="1" applyAlignment="1">
      <alignment horizontal="center" wrapText="1"/>
      <protection/>
    </xf>
    <xf numFmtId="3" fontId="4" fillId="0" borderId="179" xfId="83" applyNumberFormat="1" applyFont="1" applyFill="1" applyBorder="1" applyAlignment="1">
      <alignment horizontal="right" wrapText="1"/>
      <protection/>
    </xf>
    <xf numFmtId="3" fontId="4" fillId="0" borderId="180" xfId="93" applyNumberFormat="1" applyFont="1" applyFill="1" applyBorder="1" applyAlignment="1">
      <alignment horizontal="right"/>
      <protection/>
    </xf>
    <xf numFmtId="3" fontId="4" fillId="0" borderId="133" xfId="83" applyNumberFormat="1" applyFont="1" applyFill="1" applyBorder="1" applyAlignment="1">
      <alignment horizontal="right" vertical="center" wrapText="1"/>
      <protection/>
    </xf>
    <xf numFmtId="3" fontId="4" fillId="0" borderId="45" xfId="83" applyNumberFormat="1" applyFont="1" applyFill="1" applyBorder="1" applyAlignment="1">
      <alignment horizontal="right" vertical="center" wrapText="1"/>
      <protection/>
    </xf>
    <xf numFmtId="3" fontId="2" fillId="0" borderId="175" xfId="83" applyNumberFormat="1" applyFont="1" applyFill="1" applyBorder="1" applyAlignment="1">
      <alignment horizontal="right"/>
      <protection/>
    </xf>
    <xf numFmtId="3" fontId="2" fillId="0" borderId="25" xfId="80" applyNumberFormat="1" applyFont="1" applyFill="1" applyBorder="1" applyAlignment="1">
      <alignment horizontal="center" vertical="center"/>
      <protection/>
    </xf>
    <xf numFmtId="3" fontId="2" fillId="0" borderId="25" xfId="46" applyNumberFormat="1" applyFont="1" applyFill="1" applyBorder="1" applyAlignment="1">
      <alignment horizontal="right" vertical="center"/>
    </xf>
    <xf numFmtId="3" fontId="2" fillId="0" borderId="26" xfId="46" applyNumberFormat="1" applyFont="1" applyFill="1" applyBorder="1" applyAlignment="1">
      <alignment horizontal="right" vertical="center"/>
    </xf>
    <xf numFmtId="3" fontId="2" fillId="0" borderId="54" xfId="46" applyNumberFormat="1" applyFont="1" applyFill="1" applyBorder="1" applyAlignment="1">
      <alignment horizontal="right" vertical="center"/>
    </xf>
    <xf numFmtId="3" fontId="2" fillId="0" borderId="55" xfId="46" applyNumberFormat="1" applyFont="1" applyFill="1" applyBorder="1" applyAlignment="1">
      <alignment horizontal="right" vertical="center"/>
    </xf>
    <xf numFmtId="14" fontId="2" fillId="0" borderId="111" xfId="89" applyNumberFormat="1" applyFont="1" applyFill="1" applyBorder="1" applyAlignment="1">
      <alignment horizontal="center" vertical="center"/>
      <protection/>
    </xf>
    <xf numFmtId="3" fontId="2" fillId="0" borderId="111" xfId="46" applyNumberFormat="1" applyFont="1" applyFill="1" applyBorder="1" applyAlignment="1">
      <alignment horizontal="right" vertical="center"/>
    </xf>
    <xf numFmtId="3" fontId="2" fillId="0" borderId="154" xfId="46" applyNumberFormat="1" applyFont="1" applyFill="1" applyBorder="1" applyAlignment="1">
      <alignment horizontal="right" vertical="center"/>
    </xf>
    <xf numFmtId="3" fontId="10" fillId="0" borderId="181" xfId="0" applyNumberFormat="1" applyFont="1" applyFill="1" applyBorder="1" applyAlignment="1">
      <alignment horizontal="center" vertical="center" wrapText="1"/>
    </xf>
    <xf numFmtId="0" fontId="4" fillId="0" borderId="0" xfId="85" applyFont="1" applyFill="1" applyBorder="1" applyAlignment="1">
      <alignment horizontal="center" vertical="center"/>
      <protection/>
    </xf>
    <xf numFmtId="3" fontId="13" fillId="0" borderId="182" xfId="0" applyNumberFormat="1" applyFont="1" applyFill="1" applyBorder="1" applyAlignment="1">
      <alignment vertical="center"/>
    </xf>
    <xf numFmtId="3" fontId="2" fillId="0" borderId="0" xfId="80" applyNumberFormat="1" applyFont="1" applyFill="1" applyBorder="1" applyAlignment="1">
      <alignment horizontal="center" vertical="center"/>
      <protection/>
    </xf>
    <xf numFmtId="3" fontId="13" fillId="0" borderId="32" xfId="80" applyNumberFormat="1" applyFont="1" applyFill="1" applyBorder="1" applyAlignment="1">
      <alignment horizontal="center"/>
      <protection/>
    </xf>
    <xf numFmtId="3" fontId="10" fillId="0" borderId="111" xfId="80" applyNumberFormat="1" applyFont="1" applyFill="1" applyBorder="1" applyAlignment="1">
      <alignment horizontal="center" vertical="center"/>
      <protection/>
    </xf>
    <xf numFmtId="3" fontId="10" fillId="0" borderId="111" xfId="80" applyNumberFormat="1" applyFont="1" applyFill="1" applyBorder="1" applyAlignment="1">
      <alignment wrapText="1"/>
      <protection/>
    </xf>
    <xf numFmtId="3" fontId="13" fillId="0" borderId="135" xfId="80" applyNumberFormat="1" applyFont="1" applyFill="1" applyBorder="1" applyAlignment="1">
      <alignment horizontal="right"/>
      <protection/>
    </xf>
    <xf numFmtId="3" fontId="10" fillId="0" borderId="111" xfId="0" applyNumberFormat="1" applyFont="1" applyFill="1" applyBorder="1" applyAlignment="1">
      <alignment horizontal="right" wrapText="1"/>
    </xf>
    <xf numFmtId="3" fontId="10" fillId="0" borderId="15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right"/>
    </xf>
    <xf numFmtId="3" fontId="2" fillId="0" borderId="0" xfId="84" applyNumberFormat="1" applyFont="1" applyAlignment="1">
      <alignment horizontal="left" wrapText="1"/>
      <protection/>
    </xf>
    <xf numFmtId="0" fontId="2" fillId="0" borderId="0" xfId="0" applyFont="1" applyFill="1" applyBorder="1" applyAlignment="1">
      <alignment horizontal="left" vertical="top"/>
    </xf>
    <xf numFmtId="3" fontId="4" fillId="0" borderId="152" xfId="83" applyNumberFormat="1" applyFont="1" applyFill="1" applyBorder="1" applyAlignment="1">
      <alignment horizontal="right" vertical="center" wrapText="1"/>
      <protection/>
    </xf>
    <xf numFmtId="0" fontId="91" fillId="0" borderId="0" xfId="92" applyFont="1" applyFill="1" applyBorder="1" applyAlignment="1">
      <alignment vertical="center"/>
      <protection/>
    </xf>
    <xf numFmtId="3" fontId="4" fillId="0" borderId="25" xfId="92" applyNumberFormat="1" applyFont="1" applyFill="1" applyBorder="1" applyAlignment="1">
      <alignment vertical="center" wrapText="1"/>
      <protection/>
    </xf>
    <xf numFmtId="0" fontId="2" fillId="0" borderId="0" xfId="60" applyFont="1" applyFill="1" applyBorder="1" applyAlignment="1">
      <alignment horizontal="left" vertical="center"/>
      <protection/>
    </xf>
    <xf numFmtId="0" fontId="98" fillId="0" borderId="0" xfId="0" applyFont="1" applyAlignment="1">
      <alignment horizontal="center" vertical="center"/>
    </xf>
    <xf numFmtId="0" fontId="99" fillId="0" borderId="38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left" vertical="center" wrapText="1"/>
    </xf>
    <xf numFmtId="0" fontId="98" fillId="0" borderId="28" xfId="0" applyFont="1" applyBorder="1" applyAlignment="1">
      <alignment horizontal="left" vertical="center" wrapText="1"/>
    </xf>
    <xf numFmtId="0" fontId="98" fillId="0" borderId="13" xfId="0" applyFont="1" applyBorder="1" applyAlignment="1">
      <alignment horizontal="left" vertical="center" wrapText="1"/>
    </xf>
    <xf numFmtId="0" fontId="98" fillId="0" borderId="27" xfId="0" applyFont="1" applyBorder="1" applyAlignment="1">
      <alignment horizontal="left" vertical="center" wrapText="1"/>
    </xf>
    <xf numFmtId="0" fontId="100" fillId="0" borderId="13" xfId="0" applyFont="1" applyBorder="1" applyAlignment="1">
      <alignment horizontal="left" vertical="center" wrapText="1"/>
    </xf>
    <xf numFmtId="0" fontId="100" fillId="0" borderId="27" xfId="0" applyFont="1" applyBorder="1" applyAlignment="1">
      <alignment horizontal="left" vertical="center" wrapText="1"/>
    </xf>
    <xf numFmtId="0" fontId="100" fillId="0" borderId="14" xfId="0" applyFont="1" applyBorder="1" applyAlignment="1">
      <alignment horizontal="left" vertical="center" wrapText="1"/>
    </xf>
    <xf numFmtId="0" fontId="100" fillId="0" borderId="28" xfId="0" applyFont="1" applyBorder="1" applyAlignment="1">
      <alignment horizontal="left" vertical="center" wrapText="1"/>
    </xf>
    <xf numFmtId="3" fontId="99" fillId="0" borderId="28" xfId="0" applyNumberFormat="1" applyFont="1" applyBorder="1" applyAlignment="1">
      <alignment horizontal="right" vertical="center" wrapText="1"/>
    </xf>
    <xf numFmtId="3" fontId="99" fillId="0" borderId="28" xfId="0" applyNumberFormat="1" applyFont="1" applyBorder="1" applyAlignment="1">
      <alignment horizontal="right" vertical="center"/>
    </xf>
    <xf numFmtId="3" fontId="10" fillId="0" borderId="0" xfId="84" applyNumberFormat="1" applyFont="1" applyAlignment="1">
      <alignment horizontal="center" wrapText="1"/>
      <protection/>
    </xf>
    <xf numFmtId="3" fontId="10" fillId="0" borderId="0" xfId="84" applyNumberFormat="1" applyFont="1" applyBorder="1" applyAlignment="1">
      <alignment horizontal="center"/>
      <protection/>
    </xf>
    <xf numFmtId="3" fontId="10" fillId="0" borderId="27" xfId="84" applyNumberFormat="1" applyFont="1" applyBorder="1" applyAlignment="1">
      <alignment horizontal="center" vertical="center" wrapText="1"/>
      <protection/>
    </xf>
    <xf numFmtId="3" fontId="2" fillId="0" borderId="183" xfId="84" applyNumberFormat="1" applyFont="1" applyBorder="1" applyAlignment="1">
      <alignment horizontal="center" vertical="center" wrapText="1"/>
      <protection/>
    </xf>
    <xf numFmtId="3" fontId="2" fillId="0" borderId="126" xfId="84" applyNumberFormat="1" applyFont="1" applyBorder="1" applyAlignment="1">
      <alignment horizontal="center" vertical="center" wrapText="1"/>
      <protection/>
    </xf>
    <xf numFmtId="3" fontId="10" fillId="0" borderId="0" xfId="84" applyNumberFormat="1" applyFont="1" applyBorder="1" applyAlignment="1">
      <alignment horizontal="center" vertical="center" wrapText="1"/>
      <protection/>
    </xf>
    <xf numFmtId="3" fontId="2" fillId="0" borderId="13" xfId="84" applyNumberFormat="1" applyFont="1" applyBorder="1" applyAlignment="1">
      <alignment horizontal="center" wrapText="1"/>
      <protection/>
    </xf>
    <xf numFmtId="3" fontId="26" fillId="0" borderId="78" xfId="84" applyNumberFormat="1" applyFont="1" applyBorder="1" applyAlignment="1">
      <alignment horizontal="left"/>
      <protection/>
    </xf>
    <xf numFmtId="3" fontId="2" fillId="0" borderId="77" xfId="84" applyNumberFormat="1" applyFont="1" applyBorder="1" applyAlignment="1">
      <alignment horizontal="center" wrapText="1"/>
      <protection/>
    </xf>
    <xf numFmtId="14" fontId="2" fillId="0" borderId="149" xfId="84" applyNumberFormat="1" applyFont="1" applyBorder="1" applyAlignment="1">
      <alignment horizontal="center" vertical="center" wrapText="1"/>
      <protection/>
    </xf>
    <xf numFmtId="3" fontId="2" fillId="0" borderId="0" xfId="84" applyNumberFormat="1" applyFont="1" applyBorder="1" applyAlignment="1">
      <alignment horizontal="center" vertical="center" wrapText="1"/>
      <protection/>
    </xf>
    <xf numFmtId="3" fontId="2" fillId="0" borderId="184" xfId="84" applyNumberFormat="1" applyFont="1" applyBorder="1" applyAlignment="1">
      <alignment horizontal="center" vertical="center" wrapText="1"/>
      <protection/>
    </xf>
    <xf numFmtId="3" fontId="2" fillId="0" borderId="132" xfId="84" applyNumberFormat="1" applyFont="1" applyBorder="1" applyAlignment="1">
      <alignment horizontal="center" vertical="center" wrapText="1"/>
      <protection/>
    </xf>
    <xf numFmtId="0" fontId="2" fillId="0" borderId="120" xfId="84" applyNumberFormat="1" applyFont="1" applyBorder="1" applyAlignment="1">
      <alignment horizontal="center" vertical="center" wrapText="1"/>
      <protection/>
    </xf>
    <xf numFmtId="3" fontId="2" fillId="0" borderId="151" xfId="84" applyNumberFormat="1" applyFont="1" applyBorder="1" applyAlignment="1">
      <alignment horizontal="center" vertical="center" wrapText="1"/>
      <protection/>
    </xf>
    <xf numFmtId="3" fontId="2" fillId="0" borderId="120" xfId="84" applyNumberFormat="1" applyFont="1" applyBorder="1" applyAlignment="1">
      <alignment horizontal="center" vertical="center" wrapText="1"/>
      <protection/>
    </xf>
    <xf numFmtId="3" fontId="2" fillId="0" borderId="185" xfId="84" applyNumberFormat="1" applyFont="1" applyBorder="1" applyAlignment="1">
      <alignment horizontal="center" vertical="center" wrapText="1"/>
      <protection/>
    </xf>
    <xf numFmtId="3" fontId="10" fillId="0" borderId="0" xfId="84" applyNumberFormat="1" applyFont="1" applyAlignment="1">
      <alignment horizontal="center" vertical="center" wrapText="1"/>
      <protection/>
    </xf>
    <xf numFmtId="3" fontId="2" fillId="0" borderId="24" xfId="84" applyNumberFormat="1" applyFont="1" applyBorder="1" applyAlignment="1">
      <alignment horizontal="center" vertical="center" wrapText="1"/>
      <protection/>
    </xf>
    <xf numFmtId="3" fontId="2" fillId="0" borderId="30" xfId="84" applyNumberFormat="1" applyFont="1" applyBorder="1" applyAlignment="1">
      <alignment horizontal="center" vertical="top" wrapText="1"/>
      <protection/>
    </xf>
    <xf numFmtId="3" fontId="2" fillId="0" borderId="25" xfId="84" applyNumberFormat="1" applyFont="1" applyBorder="1" applyAlignment="1">
      <alignment horizontal="left" vertical="center" wrapText="1"/>
      <protection/>
    </xf>
    <xf numFmtId="14" fontId="2" fillId="0" borderId="150" xfId="84" applyNumberFormat="1" applyFont="1" applyBorder="1" applyAlignment="1">
      <alignment horizontal="center" vertical="center" wrapText="1"/>
      <protection/>
    </xf>
    <xf numFmtId="3" fontId="2" fillId="0" borderId="59" xfId="84" applyNumberFormat="1" applyFont="1" applyBorder="1" applyAlignment="1">
      <alignment horizontal="right" vertical="center" wrapText="1"/>
      <protection/>
    </xf>
    <xf numFmtId="3" fontId="2" fillId="0" borderId="117" xfId="84" applyNumberFormat="1" applyFont="1" applyBorder="1" applyAlignment="1">
      <alignment horizontal="right" vertical="center" wrapText="1"/>
      <protection/>
    </xf>
    <xf numFmtId="3" fontId="2" fillId="0" borderId="25" xfId="84" applyNumberFormat="1" applyFont="1" applyBorder="1" applyAlignment="1">
      <alignment horizontal="right" vertical="center" wrapText="1"/>
      <protection/>
    </xf>
    <xf numFmtId="3" fontId="2" fillId="0" borderId="150" xfId="84" applyNumberFormat="1" applyFont="1" applyBorder="1" applyAlignment="1">
      <alignment horizontal="right" vertical="center" wrapText="1"/>
      <protection/>
    </xf>
    <xf numFmtId="3" fontId="2" fillId="0" borderId="26" xfId="84" applyNumberFormat="1" applyFont="1" applyFill="1" applyBorder="1" applyAlignment="1">
      <alignment horizontal="right" vertical="center" wrapText="1"/>
      <protection/>
    </xf>
    <xf numFmtId="3" fontId="2" fillId="0" borderId="25" xfId="84" applyNumberFormat="1" applyFont="1" applyBorder="1" applyAlignment="1">
      <alignment horizontal="center" vertical="top" wrapText="1"/>
      <protection/>
    </xf>
    <xf numFmtId="3" fontId="2" fillId="0" borderId="25" xfId="84" applyNumberFormat="1" applyFont="1" applyFill="1" applyBorder="1" applyAlignment="1">
      <alignment horizontal="left" vertical="center" wrapText="1"/>
      <protection/>
    </xf>
    <xf numFmtId="3" fontId="2" fillId="0" borderId="75" xfId="84" applyNumberFormat="1" applyFont="1" applyBorder="1" applyAlignment="1">
      <alignment horizontal="right" vertical="center" wrapText="1"/>
      <protection/>
    </xf>
    <xf numFmtId="3" fontId="2" fillId="0" borderId="79" xfId="84" applyNumberFormat="1" applyFont="1" applyBorder="1" applyAlignment="1">
      <alignment horizontal="right" vertical="center" wrapText="1"/>
      <protection/>
    </xf>
    <xf numFmtId="3" fontId="2" fillId="0" borderId="59" xfId="84" applyNumberFormat="1" applyFont="1" applyFill="1" applyBorder="1" applyAlignment="1">
      <alignment horizontal="right" vertical="center" wrapText="1"/>
      <protection/>
    </xf>
    <xf numFmtId="3" fontId="2" fillId="0" borderId="25" xfId="84" applyNumberFormat="1" applyFont="1" applyFill="1" applyBorder="1" applyAlignment="1">
      <alignment horizontal="right" vertical="center" wrapText="1"/>
      <protection/>
    </xf>
    <xf numFmtId="3" fontId="2" fillId="0" borderId="25" xfId="84" applyNumberFormat="1" applyFont="1" applyBorder="1" applyAlignment="1">
      <alignment horizontal="center" vertical="center" wrapText="1"/>
      <protection/>
    </xf>
    <xf numFmtId="0" fontId="2" fillId="0" borderId="77" xfId="0" applyFont="1" applyFill="1" applyBorder="1" applyAlignment="1">
      <alignment vertical="center" wrapText="1"/>
    </xf>
    <xf numFmtId="3" fontId="2" fillId="0" borderId="75" xfId="84" applyNumberFormat="1" applyFont="1" applyFill="1" applyBorder="1" applyAlignment="1">
      <alignment horizontal="right" vertical="center" wrapText="1"/>
      <protection/>
    </xf>
    <xf numFmtId="3" fontId="2" fillId="0" borderId="79" xfId="84" applyNumberFormat="1" applyFont="1" applyFill="1" applyBorder="1" applyAlignment="1">
      <alignment horizontal="right" vertical="center" wrapText="1"/>
      <protection/>
    </xf>
    <xf numFmtId="0" fontId="2" fillId="0" borderId="25" xfId="0" applyFont="1" applyFill="1" applyBorder="1" applyAlignment="1">
      <alignment wrapText="1"/>
    </xf>
    <xf numFmtId="3" fontId="2" fillId="0" borderId="163" xfId="84" applyNumberFormat="1" applyFont="1" applyBorder="1" applyAlignment="1">
      <alignment horizontal="center" vertical="center" wrapText="1"/>
      <protection/>
    </xf>
    <xf numFmtId="3" fontId="2" fillId="0" borderId="78" xfId="84" applyNumberFormat="1" applyFont="1" applyBorder="1" applyAlignment="1">
      <alignment horizontal="center" vertical="center" wrapText="1"/>
      <protection/>
    </xf>
    <xf numFmtId="0" fontId="2" fillId="0" borderId="77" xfId="84" applyNumberFormat="1" applyFont="1" applyBorder="1" applyAlignment="1">
      <alignment horizontal="center" vertical="center" wrapText="1"/>
      <protection/>
    </xf>
    <xf numFmtId="3" fontId="2" fillId="0" borderId="186" xfId="84" applyNumberFormat="1" applyFont="1" applyBorder="1" applyAlignment="1">
      <alignment horizontal="center" vertical="center" wrapText="1"/>
      <protection/>
    </xf>
    <xf numFmtId="3" fontId="2" fillId="0" borderId="187" xfId="84" applyNumberFormat="1" applyFont="1" applyBorder="1" applyAlignment="1">
      <alignment horizontal="center" vertical="center" wrapText="1"/>
      <protection/>
    </xf>
    <xf numFmtId="3" fontId="2" fillId="0" borderId="77" xfId="84" applyNumberFormat="1" applyFont="1" applyBorder="1" applyAlignment="1">
      <alignment horizontal="center" vertical="center" wrapText="1"/>
      <protection/>
    </xf>
    <xf numFmtId="3" fontId="2" fillId="0" borderId="56" xfId="84" applyNumberFormat="1" applyFont="1" applyFill="1" applyBorder="1" applyAlignment="1">
      <alignment horizontal="center" vertical="center" wrapText="1"/>
      <protection/>
    </xf>
    <xf numFmtId="3" fontId="2" fillId="0" borderId="158" xfId="84" applyNumberFormat="1" applyFont="1" applyBorder="1" applyAlignment="1">
      <alignment horizontal="center" vertical="top" wrapText="1"/>
      <protection/>
    </xf>
    <xf numFmtId="3" fontId="2" fillId="0" borderId="158" xfId="84" applyNumberFormat="1" applyFont="1" applyBorder="1" applyAlignment="1">
      <alignment horizontal="left" vertical="center" wrapText="1"/>
      <protection/>
    </xf>
    <xf numFmtId="14" fontId="2" fillId="0" borderId="188" xfId="84" applyNumberFormat="1" applyFont="1" applyBorder="1" applyAlignment="1">
      <alignment horizontal="center" vertical="center" wrapText="1"/>
      <protection/>
    </xf>
    <xf numFmtId="3" fontId="2" fillId="0" borderId="166" xfId="84" applyNumberFormat="1" applyFont="1" applyBorder="1" applyAlignment="1">
      <alignment horizontal="right" vertical="center" wrapText="1"/>
      <protection/>
    </xf>
    <xf numFmtId="3" fontId="2" fillId="0" borderId="160" xfId="84" applyNumberFormat="1" applyFont="1" applyBorder="1" applyAlignment="1">
      <alignment horizontal="right" vertical="center" wrapText="1"/>
      <protection/>
    </xf>
    <xf numFmtId="3" fontId="2" fillId="0" borderId="26" xfId="84" applyNumberFormat="1" applyFont="1" applyBorder="1" applyAlignment="1">
      <alignment horizontal="right" vertical="center" wrapText="1"/>
      <protection/>
    </xf>
    <xf numFmtId="3" fontId="4" fillId="0" borderId="152" xfId="84" applyNumberFormat="1" applyFont="1" applyBorder="1" applyAlignment="1">
      <alignment horizontal="right" vertical="center"/>
      <protection/>
    </xf>
    <xf numFmtId="3" fontId="4" fillId="0" borderId="133" xfId="84" applyNumberFormat="1" applyFont="1" applyBorder="1" applyAlignment="1">
      <alignment horizontal="right" vertical="center"/>
      <protection/>
    </xf>
    <xf numFmtId="3" fontId="4" fillId="0" borderId="74" xfId="84" applyNumberFormat="1" applyFont="1" applyBorder="1" applyAlignment="1">
      <alignment horizontal="right" vertical="center"/>
      <protection/>
    </xf>
    <xf numFmtId="3" fontId="4" fillId="0" borderId="167" xfId="84" applyNumberFormat="1" applyFont="1" applyBorder="1" applyAlignment="1">
      <alignment horizontal="right" vertical="center"/>
      <protection/>
    </xf>
    <xf numFmtId="3" fontId="4" fillId="0" borderId="34" xfId="84" applyNumberFormat="1" applyFont="1" applyBorder="1" applyAlignment="1">
      <alignment horizontal="right" vertical="center"/>
      <protection/>
    </xf>
    <xf numFmtId="3" fontId="12" fillId="0" borderId="29" xfId="90" applyNumberFormat="1" applyFont="1" applyFill="1" applyBorder="1" applyAlignment="1">
      <alignment/>
      <protection/>
    </xf>
    <xf numFmtId="3" fontId="12" fillId="0" borderId="24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12" fillId="0" borderId="25" xfId="90" applyNumberFormat="1" applyFont="1" applyFill="1" applyBorder="1" applyAlignment="1">
      <alignment horizontal="center"/>
      <protection/>
    </xf>
    <xf numFmtId="3" fontId="12" fillId="0" borderId="29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93" fillId="0" borderId="24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/>
    </xf>
    <xf numFmtId="3" fontId="93" fillId="0" borderId="117" xfId="0" applyNumberFormat="1" applyFont="1" applyFill="1" applyBorder="1" applyAlignment="1">
      <alignment horizontal="center" vertical="center"/>
    </xf>
    <xf numFmtId="3" fontId="93" fillId="0" borderId="29" xfId="90" applyNumberFormat="1" applyFont="1" applyFill="1" applyBorder="1" applyAlignment="1">
      <alignment horizontal="left" indent="1"/>
      <protection/>
    </xf>
    <xf numFmtId="3" fontId="93" fillId="0" borderId="29" xfId="0" applyNumberFormat="1" applyFont="1" applyFill="1" applyBorder="1" applyAlignment="1">
      <alignment vertical="center"/>
    </xf>
    <xf numFmtId="3" fontId="93" fillId="0" borderId="59" xfId="0" applyNumberFormat="1" applyFont="1" applyFill="1" applyBorder="1" applyAlignment="1">
      <alignment/>
    </xf>
    <xf numFmtId="3" fontId="93" fillId="0" borderId="25" xfId="0" applyNumberFormat="1" applyFont="1" applyFill="1" applyBorder="1" applyAlignment="1">
      <alignment horizontal="right"/>
    </xf>
    <xf numFmtId="3" fontId="93" fillId="0" borderId="26" xfId="0" applyNumberFormat="1" applyFont="1" applyFill="1" applyBorder="1" applyAlignment="1">
      <alignment horizontal="right"/>
    </xf>
    <xf numFmtId="3" fontId="93" fillId="0" borderId="0" xfId="0" applyNumberFormat="1" applyFont="1" applyFill="1" applyAlignment="1">
      <alignment horizontal="right"/>
    </xf>
    <xf numFmtId="3" fontId="93" fillId="0" borderId="0" xfId="0" applyNumberFormat="1" applyFont="1" applyFill="1" applyAlignment="1">
      <alignment/>
    </xf>
    <xf numFmtId="3" fontId="92" fillId="0" borderId="117" xfId="80" applyNumberFormat="1" applyFont="1" applyFill="1" applyBorder="1" applyAlignment="1">
      <alignment horizontal="right"/>
      <protection/>
    </xf>
    <xf numFmtId="3" fontId="92" fillId="0" borderId="25" xfId="0" applyNumberFormat="1" applyFont="1" applyFill="1" applyBorder="1" applyAlignment="1">
      <alignment horizontal="right" wrapText="1"/>
    </xf>
    <xf numFmtId="3" fontId="92" fillId="0" borderId="26" xfId="0" applyNumberFormat="1" applyFont="1" applyFill="1" applyBorder="1" applyAlignment="1">
      <alignment horizontal="right" wrapText="1"/>
    </xf>
    <xf numFmtId="3" fontId="93" fillId="0" borderId="117" xfId="80" applyNumberFormat="1" applyFont="1" applyFill="1" applyBorder="1" applyAlignment="1">
      <alignment horizontal="right"/>
      <protection/>
    </xf>
    <xf numFmtId="3" fontId="92" fillId="0" borderId="25" xfId="0" applyNumberFormat="1" applyFont="1" applyFill="1" applyBorder="1" applyAlignment="1">
      <alignment horizontal="right" vertical="center" wrapText="1"/>
    </xf>
    <xf numFmtId="3" fontId="92" fillId="0" borderId="24" xfId="80" applyNumberFormat="1" applyFont="1" applyFill="1" applyBorder="1" applyAlignment="1">
      <alignment horizontal="center" vertical="center"/>
      <protection/>
    </xf>
    <xf numFmtId="3" fontId="92" fillId="0" borderId="25" xfId="80" applyNumberFormat="1" applyFont="1" applyFill="1" applyBorder="1" applyAlignment="1">
      <alignment horizontal="center" vertical="center"/>
      <protection/>
    </xf>
    <xf numFmtId="3" fontId="92" fillId="0" borderId="30" xfId="80" applyNumberFormat="1" applyFont="1" applyFill="1" applyBorder="1" applyAlignment="1">
      <alignment wrapText="1"/>
      <protection/>
    </xf>
    <xf numFmtId="3" fontId="92" fillId="0" borderId="25" xfId="80" applyNumberFormat="1" applyFont="1" applyFill="1" applyBorder="1" applyAlignment="1">
      <alignment horizontal="right"/>
      <protection/>
    </xf>
    <xf numFmtId="3" fontId="92" fillId="0" borderId="29" xfId="80" applyNumberFormat="1" applyFont="1" applyFill="1" applyBorder="1" applyAlignment="1">
      <alignment horizontal="right"/>
      <protection/>
    </xf>
    <xf numFmtId="3" fontId="92" fillId="0" borderId="59" xfId="80" applyNumberFormat="1" applyFont="1" applyFill="1" applyBorder="1" applyAlignment="1">
      <alignment horizontal="center"/>
      <protection/>
    </xf>
    <xf numFmtId="3" fontId="96" fillId="0" borderId="0" xfId="80" applyNumberFormat="1" applyFont="1" applyFill="1" applyAlignment="1">
      <alignment horizontal="center" vertical="center"/>
      <protection/>
    </xf>
    <xf numFmtId="3" fontId="92" fillId="0" borderId="32" xfId="80" applyNumberFormat="1" applyFont="1" applyFill="1" applyBorder="1" applyAlignment="1">
      <alignment horizontal="center"/>
      <protection/>
    </xf>
    <xf numFmtId="3" fontId="92" fillId="0" borderId="30" xfId="80" applyNumberFormat="1" applyFont="1" applyFill="1" applyBorder="1" applyAlignment="1">
      <alignment horizontal="right"/>
      <protection/>
    </xf>
    <xf numFmtId="3" fontId="92" fillId="0" borderId="31" xfId="80" applyNumberFormat="1" applyFont="1" applyFill="1" applyBorder="1" applyAlignment="1">
      <alignment horizontal="right"/>
      <protection/>
    </xf>
    <xf numFmtId="3" fontId="92" fillId="0" borderId="75" xfId="80" applyNumberFormat="1" applyFont="1" applyFill="1" applyBorder="1" applyAlignment="1">
      <alignment horizontal="center"/>
      <protection/>
    </xf>
    <xf numFmtId="3" fontId="92" fillId="0" borderId="30" xfId="0" applyNumberFormat="1" applyFont="1" applyFill="1" applyBorder="1" applyAlignment="1">
      <alignment horizontal="right" wrapText="1"/>
    </xf>
    <xf numFmtId="3" fontId="92" fillId="0" borderId="35" xfId="0" applyNumberFormat="1" applyFont="1" applyFill="1" applyBorder="1" applyAlignment="1">
      <alignment horizontal="right" wrapText="1"/>
    </xf>
    <xf numFmtId="3" fontId="96" fillId="0" borderId="0" xfId="80" applyNumberFormat="1" applyFont="1" applyFill="1" applyAlignment="1">
      <alignment horizontal="center"/>
      <protection/>
    </xf>
    <xf numFmtId="3" fontId="93" fillId="0" borderId="24" xfId="80" applyNumberFormat="1" applyFont="1" applyFill="1" applyBorder="1" applyAlignment="1">
      <alignment horizontal="center" vertical="center"/>
      <protection/>
    </xf>
    <xf numFmtId="3" fontId="93" fillId="0" borderId="30" xfId="80" applyNumberFormat="1" applyFont="1" applyFill="1" applyBorder="1" applyAlignment="1">
      <alignment horizontal="left" wrapText="1" indent="4"/>
      <protection/>
    </xf>
    <xf numFmtId="3" fontId="93" fillId="0" borderId="25" xfId="80" applyNumberFormat="1" applyFont="1" applyFill="1" applyBorder="1" applyAlignment="1">
      <alignment horizontal="right"/>
      <protection/>
    </xf>
    <xf numFmtId="3" fontId="93" fillId="0" borderId="29" xfId="80" applyNumberFormat="1" applyFont="1" applyFill="1" applyBorder="1" applyAlignment="1">
      <alignment horizontal="right"/>
      <protection/>
    </xf>
    <xf numFmtId="3" fontId="93" fillId="0" borderId="59" xfId="80" applyNumberFormat="1" applyFont="1" applyFill="1" applyBorder="1" applyAlignment="1">
      <alignment horizontal="center"/>
      <protection/>
    </xf>
    <xf numFmtId="3" fontId="93" fillId="0" borderId="25" xfId="0" applyNumberFormat="1" applyFont="1" applyFill="1" applyBorder="1" applyAlignment="1">
      <alignment horizontal="right" wrapText="1"/>
    </xf>
    <xf numFmtId="3" fontId="93" fillId="0" borderId="26" xfId="0" applyNumberFormat="1" applyFont="1" applyFill="1" applyBorder="1" applyAlignment="1">
      <alignment horizontal="right" wrapText="1"/>
    </xf>
    <xf numFmtId="3" fontId="101" fillId="0" borderId="0" xfId="80" applyNumberFormat="1" applyFont="1" applyFill="1" applyAlignment="1">
      <alignment horizontal="center" vertical="center"/>
      <protection/>
    </xf>
    <xf numFmtId="3" fontId="101" fillId="0" borderId="0" xfId="80" applyNumberFormat="1" applyFont="1" applyFill="1" applyBorder="1" applyAlignment="1">
      <alignment horizontal="center" vertical="center"/>
      <protection/>
    </xf>
    <xf numFmtId="3" fontId="101" fillId="0" borderId="25" xfId="80" applyNumberFormat="1" applyFont="1" applyFill="1" applyBorder="1" applyAlignment="1">
      <alignment horizontal="center" vertical="center"/>
      <protection/>
    </xf>
    <xf numFmtId="3" fontId="93" fillId="0" borderId="30" xfId="80" applyNumberFormat="1" applyFont="1" applyFill="1" applyBorder="1" applyAlignment="1">
      <alignment horizontal="left" vertical="top" wrapText="1" indent="4"/>
      <protection/>
    </xf>
    <xf numFmtId="3" fontId="92" fillId="0" borderId="32" xfId="80" applyNumberFormat="1" applyFont="1" applyFill="1" applyBorder="1" applyAlignment="1">
      <alignment horizontal="center" vertical="center"/>
      <protection/>
    </xf>
    <xf numFmtId="3" fontId="93" fillId="0" borderId="0" xfId="80" applyNumberFormat="1" applyFont="1" applyFill="1" applyAlignment="1">
      <alignment horizontal="center" vertical="center"/>
      <protection/>
    </xf>
    <xf numFmtId="3" fontId="92" fillId="0" borderId="0" xfId="80" applyNumberFormat="1" applyFont="1" applyFill="1" applyAlignment="1">
      <alignment horizontal="center" vertical="center"/>
      <protection/>
    </xf>
    <xf numFmtId="3" fontId="92" fillId="0" borderId="30" xfId="80" applyNumberFormat="1" applyFont="1" applyFill="1" applyBorder="1" applyAlignment="1">
      <alignment horizontal="left" wrapText="1" indent="2"/>
      <protection/>
    </xf>
    <xf numFmtId="3" fontId="93" fillId="0" borderId="32" xfId="80" applyNumberFormat="1" applyFont="1" applyFill="1" applyBorder="1" applyAlignment="1">
      <alignment horizontal="center" vertical="center"/>
      <protection/>
    </xf>
    <xf numFmtId="3" fontId="93" fillId="0" borderId="30" xfId="80" applyNumberFormat="1" applyFont="1" applyFill="1" applyBorder="1" applyAlignment="1">
      <alignment horizontal="right"/>
      <protection/>
    </xf>
    <xf numFmtId="3" fontId="93" fillId="0" borderId="31" xfId="80" applyNumberFormat="1" applyFont="1" applyFill="1" applyBorder="1" applyAlignment="1">
      <alignment horizontal="right"/>
      <protection/>
    </xf>
    <xf numFmtId="3" fontId="93" fillId="0" borderId="30" xfId="0" applyNumberFormat="1" applyFont="1" applyFill="1" applyBorder="1" applyAlignment="1">
      <alignment horizontal="right" wrapText="1"/>
    </xf>
    <xf numFmtId="3" fontId="93" fillId="0" borderId="35" xfId="0" applyNumberFormat="1" applyFont="1" applyFill="1" applyBorder="1" applyAlignment="1">
      <alignment horizontal="right" wrapText="1"/>
    </xf>
    <xf numFmtId="3" fontId="93" fillId="0" borderId="75" xfId="80" applyNumberFormat="1" applyFont="1" applyFill="1" applyBorder="1" applyAlignment="1">
      <alignment horizontal="center"/>
      <protection/>
    </xf>
    <xf numFmtId="3" fontId="93" fillId="0" borderId="32" xfId="80" applyNumberFormat="1" applyFont="1" applyFill="1" applyBorder="1" applyAlignment="1">
      <alignment horizontal="center"/>
      <protection/>
    </xf>
    <xf numFmtId="3" fontId="92" fillId="0" borderId="25" xfId="80" applyNumberFormat="1" applyFont="1" applyFill="1" applyBorder="1" applyAlignment="1">
      <alignment horizontal="center"/>
      <protection/>
    </xf>
    <xf numFmtId="3" fontId="92" fillId="0" borderId="25" xfId="80" applyNumberFormat="1" applyFont="1" applyFill="1" applyBorder="1" applyAlignment="1">
      <alignment wrapText="1"/>
      <protection/>
    </xf>
    <xf numFmtId="3" fontId="92" fillId="0" borderId="26" xfId="0" applyNumberFormat="1" applyFont="1" applyFill="1" applyBorder="1" applyAlignment="1">
      <alignment horizontal="right" vertical="center" wrapText="1"/>
    </xf>
    <xf numFmtId="3" fontId="92" fillId="0" borderId="110" xfId="80" applyNumberFormat="1" applyFont="1" applyFill="1" applyBorder="1" applyAlignment="1">
      <alignment horizontal="center" vertical="center"/>
      <protection/>
    </xf>
    <xf numFmtId="3" fontId="92" fillId="0" borderId="111" xfId="80" applyNumberFormat="1" applyFont="1" applyFill="1" applyBorder="1" applyAlignment="1">
      <alignment horizontal="center"/>
      <protection/>
    </xf>
    <xf numFmtId="3" fontId="92" fillId="0" borderId="134" xfId="80" applyNumberFormat="1" applyFont="1" applyFill="1" applyBorder="1" applyAlignment="1">
      <alignment horizontal="center"/>
      <protection/>
    </xf>
    <xf numFmtId="3" fontId="92" fillId="0" borderId="135" xfId="80" applyNumberFormat="1" applyFont="1" applyFill="1" applyBorder="1" applyAlignment="1">
      <alignment horizontal="right"/>
      <protection/>
    </xf>
    <xf numFmtId="3" fontId="92" fillId="0" borderId="111" xfId="0" applyNumberFormat="1" applyFont="1" applyFill="1" applyBorder="1" applyAlignment="1">
      <alignment horizontal="right" vertical="center" wrapText="1"/>
    </xf>
    <xf numFmtId="3" fontId="92" fillId="0" borderId="154" xfId="0" applyNumberFormat="1" applyFont="1" applyFill="1" applyBorder="1" applyAlignment="1">
      <alignment horizontal="right" vertical="center" wrapText="1"/>
    </xf>
    <xf numFmtId="3" fontId="92" fillId="0" borderId="117" xfId="0" applyNumberFormat="1" applyFont="1" applyFill="1" applyBorder="1" applyAlignment="1">
      <alignment/>
    </xf>
    <xf numFmtId="3" fontId="96" fillId="0" borderId="0" xfId="80" applyNumberFormat="1" applyFont="1" applyFill="1" applyAlignment="1">
      <alignment/>
      <protection/>
    </xf>
    <xf numFmtId="3" fontId="92" fillId="0" borderId="157" xfId="80" applyNumberFormat="1" applyFont="1" applyFill="1" applyBorder="1" applyAlignment="1">
      <alignment horizontal="center" vertical="center"/>
      <protection/>
    </xf>
    <xf numFmtId="3" fontId="92" fillId="0" borderId="158" xfId="80" applyNumberFormat="1" applyFont="1" applyFill="1" applyBorder="1" applyAlignment="1">
      <alignment horizontal="center" vertical="center"/>
      <protection/>
    </xf>
    <xf numFmtId="3" fontId="92" fillId="0" borderId="166" xfId="80" applyNumberFormat="1" applyFont="1" applyFill="1" applyBorder="1" applyAlignment="1">
      <alignment horizontal="center"/>
      <protection/>
    </xf>
    <xf numFmtId="3" fontId="92" fillId="0" borderId="160" xfId="80" applyNumberFormat="1" applyFont="1" applyFill="1" applyBorder="1" applyAlignment="1">
      <alignment horizontal="right"/>
      <protection/>
    </xf>
    <xf numFmtId="3" fontId="92" fillId="0" borderId="158" xfId="0" applyNumberFormat="1" applyFont="1" applyFill="1" applyBorder="1" applyAlignment="1">
      <alignment horizontal="right" wrapText="1"/>
    </xf>
    <xf numFmtId="3" fontId="92" fillId="0" borderId="156" xfId="0" applyNumberFormat="1" applyFont="1" applyFill="1" applyBorder="1" applyAlignment="1">
      <alignment horizontal="right" wrapText="1"/>
    </xf>
    <xf numFmtId="3" fontId="102" fillId="0" borderId="0" xfId="80" applyNumberFormat="1" applyFont="1" applyFill="1" applyAlignment="1">
      <alignment horizontal="center" vertical="center"/>
      <protection/>
    </xf>
    <xf numFmtId="3" fontId="102" fillId="0" borderId="0" xfId="80" applyNumberFormat="1" applyFont="1" applyFill="1" applyBorder="1">
      <alignment/>
      <protection/>
    </xf>
    <xf numFmtId="14" fontId="2" fillId="0" borderId="150" xfId="84" applyNumberFormat="1" applyFont="1" applyFill="1" applyBorder="1" applyAlignment="1">
      <alignment horizontal="center" vertical="center" wrapText="1"/>
      <protection/>
    </xf>
    <xf numFmtId="3" fontId="12" fillId="0" borderId="24" xfId="0" applyNumberFormat="1" applyFont="1" applyFill="1" applyBorder="1" applyAlignment="1">
      <alignment horizontal="center" vertical="top"/>
    </xf>
    <xf numFmtId="3" fontId="12" fillId="0" borderId="117" xfId="0" applyNumberFormat="1" applyFont="1" applyFill="1" applyBorder="1" applyAlignment="1">
      <alignment horizontal="center"/>
    </xf>
    <xf numFmtId="3" fontId="16" fillId="0" borderId="25" xfId="90" applyNumberFormat="1" applyFont="1" applyFill="1" applyBorder="1" applyAlignment="1">
      <alignment horizontal="left"/>
      <protection/>
    </xf>
    <xf numFmtId="3" fontId="12" fillId="0" borderId="25" xfId="90" applyNumberFormat="1" applyFont="1" applyFill="1" applyBorder="1" applyAlignment="1">
      <alignment horizontal="left"/>
      <protection/>
    </xf>
    <xf numFmtId="3" fontId="12" fillId="0" borderId="25" xfId="90" applyNumberFormat="1" applyFont="1" applyFill="1" applyBorder="1" applyAlignment="1">
      <alignment horizontal="center" vertical="top" wrapText="1"/>
      <protection/>
    </xf>
    <xf numFmtId="3" fontId="12" fillId="0" borderId="29" xfId="0" applyNumberFormat="1" applyFont="1" applyFill="1" applyBorder="1" applyAlignment="1">
      <alignment vertical="top"/>
    </xf>
    <xf numFmtId="3" fontId="93" fillId="0" borderId="25" xfId="90" applyNumberFormat="1" applyFont="1" applyFill="1" applyBorder="1" applyAlignment="1">
      <alignment horizontal="left" indent="1"/>
      <protection/>
    </xf>
    <xf numFmtId="3" fontId="93" fillId="0" borderId="25" xfId="90" applyNumberFormat="1" applyFont="1" applyFill="1" applyBorder="1" applyAlignment="1">
      <alignment horizontal="center" vertical="center"/>
      <protection/>
    </xf>
    <xf numFmtId="0" fontId="2" fillId="0" borderId="25" xfId="83" applyFont="1" applyFill="1" applyBorder="1" applyAlignment="1">
      <alignment horizontal="left" wrapText="1"/>
      <protection/>
    </xf>
    <xf numFmtId="3" fontId="2" fillId="0" borderId="127" xfId="84" applyNumberFormat="1" applyFont="1" applyFill="1" applyBorder="1" applyAlignment="1">
      <alignment horizontal="left" wrapText="1"/>
      <protection/>
    </xf>
    <xf numFmtId="16" fontId="2" fillId="0" borderId="51" xfId="85" applyNumberFormat="1" applyFont="1" applyFill="1" applyBorder="1" applyAlignment="1">
      <alignment vertical="center"/>
      <protection/>
    </xf>
    <xf numFmtId="0" fontId="2" fillId="0" borderId="76" xfId="85" applyFont="1" applyFill="1" applyBorder="1" applyAlignment="1">
      <alignment vertical="center" wrapText="1"/>
      <protection/>
    </xf>
    <xf numFmtId="0" fontId="4" fillId="0" borderId="0" xfId="93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/>
      <protection/>
    </xf>
    <xf numFmtId="0" fontId="2" fillId="0" borderId="0" xfId="75" applyFont="1" applyFill="1" applyBorder="1" applyAlignment="1">
      <alignment/>
      <protection/>
    </xf>
    <xf numFmtId="0" fontId="4" fillId="0" borderId="0" xfId="85" applyFont="1" applyFill="1" applyBorder="1" applyAlignment="1">
      <alignment horizontal="center" vertical="center"/>
      <protection/>
    </xf>
    <xf numFmtId="0" fontId="2" fillId="0" borderId="0" xfId="85" applyFont="1" applyFill="1" applyBorder="1" applyAlignment="1">
      <alignment horizontal="center" vertical="center" wrapText="1"/>
      <protection/>
    </xf>
    <xf numFmtId="0" fontId="2" fillId="0" borderId="25" xfId="83" applyFont="1" applyFill="1" applyBorder="1" applyAlignment="1">
      <alignment horizontal="left" shrinkToFit="1"/>
      <protection/>
    </xf>
    <xf numFmtId="0" fontId="2" fillId="0" borderId="127" xfId="83" applyFont="1" applyFill="1" applyBorder="1" applyAlignment="1">
      <alignment shrinkToFit="1"/>
      <protection/>
    </xf>
    <xf numFmtId="0" fontId="2" fillId="0" borderId="25" xfId="93" applyFont="1" applyFill="1" applyBorder="1" applyAlignment="1">
      <alignment horizontal="center" vertical="center"/>
      <protection/>
    </xf>
    <xf numFmtId="0" fontId="4" fillId="0" borderId="20" xfId="85" applyFont="1" applyFill="1" applyBorder="1" applyAlignment="1">
      <alignment horizontal="center" vertical="center" wrapText="1"/>
      <protection/>
    </xf>
    <xf numFmtId="3" fontId="2" fillId="0" borderId="53" xfId="0" applyNumberFormat="1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horizontal="right" vertical="center" wrapText="1"/>
    </xf>
    <xf numFmtId="3" fontId="4" fillId="0" borderId="34" xfId="85" applyNumberFormat="1" applyFont="1" applyFill="1" applyBorder="1" applyAlignment="1">
      <alignment horizontal="right" vertical="center"/>
      <protection/>
    </xf>
    <xf numFmtId="3" fontId="4" fillId="0" borderId="26" xfId="92" applyNumberFormat="1" applyFont="1" applyFill="1" applyBorder="1" applyAlignment="1">
      <alignment vertical="center" wrapText="1"/>
      <protection/>
    </xf>
    <xf numFmtId="3" fontId="4" fillId="0" borderId="185" xfId="93" applyNumberFormat="1" applyFont="1" applyFill="1" applyBorder="1" applyAlignment="1">
      <alignment horizontal="right" vertical="center" wrapText="1"/>
      <protection/>
    </xf>
    <xf numFmtId="3" fontId="4" fillId="0" borderId="34" xfId="93" applyNumberFormat="1" applyFont="1" applyFill="1" applyBorder="1" applyAlignment="1">
      <alignment horizontal="right" vertical="center" wrapText="1"/>
      <protection/>
    </xf>
    <xf numFmtId="0" fontId="2" fillId="0" borderId="76" xfId="93" applyFont="1" applyFill="1" applyBorder="1" applyAlignment="1">
      <alignment horizontal="center" vertical="center"/>
      <protection/>
    </xf>
    <xf numFmtId="3" fontId="2" fillId="0" borderId="161" xfId="93" applyNumberFormat="1" applyFont="1" applyFill="1" applyBorder="1" applyAlignment="1">
      <alignment horizontal="right" vertical="center" wrapText="1"/>
      <protection/>
    </xf>
    <xf numFmtId="3" fontId="2" fillId="0" borderId="55" xfId="93" applyNumberFormat="1" applyFont="1" applyFill="1" applyBorder="1" applyAlignment="1">
      <alignment horizontal="right" vertical="center" wrapText="1"/>
      <protection/>
    </xf>
    <xf numFmtId="0" fontId="2" fillId="0" borderId="32" xfId="93" applyFont="1" applyFill="1" applyBorder="1" applyAlignment="1">
      <alignment horizontal="center" vertical="center"/>
      <protection/>
    </xf>
    <xf numFmtId="3" fontId="2" fillId="0" borderId="30" xfId="92" applyNumberFormat="1" applyFont="1" applyFill="1" applyBorder="1" applyAlignment="1">
      <alignment vertical="center" wrapText="1"/>
      <protection/>
    </xf>
    <xf numFmtId="3" fontId="2" fillId="0" borderId="31" xfId="92" applyNumberFormat="1" applyFont="1" applyFill="1" applyBorder="1" applyAlignment="1">
      <alignment vertical="center"/>
      <protection/>
    </xf>
    <xf numFmtId="3" fontId="2" fillId="0" borderId="35" xfId="92" applyNumberFormat="1" applyFont="1" applyFill="1" applyBorder="1" applyAlignment="1">
      <alignment vertical="center"/>
      <protection/>
    </xf>
    <xf numFmtId="3" fontId="4" fillId="0" borderId="74" xfId="92" applyNumberFormat="1" applyFont="1" applyFill="1" applyBorder="1" applyAlignment="1">
      <alignment vertical="center" wrapText="1"/>
      <protection/>
    </xf>
    <xf numFmtId="3" fontId="4" fillId="0" borderId="34" xfId="92" applyNumberFormat="1" applyFont="1" applyFill="1" applyBorder="1" applyAlignment="1">
      <alignment vertical="center" wrapText="1"/>
      <protection/>
    </xf>
    <xf numFmtId="0" fontId="2" fillId="0" borderId="30" xfId="83" applyFont="1" applyFill="1" applyBorder="1" applyAlignment="1">
      <alignment vertical="center" wrapText="1"/>
      <protection/>
    </xf>
    <xf numFmtId="0" fontId="5" fillId="0" borderId="25" xfId="93" applyFont="1" applyFill="1" applyBorder="1" applyAlignment="1">
      <alignment horizontal="left" vertical="center" wrapText="1" indent="3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82" applyNumberFormat="1" applyFont="1" applyAlignment="1">
      <alignment horizontal="right" vertical="center"/>
      <protection/>
    </xf>
    <xf numFmtId="0" fontId="4" fillId="0" borderId="0" xfId="82" applyFont="1" applyAlignment="1">
      <alignment horizontal="center"/>
      <protection/>
    </xf>
    <xf numFmtId="0" fontId="10" fillId="0" borderId="109" xfId="82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8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89" xfId="0" applyFont="1" applyBorder="1" applyAlignment="1">
      <alignment horizontal="center" vertical="center" wrapText="1"/>
    </xf>
    <xf numFmtId="0" fontId="4" fillId="0" borderId="190" xfId="0" applyFont="1" applyBorder="1" applyAlignment="1">
      <alignment horizontal="center" vertical="center" wrapText="1"/>
    </xf>
    <xf numFmtId="3" fontId="4" fillId="0" borderId="191" xfId="0" applyNumberFormat="1" applyFont="1" applyBorder="1" applyAlignment="1">
      <alignment horizontal="center" vertical="center"/>
    </xf>
    <xf numFmtId="3" fontId="4" fillId="0" borderId="181" xfId="0" applyNumberFormat="1" applyFont="1" applyBorder="1" applyAlignment="1">
      <alignment horizontal="center" vertical="center"/>
    </xf>
    <xf numFmtId="3" fontId="2" fillId="0" borderId="0" xfId="79" applyNumberFormat="1" applyFont="1" applyFill="1" applyAlignment="1">
      <alignment horizontal="left"/>
      <protection/>
    </xf>
    <xf numFmtId="3" fontId="4" fillId="0" borderId="0" xfId="79" applyNumberFormat="1" applyFont="1" applyFill="1" applyAlignment="1">
      <alignment horizontal="center" vertical="center"/>
      <protection/>
    </xf>
    <xf numFmtId="3" fontId="10" fillId="0" borderId="29" xfId="90" applyNumberFormat="1" applyFont="1" applyFill="1" applyBorder="1" applyAlignment="1">
      <alignment horizontal="left" wrapText="1"/>
      <protection/>
    </xf>
    <xf numFmtId="3" fontId="10" fillId="0" borderId="117" xfId="90" applyNumberFormat="1" applyFont="1" applyFill="1" applyBorder="1" applyAlignment="1">
      <alignment horizontal="left" wrapText="1"/>
      <protection/>
    </xf>
    <xf numFmtId="3" fontId="16" fillId="0" borderId="146" xfId="0" applyNumberFormat="1" applyFont="1" applyFill="1" applyBorder="1" applyAlignment="1">
      <alignment horizontal="left" vertical="center"/>
    </xf>
    <xf numFmtId="3" fontId="16" fillId="0" borderId="192" xfId="0" applyNumberFormat="1" applyFont="1" applyFill="1" applyBorder="1" applyAlignment="1">
      <alignment horizontal="left" vertical="center"/>
    </xf>
    <xf numFmtId="3" fontId="16" fillId="0" borderId="118" xfId="0" applyNumberFormat="1" applyFont="1" applyFill="1" applyBorder="1" applyAlignment="1">
      <alignment horizontal="left" vertical="center"/>
    </xf>
    <xf numFmtId="3" fontId="13" fillId="0" borderId="193" xfId="0" applyNumberFormat="1" applyFont="1" applyFill="1" applyBorder="1" applyAlignment="1">
      <alignment horizontal="center" vertical="center"/>
    </xf>
    <xf numFmtId="3" fontId="13" fillId="0" borderId="142" xfId="0" applyNumberFormat="1" applyFont="1" applyFill="1" applyBorder="1" applyAlignment="1">
      <alignment horizontal="center" vertical="center"/>
    </xf>
    <xf numFmtId="3" fontId="13" fillId="0" borderId="130" xfId="0" applyNumberFormat="1" applyFont="1" applyFill="1" applyBorder="1" applyAlignment="1">
      <alignment horizontal="center" vertical="center"/>
    </xf>
    <xf numFmtId="3" fontId="13" fillId="0" borderId="193" xfId="90" applyNumberFormat="1" applyFont="1" applyFill="1" applyBorder="1" applyAlignment="1">
      <alignment horizontal="center" vertical="center"/>
      <protection/>
    </xf>
    <xf numFmtId="3" fontId="13" fillId="0" borderId="142" xfId="90" applyNumberFormat="1" applyFont="1" applyFill="1" applyBorder="1" applyAlignment="1">
      <alignment horizontal="center" vertical="center"/>
      <protection/>
    </xf>
    <xf numFmtId="3" fontId="13" fillId="0" borderId="130" xfId="90" applyNumberFormat="1" applyFont="1" applyFill="1" applyBorder="1" applyAlignment="1">
      <alignment horizontal="center" vertical="center"/>
      <protection/>
    </xf>
    <xf numFmtId="3" fontId="10" fillId="0" borderId="194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89" xfId="0" applyNumberFormat="1" applyFont="1" applyFill="1" applyBorder="1" applyAlignment="1">
      <alignment horizontal="center" vertical="center" textRotation="90"/>
    </xf>
    <xf numFmtId="3" fontId="10" fillId="0" borderId="190" xfId="0" applyNumberFormat="1" applyFont="1" applyFill="1" applyBorder="1" applyAlignment="1">
      <alignment horizontal="center" vertical="center" textRotation="90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3" fontId="10" fillId="0" borderId="29" xfId="90" applyNumberFormat="1" applyFont="1" applyFill="1" applyBorder="1" applyAlignment="1">
      <alignment horizontal="left"/>
      <protection/>
    </xf>
    <xf numFmtId="3" fontId="10" fillId="0" borderId="117" xfId="90" applyNumberFormat="1" applyFont="1" applyFill="1" applyBorder="1" applyAlignment="1">
      <alignment horizontal="left"/>
      <protection/>
    </xf>
    <xf numFmtId="3" fontId="10" fillId="0" borderId="195" xfId="0" applyNumberFormat="1" applyFont="1" applyFill="1" applyBorder="1" applyAlignment="1">
      <alignment horizontal="center" vertical="center" textRotation="90"/>
    </xf>
    <xf numFmtId="0" fontId="0" fillId="0" borderId="106" xfId="0" applyFont="1" applyFill="1" applyBorder="1" applyAlignment="1">
      <alignment horizontal="center" vertical="center"/>
    </xf>
    <xf numFmtId="3" fontId="13" fillId="0" borderId="195" xfId="0" applyNumberFormat="1" applyFont="1" applyFill="1" applyBorder="1" applyAlignment="1">
      <alignment horizontal="center" vertical="center"/>
    </xf>
    <xf numFmtId="3" fontId="13" fillId="0" borderId="115" xfId="0" applyNumberFormat="1" applyFont="1" applyFill="1" applyBorder="1" applyAlignment="1">
      <alignment horizontal="center" vertical="center"/>
    </xf>
    <xf numFmtId="3" fontId="13" fillId="0" borderId="106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0" fillId="0" borderId="19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3" xfId="0" applyNumberFormat="1" applyFont="1" applyFill="1" applyBorder="1" applyAlignment="1">
      <alignment horizontal="center" vertical="center"/>
    </xf>
    <xf numFmtId="3" fontId="13" fillId="0" borderId="66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18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10" fillId="0" borderId="191" xfId="0" applyNumberFormat="1" applyFont="1" applyFill="1" applyBorder="1" applyAlignment="1">
      <alignment horizontal="center" vertical="center" textRotation="90"/>
    </xf>
    <xf numFmtId="0" fontId="0" fillId="0" borderId="181" xfId="0" applyFont="1" applyFill="1" applyBorder="1" applyAlignment="1">
      <alignment horizontal="center" vertical="center"/>
    </xf>
    <xf numFmtId="3" fontId="13" fillId="0" borderId="191" xfId="0" applyNumberFormat="1" applyFont="1" applyFill="1" applyBorder="1" applyAlignment="1">
      <alignment horizontal="center" vertical="center"/>
    </xf>
    <xf numFmtId="3" fontId="13" fillId="0" borderId="181" xfId="0" applyNumberFormat="1" applyFont="1" applyFill="1" applyBorder="1" applyAlignment="1">
      <alignment horizontal="center" vertical="center"/>
    </xf>
    <xf numFmtId="3" fontId="10" fillId="0" borderId="191" xfId="0" applyNumberFormat="1" applyFont="1" applyFill="1" applyBorder="1" applyAlignment="1">
      <alignment horizontal="center" vertical="center" wrapText="1"/>
    </xf>
    <xf numFmtId="3" fontId="10" fillId="0" borderId="181" xfId="0" applyNumberFormat="1" applyFont="1" applyFill="1" applyBorder="1" applyAlignment="1">
      <alignment horizontal="center" vertical="center" wrapText="1"/>
    </xf>
    <xf numFmtId="3" fontId="10" fillId="0" borderId="195" xfId="0" applyNumberFormat="1" applyFont="1" applyFill="1" applyBorder="1" applyAlignment="1">
      <alignment horizontal="center" vertical="center" wrapText="1"/>
    </xf>
    <xf numFmtId="3" fontId="10" fillId="0" borderId="10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3" fontId="10" fillId="0" borderId="181" xfId="0" applyNumberFormat="1" applyFont="1" applyFill="1" applyBorder="1" applyAlignment="1">
      <alignment horizontal="center" vertical="center" textRotation="90"/>
    </xf>
    <xf numFmtId="3" fontId="13" fillId="0" borderId="196" xfId="0" applyNumberFormat="1" applyFont="1" applyFill="1" applyBorder="1" applyAlignment="1">
      <alignment horizontal="center" vertical="center"/>
    </xf>
    <xf numFmtId="3" fontId="13" fillId="0" borderId="197" xfId="0" applyNumberFormat="1" applyFont="1" applyFill="1" applyBorder="1" applyAlignment="1">
      <alignment horizontal="center" vertical="center"/>
    </xf>
    <xf numFmtId="3" fontId="10" fillId="0" borderId="191" xfId="0" applyNumberFormat="1" applyFont="1" applyFill="1" applyBorder="1" applyAlignment="1">
      <alignment horizontal="center" vertical="center" textRotation="90" wrapText="1"/>
    </xf>
    <xf numFmtId="0" fontId="0" fillId="0" borderId="181" xfId="0" applyFont="1" applyFill="1" applyBorder="1" applyAlignment="1">
      <alignment horizontal="center" vertical="center" textRotation="90" wrapText="1"/>
    </xf>
    <xf numFmtId="3" fontId="10" fillId="0" borderId="198" xfId="0" applyNumberFormat="1" applyFont="1" applyFill="1" applyBorder="1" applyAlignment="1">
      <alignment horizontal="center" vertical="center" wrapText="1"/>
    </xf>
    <xf numFmtId="3" fontId="10" fillId="0" borderId="199" xfId="0" applyNumberFormat="1" applyFont="1" applyFill="1" applyBorder="1" applyAlignment="1">
      <alignment horizontal="center" vertical="center" wrapText="1"/>
    </xf>
    <xf numFmtId="3" fontId="13" fillId="0" borderId="200" xfId="0" applyNumberFormat="1" applyFont="1" applyFill="1" applyBorder="1" applyAlignment="1">
      <alignment horizontal="center" vertical="center" wrapText="1"/>
    </xf>
    <xf numFmtId="3" fontId="13" fillId="0" borderId="201" xfId="0" applyNumberFormat="1" applyFont="1" applyFill="1" applyBorder="1" applyAlignment="1">
      <alignment horizontal="center" vertical="center" wrapText="1"/>
    </xf>
    <xf numFmtId="3" fontId="10" fillId="0" borderId="114" xfId="0" applyNumberFormat="1" applyFont="1" applyFill="1" applyBorder="1" applyAlignment="1">
      <alignment horizontal="center" vertical="center"/>
    </xf>
    <xf numFmtId="3" fontId="10" fillId="0" borderId="109" xfId="0" applyNumberFormat="1" applyFont="1" applyFill="1" applyBorder="1" applyAlignment="1">
      <alignment horizontal="center" vertical="center"/>
    </xf>
    <xf numFmtId="3" fontId="10" fillId="0" borderId="115" xfId="0" applyNumberFormat="1" applyFont="1" applyFill="1" applyBorder="1" applyAlignment="1">
      <alignment horizontal="center" vertical="center"/>
    </xf>
    <xf numFmtId="3" fontId="10" fillId="0" borderId="194" xfId="79" applyNumberFormat="1" applyFont="1" applyFill="1" applyBorder="1" applyAlignment="1">
      <alignment horizontal="center" vertical="center" wrapText="1"/>
      <protection/>
    </xf>
    <xf numFmtId="3" fontId="10" fillId="0" borderId="29" xfId="90" applyNumberFormat="1" applyFont="1" applyFill="1" applyBorder="1" applyAlignment="1">
      <alignment horizontal="left" vertical="top" wrapText="1"/>
      <protection/>
    </xf>
    <xf numFmtId="3" fontId="10" fillId="0" borderId="117" xfId="90" applyNumberFormat="1" applyFont="1" applyFill="1" applyBorder="1" applyAlignment="1">
      <alignment horizontal="left" vertical="top" wrapText="1"/>
      <protection/>
    </xf>
    <xf numFmtId="3" fontId="10" fillId="0" borderId="127" xfId="90" applyNumberFormat="1" applyFont="1" applyFill="1" applyBorder="1" applyAlignment="1">
      <alignment horizontal="left" wrapText="1"/>
      <protection/>
    </xf>
    <xf numFmtId="3" fontId="16" fillId="0" borderId="146" xfId="90" applyNumberFormat="1" applyFont="1" applyFill="1" applyBorder="1" applyAlignment="1">
      <alignment horizontal="left" vertical="center"/>
      <protection/>
    </xf>
    <xf numFmtId="3" fontId="16" fillId="0" borderId="192" xfId="90" applyNumberFormat="1" applyFont="1" applyFill="1" applyBorder="1" applyAlignment="1">
      <alignment horizontal="left" vertical="center"/>
      <protection/>
    </xf>
    <xf numFmtId="3" fontId="16" fillId="0" borderId="118" xfId="90" applyNumberFormat="1" applyFont="1" applyFill="1" applyBorder="1" applyAlignment="1">
      <alignment horizontal="left" vertical="center"/>
      <protection/>
    </xf>
    <xf numFmtId="3" fontId="12" fillId="0" borderId="24" xfId="0" applyNumberFormat="1" applyFont="1" applyFill="1" applyBorder="1" applyAlignment="1">
      <alignment horizontal="left" vertical="center" wrapText="1"/>
    </xf>
    <xf numFmtId="3" fontId="12" fillId="0" borderId="117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left" vertical="top" wrapText="1"/>
    </xf>
    <xf numFmtId="3" fontId="12" fillId="0" borderId="117" xfId="0" applyNumberFormat="1" applyFont="1" applyFill="1" applyBorder="1" applyAlignment="1">
      <alignment horizontal="left" vertical="top" wrapText="1"/>
    </xf>
    <xf numFmtId="3" fontId="12" fillId="0" borderId="25" xfId="0" applyNumberFormat="1" applyFont="1" applyFill="1" applyBorder="1" applyAlignment="1">
      <alignment horizontal="left" vertical="top" wrapText="1"/>
    </xf>
    <xf numFmtId="3" fontId="10" fillId="0" borderId="140" xfId="90" applyNumberFormat="1" applyFont="1" applyFill="1" applyBorder="1" applyAlignment="1">
      <alignment horizontal="left" wrapText="1"/>
      <protection/>
    </xf>
    <xf numFmtId="3" fontId="10" fillId="0" borderId="135" xfId="90" applyNumberFormat="1" applyFont="1" applyFill="1" applyBorder="1" applyAlignment="1">
      <alignment horizontal="left" wrapText="1"/>
      <protection/>
    </xf>
    <xf numFmtId="3" fontId="12" fillId="0" borderId="51" xfId="0" applyNumberFormat="1" applyFont="1" applyFill="1" applyBorder="1" applyAlignment="1">
      <alignment horizontal="left" vertical="center"/>
    </xf>
    <xf numFmtId="3" fontId="12" fillId="0" borderId="130" xfId="0" applyNumberFormat="1" applyFont="1" applyFill="1" applyBorder="1" applyAlignment="1">
      <alignment horizontal="left" vertical="center"/>
    </xf>
    <xf numFmtId="3" fontId="12" fillId="0" borderId="52" xfId="0" applyNumberFormat="1" applyFont="1" applyFill="1" applyBorder="1" applyAlignment="1">
      <alignment horizontal="left" vertical="center"/>
    </xf>
    <xf numFmtId="3" fontId="13" fillId="0" borderId="36" xfId="93" applyNumberFormat="1" applyFont="1" applyFill="1" applyBorder="1" applyAlignment="1" applyProtection="1">
      <alignment horizontal="center" vertical="center" wrapText="1"/>
      <protection locked="0"/>
    </xf>
    <xf numFmtId="3" fontId="13" fillId="0" borderId="37" xfId="93" applyNumberFormat="1" applyFont="1" applyFill="1" applyBorder="1" applyAlignment="1" applyProtection="1">
      <alignment horizontal="center" vertical="center" wrapText="1"/>
      <protection locked="0"/>
    </xf>
    <xf numFmtId="0" fontId="13" fillId="0" borderId="66" xfId="94" applyFont="1" applyFill="1" applyBorder="1" applyAlignment="1" applyProtection="1">
      <alignment horizontal="center" vertical="center"/>
      <protection locked="0"/>
    </xf>
    <xf numFmtId="0" fontId="13" fillId="0" borderId="41" xfId="94" applyFont="1" applyFill="1" applyBorder="1" applyAlignment="1" applyProtection="1">
      <alignment horizontal="center" vertical="center"/>
      <protection locked="0"/>
    </xf>
    <xf numFmtId="0" fontId="13" fillId="0" borderId="180" xfId="94" applyFont="1" applyFill="1" applyBorder="1" applyAlignment="1" applyProtection="1">
      <alignment horizontal="center" vertical="center"/>
      <protection locked="0"/>
    </xf>
    <xf numFmtId="0" fontId="13" fillId="0" borderId="20" xfId="94" applyFont="1" applyFill="1" applyBorder="1" applyAlignment="1" applyProtection="1">
      <alignment horizontal="center" vertical="center"/>
      <protection locked="0"/>
    </xf>
    <xf numFmtId="0" fontId="13" fillId="0" borderId="21" xfId="94" applyFont="1" applyFill="1" applyBorder="1" applyAlignment="1" applyProtection="1">
      <alignment horizontal="center" vertical="center"/>
      <protection locked="0"/>
    </xf>
    <xf numFmtId="0" fontId="13" fillId="0" borderId="133" xfId="94" applyFont="1" applyFill="1" applyBorder="1" applyAlignment="1" applyProtection="1">
      <alignment horizontal="center" vertical="center"/>
      <protection locked="0"/>
    </xf>
    <xf numFmtId="0" fontId="2" fillId="0" borderId="0" xfId="94" applyFont="1" applyFill="1" applyBorder="1" applyAlignment="1" applyProtection="1">
      <alignment horizontal="left" vertical="center"/>
      <protection locked="0"/>
    </xf>
    <xf numFmtId="0" fontId="4" fillId="0" borderId="0" xfId="93" applyFont="1" applyFill="1" applyBorder="1" applyAlignment="1" applyProtection="1">
      <alignment horizontal="center"/>
      <protection locked="0"/>
    </xf>
    <xf numFmtId="0" fontId="4" fillId="0" borderId="0" xfId="94" applyFont="1" applyFill="1" applyBorder="1" applyAlignment="1" applyProtection="1">
      <alignment horizontal="center" vertical="center"/>
      <protection locked="0"/>
    </xf>
    <xf numFmtId="3" fontId="10" fillId="0" borderId="189" xfId="80" applyNumberFormat="1" applyFont="1" applyFill="1" applyBorder="1" applyAlignment="1" applyProtection="1">
      <alignment horizontal="center" vertical="center" textRotation="90"/>
      <protection locked="0"/>
    </xf>
    <xf numFmtId="3" fontId="10" fillId="0" borderId="190" xfId="80" applyNumberFormat="1" applyFont="1" applyFill="1" applyBorder="1" applyAlignment="1" applyProtection="1">
      <alignment horizontal="center" vertical="center" textRotation="90"/>
      <protection locked="0"/>
    </xf>
    <xf numFmtId="3" fontId="10" fillId="0" borderId="191" xfId="80" applyNumberFormat="1" applyFont="1" applyFill="1" applyBorder="1" applyAlignment="1" applyProtection="1">
      <alignment horizontal="center" vertical="center" textRotation="90"/>
      <protection locked="0"/>
    </xf>
    <xf numFmtId="3" fontId="10" fillId="0" borderId="181" xfId="8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91" xfId="93" applyFont="1" applyFill="1" applyBorder="1" applyAlignment="1" applyProtection="1">
      <alignment horizontal="center" vertical="center" wrapText="1"/>
      <protection locked="0"/>
    </xf>
    <xf numFmtId="0" fontId="13" fillId="0" borderId="181" xfId="93" applyFont="1" applyFill="1" applyBorder="1" applyAlignment="1" applyProtection="1">
      <alignment horizontal="center" vertical="center" wrapText="1"/>
      <protection locked="0"/>
    </xf>
    <xf numFmtId="0" fontId="10" fillId="0" borderId="191" xfId="93" applyFont="1" applyFill="1" applyBorder="1" applyAlignment="1" applyProtection="1">
      <alignment horizontal="center" vertical="center" textRotation="90" wrapText="1"/>
      <protection locked="0"/>
    </xf>
    <xf numFmtId="0" fontId="10" fillId="0" borderId="181" xfId="93" applyFont="1" applyFill="1" applyBorder="1" applyAlignment="1" applyProtection="1">
      <alignment horizontal="center" vertical="center" textRotation="90" wrapText="1"/>
      <protection locked="0"/>
    </xf>
    <xf numFmtId="3" fontId="10" fillId="0" borderId="191" xfId="93" applyNumberFormat="1" applyFont="1" applyFill="1" applyBorder="1" applyAlignment="1" applyProtection="1">
      <alignment horizontal="center" vertical="center" wrapText="1"/>
      <protection locked="0"/>
    </xf>
    <xf numFmtId="3" fontId="10" fillId="0" borderId="181" xfId="93" applyNumberFormat="1" applyFont="1" applyFill="1" applyBorder="1" applyAlignment="1" applyProtection="1">
      <alignment horizontal="center" vertical="center" wrapText="1"/>
      <protection locked="0"/>
    </xf>
    <xf numFmtId="3" fontId="13" fillId="0" borderId="202" xfId="80" applyNumberFormat="1" applyFont="1" applyFill="1" applyBorder="1" applyAlignment="1">
      <alignment horizontal="center" vertical="center" wrapText="1"/>
      <protection/>
    </xf>
    <xf numFmtId="3" fontId="13" fillId="0" borderId="203" xfId="80" applyNumberFormat="1" applyFont="1" applyFill="1" applyBorder="1" applyAlignment="1">
      <alignment horizontal="center" vertical="center" wrapText="1"/>
      <protection/>
    </xf>
    <xf numFmtId="3" fontId="13" fillId="0" borderId="204" xfId="8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205" xfId="80" applyNumberFormat="1" applyFont="1" applyFill="1" applyBorder="1" applyAlignment="1">
      <alignment horizontal="center" vertical="center" wrapText="1"/>
      <protection/>
    </xf>
    <xf numFmtId="3" fontId="13" fillId="0" borderId="206" xfId="80" applyNumberFormat="1" applyFont="1" applyFill="1" applyBorder="1" applyAlignment="1">
      <alignment horizontal="center" vertical="center" wrapText="1"/>
      <protection/>
    </xf>
    <xf numFmtId="3" fontId="10" fillId="0" borderId="207" xfId="0" applyNumberFormat="1" applyFont="1" applyFill="1" applyBorder="1" applyAlignment="1">
      <alignment horizontal="center" vertical="center"/>
    </xf>
    <xf numFmtId="3" fontId="10" fillId="0" borderId="208" xfId="0" applyNumberFormat="1" applyFont="1" applyFill="1" applyBorder="1" applyAlignment="1">
      <alignment horizontal="center" vertical="center"/>
    </xf>
    <xf numFmtId="3" fontId="10" fillId="0" borderId="205" xfId="80" applyNumberFormat="1" applyFont="1" applyFill="1" applyBorder="1" applyAlignment="1">
      <alignment horizontal="center" vertical="center" wrapText="1"/>
      <protection/>
    </xf>
    <xf numFmtId="3" fontId="10" fillId="0" borderId="206" xfId="80" applyNumberFormat="1" applyFont="1" applyFill="1" applyBorder="1" applyAlignment="1">
      <alignment horizontal="center" vertical="center" wrapText="1"/>
      <protection/>
    </xf>
    <xf numFmtId="3" fontId="10" fillId="0" borderId="209" xfId="80" applyNumberFormat="1" applyFont="1" applyFill="1" applyBorder="1" applyAlignment="1">
      <alignment horizontal="center" vertical="center" textRotation="90"/>
      <protection/>
    </xf>
    <xf numFmtId="3" fontId="10" fillId="0" borderId="210" xfId="80" applyNumberFormat="1" applyFont="1" applyFill="1" applyBorder="1" applyAlignment="1">
      <alignment horizontal="center" vertical="center" textRotation="90"/>
      <protection/>
    </xf>
    <xf numFmtId="3" fontId="10" fillId="0" borderId="205" xfId="80" applyNumberFormat="1" applyFont="1" applyFill="1" applyBorder="1" applyAlignment="1">
      <alignment horizontal="center" vertical="center" textRotation="90"/>
      <protection/>
    </xf>
    <xf numFmtId="3" fontId="10" fillId="0" borderId="206" xfId="80" applyNumberFormat="1" applyFont="1" applyFill="1" applyBorder="1" applyAlignment="1">
      <alignment horizontal="center" vertical="center" textRotation="90"/>
      <protection/>
    </xf>
    <xf numFmtId="3" fontId="10" fillId="0" borderId="211" xfId="80" applyNumberFormat="1" applyFont="1" applyFill="1" applyBorder="1" applyAlignment="1">
      <alignment horizontal="center" vertical="center" wrapText="1"/>
      <protection/>
    </xf>
    <xf numFmtId="3" fontId="10" fillId="0" borderId="212" xfId="80" applyNumberFormat="1" applyFont="1" applyFill="1" applyBorder="1" applyAlignment="1">
      <alignment horizontal="center" vertical="center" wrapText="1"/>
      <protection/>
    </xf>
    <xf numFmtId="0" fontId="13" fillId="0" borderId="205" xfId="80" applyFont="1" applyFill="1" applyBorder="1" applyAlignment="1">
      <alignment horizontal="center" vertical="center" wrapText="1"/>
      <protection/>
    </xf>
    <xf numFmtId="0" fontId="13" fillId="0" borderId="206" xfId="80" applyFont="1" applyFill="1" applyBorder="1" applyAlignment="1">
      <alignment horizontal="center" vertical="center" wrapText="1"/>
      <protection/>
    </xf>
    <xf numFmtId="3" fontId="10" fillId="0" borderId="196" xfId="0" applyNumberFormat="1" applyFont="1" applyFill="1" applyBorder="1" applyAlignment="1">
      <alignment horizontal="center" vertical="center" textRotation="90" wrapText="1"/>
    </xf>
    <xf numFmtId="0" fontId="10" fillId="0" borderId="197" xfId="0" applyFont="1" applyFill="1" applyBorder="1" applyAlignment="1">
      <alignment horizontal="center" vertical="center" textRotation="90" wrapText="1"/>
    </xf>
    <xf numFmtId="3" fontId="12" fillId="0" borderId="146" xfId="0" applyNumberFormat="1" applyFont="1" applyFill="1" applyBorder="1" applyAlignment="1">
      <alignment horizontal="left" wrapText="1"/>
    </xf>
    <xf numFmtId="3" fontId="12" fillId="0" borderId="192" xfId="0" applyNumberFormat="1" applyFont="1" applyFill="1" applyBorder="1" applyAlignment="1">
      <alignment horizontal="left" wrapText="1"/>
    </xf>
    <xf numFmtId="3" fontId="12" fillId="0" borderId="213" xfId="0" applyNumberFormat="1" applyFont="1" applyFill="1" applyBorder="1" applyAlignment="1">
      <alignment horizontal="left" wrapText="1"/>
    </xf>
    <xf numFmtId="3" fontId="92" fillId="0" borderId="29" xfId="80" applyNumberFormat="1" applyFont="1" applyFill="1" applyBorder="1" applyAlignment="1">
      <alignment horizontal="left" wrapText="1"/>
      <protection/>
    </xf>
    <xf numFmtId="0" fontId="0" fillId="0" borderId="127" xfId="0" applyBorder="1" applyAlignment="1">
      <alignment horizontal="left" wrapText="1"/>
    </xf>
    <xf numFmtId="0" fontId="0" fillId="0" borderId="214" xfId="0" applyBorder="1" applyAlignment="1">
      <alignment horizontal="left" wrapText="1"/>
    </xf>
    <xf numFmtId="3" fontId="12" fillId="0" borderId="29" xfId="0" applyNumberFormat="1" applyFont="1" applyFill="1" applyBorder="1" applyAlignment="1">
      <alignment horizontal="left" wrapText="1"/>
    </xf>
    <xf numFmtId="3" fontId="92" fillId="0" borderId="165" xfId="80" applyNumberFormat="1" applyFont="1" applyFill="1" applyBorder="1" applyAlignment="1">
      <alignment horizontal="left" wrapText="1"/>
      <protection/>
    </xf>
    <xf numFmtId="0" fontId="0" fillId="0" borderId="159" xfId="0" applyBorder="1" applyAlignment="1">
      <alignment horizontal="left" wrapText="1"/>
    </xf>
    <xf numFmtId="0" fontId="0" fillId="0" borderId="215" xfId="0" applyBorder="1" applyAlignment="1">
      <alignment horizontal="left" wrapText="1"/>
    </xf>
    <xf numFmtId="3" fontId="2" fillId="0" borderId="0" xfId="80" applyNumberFormat="1" applyFont="1" applyFill="1" applyAlignment="1">
      <alignment horizontal="left"/>
      <protection/>
    </xf>
    <xf numFmtId="3" fontId="2" fillId="0" borderId="0" xfId="80" applyNumberFormat="1" applyFont="1" applyFill="1" applyAlignment="1">
      <alignment horizontal="right"/>
      <protection/>
    </xf>
    <xf numFmtId="3" fontId="4" fillId="0" borderId="0" xfId="80" applyNumberFormat="1" applyFont="1" applyFill="1" applyAlignment="1">
      <alignment horizontal="center"/>
      <protection/>
    </xf>
    <xf numFmtId="3" fontId="4" fillId="0" borderId="0" xfId="80" applyNumberFormat="1" applyFont="1" applyFill="1" applyAlignment="1">
      <alignment horizontal="center" vertical="center"/>
      <protection/>
    </xf>
    <xf numFmtId="3" fontId="12" fillId="0" borderId="0" xfId="80" applyNumberFormat="1" applyFont="1" applyFill="1" applyAlignment="1">
      <alignment horizontal="right"/>
      <protection/>
    </xf>
    <xf numFmtId="3" fontId="13" fillId="0" borderId="0" xfId="80" applyNumberFormat="1" applyFont="1" applyFill="1" applyAlignment="1">
      <alignment horizontal="center" vertical="center" wrapText="1"/>
      <protection/>
    </xf>
    <xf numFmtId="0" fontId="12" fillId="0" borderId="0" xfId="80" applyFont="1" applyFill="1" applyBorder="1" applyAlignment="1">
      <alignment horizontal="right" wrapText="1"/>
      <protection/>
    </xf>
    <xf numFmtId="0" fontId="4" fillId="0" borderId="216" xfId="80" applyFont="1" applyFill="1" applyBorder="1" applyAlignment="1">
      <alignment horizontal="center" vertical="center" wrapText="1"/>
      <protection/>
    </xf>
    <xf numFmtId="0" fontId="4" fillId="0" borderId="217" xfId="80" applyFont="1" applyFill="1" applyBorder="1" applyAlignment="1">
      <alignment horizontal="center" vertical="center" wrapText="1"/>
      <protection/>
    </xf>
    <xf numFmtId="3" fontId="2" fillId="0" borderId="185" xfId="0" applyNumberFormat="1" applyFont="1" applyFill="1" applyBorder="1" applyAlignment="1">
      <alignment horizontal="center" vertical="center" wrapText="1"/>
    </xf>
    <xf numFmtId="3" fontId="2" fillId="0" borderId="218" xfId="0" applyNumberFormat="1" applyFont="1" applyFill="1" applyBorder="1" applyAlignment="1">
      <alignment horizontal="center" vertical="center" wrapText="1"/>
    </xf>
    <xf numFmtId="3" fontId="10" fillId="0" borderId="82" xfId="93" applyNumberFormat="1" applyFont="1" applyFill="1" applyBorder="1" applyAlignment="1">
      <alignment horizontal="center" vertical="center" wrapText="1"/>
      <protection/>
    </xf>
    <xf numFmtId="3" fontId="10" fillId="0" borderId="87" xfId="93" applyNumberFormat="1" applyFont="1" applyFill="1" applyBorder="1" applyAlignment="1">
      <alignment horizontal="center" vertical="center" wrapText="1"/>
      <protection/>
    </xf>
    <xf numFmtId="3" fontId="10" fillId="0" borderId="219" xfId="93" applyNumberFormat="1" applyFont="1" applyFill="1" applyBorder="1" applyAlignment="1">
      <alignment horizontal="center" vertical="center" wrapText="1"/>
      <protection/>
    </xf>
    <xf numFmtId="3" fontId="10" fillId="0" borderId="220" xfId="93" applyNumberFormat="1" applyFont="1" applyFill="1" applyBorder="1" applyAlignment="1">
      <alignment horizontal="center" vertical="center" wrapText="1"/>
      <protection/>
    </xf>
    <xf numFmtId="3" fontId="10" fillId="0" borderId="221" xfId="93" applyNumberFormat="1" applyFont="1" applyFill="1" applyBorder="1" applyAlignment="1">
      <alignment horizontal="center" vertical="center" wrapText="1"/>
      <protection/>
    </xf>
    <xf numFmtId="3" fontId="10" fillId="0" borderId="61" xfId="93" applyNumberFormat="1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left" vertical="center"/>
      <protection/>
    </xf>
    <xf numFmtId="3" fontId="13" fillId="0" borderId="20" xfId="83" applyNumberFormat="1" applyFont="1" applyFill="1" applyBorder="1" applyAlignment="1">
      <alignment horizontal="center" vertical="center" wrapText="1"/>
      <protection/>
    </xf>
    <xf numFmtId="3" fontId="13" fillId="0" borderId="21" xfId="83" applyNumberFormat="1" applyFont="1" applyFill="1" applyBorder="1" applyAlignment="1">
      <alignment horizontal="center" vertical="center" wrapText="1"/>
      <protection/>
    </xf>
    <xf numFmtId="3" fontId="13" fillId="0" borderId="222" xfId="83" applyNumberFormat="1" applyFont="1" applyFill="1" applyBorder="1" applyAlignment="1">
      <alignment horizontal="center" vertical="center" wrapText="1"/>
      <protection/>
    </xf>
    <xf numFmtId="3" fontId="2" fillId="0" borderId="0" xfId="93" applyNumberFormat="1" applyFont="1" applyFill="1" applyBorder="1" applyAlignment="1">
      <alignment horizontal="right"/>
      <protection/>
    </xf>
    <xf numFmtId="0" fontId="4" fillId="0" borderId="0" xfId="93" applyFont="1" applyFill="1" applyBorder="1" applyAlignment="1">
      <alignment horizontal="center"/>
      <protection/>
    </xf>
    <xf numFmtId="0" fontId="4" fillId="0" borderId="0" xfId="94" applyFont="1" applyFill="1" applyBorder="1" applyAlignment="1">
      <alignment horizontal="center" vertical="center"/>
      <protection/>
    </xf>
    <xf numFmtId="3" fontId="13" fillId="0" borderId="196" xfId="93" applyNumberFormat="1" applyFont="1" applyFill="1" applyBorder="1" applyAlignment="1">
      <alignment horizontal="center" vertical="center" wrapText="1"/>
      <protection/>
    </xf>
    <xf numFmtId="3" fontId="13" fillId="0" borderId="191" xfId="93" applyNumberFormat="1" applyFont="1" applyFill="1" applyBorder="1" applyAlignment="1">
      <alignment horizontal="center" vertical="center" wrapText="1"/>
      <protection/>
    </xf>
    <xf numFmtId="3" fontId="13" fillId="0" borderId="198" xfId="93" applyNumberFormat="1" applyFont="1" applyFill="1" applyBorder="1" applyAlignment="1">
      <alignment horizontal="center" vertical="center" wrapText="1"/>
      <protection/>
    </xf>
    <xf numFmtId="3" fontId="10" fillId="0" borderId="223" xfId="93" applyNumberFormat="1" applyFont="1" applyFill="1" applyBorder="1" applyAlignment="1">
      <alignment horizontal="center" vertical="center" wrapText="1"/>
      <protection/>
    </xf>
    <xf numFmtId="3" fontId="10" fillId="0" borderId="224" xfId="93" applyNumberFormat="1" applyFont="1" applyFill="1" applyBorder="1" applyAlignment="1">
      <alignment horizontal="center" vertical="center" wrapText="1"/>
      <protection/>
    </xf>
    <xf numFmtId="3" fontId="10" fillId="0" borderId="225" xfId="93" applyNumberFormat="1" applyFont="1" applyFill="1" applyBorder="1" applyAlignment="1">
      <alignment horizontal="center" vertical="center" wrapText="1"/>
      <protection/>
    </xf>
    <xf numFmtId="3" fontId="10" fillId="0" borderId="226" xfId="80" applyNumberFormat="1" applyFont="1" applyFill="1" applyBorder="1" applyAlignment="1">
      <alignment horizontal="center" vertical="center" textRotation="90"/>
      <protection/>
    </xf>
    <xf numFmtId="3" fontId="10" fillId="0" borderId="227" xfId="80" applyNumberFormat="1" applyFont="1" applyFill="1" applyBorder="1" applyAlignment="1">
      <alignment horizontal="center" vertical="center" textRotation="90"/>
      <protection/>
    </xf>
    <xf numFmtId="3" fontId="10" fillId="0" borderId="228" xfId="80" applyNumberFormat="1" applyFont="1" applyFill="1" applyBorder="1" applyAlignment="1">
      <alignment horizontal="center" vertical="center" textRotation="90"/>
      <protection/>
    </xf>
    <xf numFmtId="3" fontId="10" fillId="0" borderId="220" xfId="80" applyNumberFormat="1" applyFont="1" applyFill="1" applyBorder="1" applyAlignment="1">
      <alignment horizontal="center" vertical="center" textRotation="90"/>
      <protection/>
    </xf>
    <xf numFmtId="3" fontId="10" fillId="0" borderId="221" xfId="80" applyNumberFormat="1" applyFont="1" applyFill="1" applyBorder="1" applyAlignment="1">
      <alignment horizontal="center" vertical="center" textRotation="90"/>
      <protection/>
    </xf>
    <xf numFmtId="3" fontId="10" fillId="0" borderId="61" xfId="80" applyNumberFormat="1" applyFont="1" applyFill="1" applyBorder="1" applyAlignment="1">
      <alignment horizontal="center" vertical="center" textRotation="90"/>
      <protection/>
    </xf>
    <xf numFmtId="0" fontId="13" fillId="0" borderId="191" xfId="93" applyFont="1" applyFill="1" applyBorder="1" applyAlignment="1">
      <alignment horizontal="center" vertical="center" wrapText="1"/>
      <protection/>
    </xf>
    <xf numFmtId="0" fontId="13" fillId="0" borderId="229" xfId="93" applyFont="1" applyFill="1" applyBorder="1" applyAlignment="1">
      <alignment horizontal="center" vertical="center" wrapText="1"/>
      <protection/>
    </xf>
    <xf numFmtId="0" fontId="13" fillId="0" borderId="181" xfId="93" applyFont="1" applyFill="1" applyBorder="1" applyAlignment="1">
      <alignment horizontal="center" vertical="center" wrapText="1"/>
      <protection/>
    </xf>
    <xf numFmtId="3" fontId="10" fillId="0" borderId="168" xfId="93" applyNumberFormat="1" applyFont="1" applyFill="1" applyBorder="1" applyAlignment="1">
      <alignment horizontal="center" vertical="center" wrapText="1"/>
      <protection/>
    </xf>
    <xf numFmtId="3" fontId="13" fillId="0" borderId="230" xfId="93" applyNumberFormat="1" applyFont="1" applyFill="1" applyBorder="1" applyAlignment="1">
      <alignment horizontal="center" vertical="center" wrapText="1"/>
      <protection/>
    </xf>
    <xf numFmtId="3" fontId="13" fillId="0" borderId="231" xfId="93" applyNumberFormat="1" applyFont="1" applyFill="1" applyBorder="1" applyAlignment="1">
      <alignment horizontal="center" vertical="center" wrapText="1"/>
      <protection/>
    </xf>
    <xf numFmtId="0" fontId="10" fillId="0" borderId="232" xfId="93" applyFont="1" applyFill="1" applyBorder="1" applyAlignment="1">
      <alignment horizontal="center" vertical="center" textRotation="90" wrapText="1"/>
      <protection/>
    </xf>
    <xf numFmtId="0" fontId="10" fillId="0" borderId="233" xfId="93" applyFont="1" applyFill="1" applyBorder="1" applyAlignment="1">
      <alignment horizontal="center" vertical="center" textRotation="90" wrapText="1"/>
      <protection/>
    </xf>
    <xf numFmtId="0" fontId="10" fillId="0" borderId="62" xfId="93" applyFont="1" applyFill="1" applyBorder="1" applyAlignment="1">
      <alignment horizontal="center" vertical="center" textRotation="90" wrapText="1"/>
      <protection/>
    </xf>
    <xf numFmtId="3" fontId="13" fillId="0" borderId="109" xfId="93" applyNumberFormat="1" applyFont="1" applyFill="1" applyBorder="1" applyAlignment="1">
      <alignment horizontal="center" vertical="center" wrapText="1"/>
      <protection/>
    </xf>
    <xf numFmtId="3" fontId="13" fillId="0" borderId="234" xfId="93" applyNumberFormat="1" applyFont="1" applyFill="1" applyBorder="1" applyAlignment="1">
      <alignment horizontal="center" vertical="center" wrapText="1"/>
      <protection/>
    </xf>
    <xf numFmtId="3" fontId="2" fillId="0" borderId="235" xfId="93" applyNumberFormat="1" applyFont="1" applyFill="1" applyBorder="1" applyAlignment="1">
      <alignment horizontal="center" vertical="center" wrapText="1"/>
      <protection/>
    </xf>
    <xf numFmtId="3" fontId="4" fillId="0" borderId="119" xfId="93" applyNumberFormat="1" applyFont="1" applyFill="1" applyBorder="1" applyAlignment="1">
      <alignment horizontal="center" vertical="center" wrapText="1"/>
      <protection/>
    </xf>
    <xf numFmtId="3" fontId="4" fillId="0" borderId="231" xfId="93" applyNumberFormat="1" applyFont="1" applyFill="1" applyBorder="1" applyAlignment="1">
      <alignment horizontal="center" vertical="center" wrapText="1"/>
      <protection/>
    </xf>
    <xf numFmtId="3" fontId="4" fillId="0" borderId="20" xfId="83" applyNumberFormat="1" applyFont="1" applyFill="1" applyBorder="1" applyAlignment="1">
      <alignment horizontal="center" vertical="center" wrapText="1"/>
      <protection/>
    </xf>
    <xf numFmtId="3" fontId="4" fillId="0" borderId="21" xfId="83" applyNumberFormat="1" applyFont="1" applyFill="1" applyBorder="1" applyAlignment="1">
      <alignment horizontal="center" vertical="center" wrapText="1"/>
      <protection/>
    </xf>
    <xf numFmtId="3" fontId="4" fillId="0" borderId="222" xfId="83" applyNumberFormat="1" applyFont="1" applyFill="1" applyBorder="1" applyAlignment="1">
      <alignment horizontal="center" vertical="center" wrapText="1"/>
      <protection/>
    </xf>
    <xf numFmtId="3" fontId="2" fillId="0" borderId="220" xfId="80" applyNumberFormat="1" applyFont="1" applyFill="1" applyBorder="1" applyAlignment="1">
      <alignment horizontal="center" vertical="center" textRotation="90"/>
      <protection/>
    </xf>
    <xf numFmtId="3" fontId="2" fillId="0" borderId="221" xfId="80" applyNumberFormat="1" applyFont="1" applyFill="1" applyBorder="1" applyAlignment="1">
      <alignment horizontal="center" vertical="center" textRotation="90"/>
      <protection/>
    </xf>
    <xf numFmtId="3" fontId="2" fillId="0" borderId="61" xfId="80" applyNumberFormat="1" applyFont="1" applyFill="1" applyBorder="1" applyAlignment="1">
      <alignment horizontal="center" vertical="center" textRotation="90"/>
      <protection/>
    </xf>
    <xf numFmtId="0" fontId="2" fillId="0" borderId="0" xfId="93" applyFont="1" applyFill="1" applyBorder="1" applyAlignment="1">
      <alignment horizontal="center"/>
      <protection/>
    </xf>
    <xf numFmtId="3" fontId="2" fillId="0" borderId="226" xfId="80" applyNumberFormat="1" applyFont="1" applyFill="1" applyBorder="1" applyAlignment="1">
      <alignment horizontal="center" vertical="center" textRotation="90"/>
      <protection/>
    </xf>
    <xf numFmtId="3" fontId="2" fillId="0" borderId="227" xfId="80" applyNumberFormat="1" applyFont="1" applyFill="1" applyBorder="1" applyAlignment="1">
      <alignment horizontal="center" vertical="center" textRotation="90"/>
      <protection/>
    </xf>
    <xf numFmtId="3" fontId="2" fillId="0" borderId="228" xfId="80" applyNumberFormat="1" applyFont="1" applyFill="1" applyBorder="1" applyAlignment="1">
      <alignment horizontal="center" vertical="center" textRotation="90"/>
      <protection/>
    </xf>
    <xf numFmtId="3" fontId="2" fillId="0" borderId="220" xfId="93" applyNumberFormat="1" applyFont="1" applyFill="1" applyBorder="1" applyAlignment="1">
      <alignment horizontal="center" vertical="center" wrapText="1"/>
      <protection/>
    </xf>
    <xf numFmtId="3" fontId="2" fillId="0" borderId="221" xfId="93" applyNumberFormat="1" applyFont="1" applyFill="1" applyBorder="1" applyAlignment="1">
      <alignment horizontal="center" vertical="center" wrapText="1"/>
      <protection/>
    </xf>
    <xf numFmtId="3" fontId="2" fillId="0" borderId="61" xfId="93" applyNumberFormat="1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left"/>
      <protection/>
    </xf>
    <xf numFmtId="0" fontId="4" fillId="0" borderId="0" xfId="94" applyFont="1" applyFill="1" applyBorder="1" applyAlignment="1">
      <alignment horizontal="center"/>
      <protection/>
    </xf>
    <xf numFmtId="0" fontId="2" fillId="0" borderId="191" xfId="93" applyFont="1" applyFill="1" applyBorder="1" applyAlignment="1">
      <alignment horizontal="center" vertical="center"/>
      <protection/>
    </xf>
    <xf numFmtId="0" fontId="2" fillId="0" borderId="229" xfId="93" applyFont="1" applyFill="1" applyBorder="1" applyAlignment="1">
      <alignment horizontal="center" vertical="center"/>
      <protection/>
    </xf>
    <xf numFmtId="0" fontId="2" fillId="0" borderId="181" xfId="93" applyFont="1" applyFill="1" applyBorder="1" applyAlignment="1">
      <alignment horizontal="center" vertical="center"/>
      <protection/>
    </xf>
    <xf numFmtId="3" fontId="2" fillId="0" borderId="82" xfId="93" applyNumberFormat="1" applyFont="1" applyFill="1" applyBorder="1" applyAlignment="1">
      <alignment horizontal="center" vertical="center" wrapText="1"/>
      <protection/>
    </xf>
    <xf numFmtId="3" fontId="2" fillId="0" borderId="87" xfId="93" applyNumberFormat="1" applyFont="1" applyFill="1" applyBorder="1" applyAlignment="1">
      <alignment horizontal="center" vertical="center" wrapText="1"/>
      <protection/>
    </xf>
    <xf numFmtId="3" fontId="2" fillId="0" borderId="219" xfId="93" applyNumberFormat="1" applyFont="1" applyFill="1" applyBorder="1" applyAlignment="1">
      <alignment horizontal="center" vertical="center" wrapText="1"/>
      <protection/>
    </xf>
    <xf numFmtId="3" fontId="2" fillId="0" borderId="81" xfId="93" applyNumberFormat="1" applyFont="1" applyFill="1" applyBorder="1" applyAlignment="1">
      <alignment horizontal="center" vertical="center" wrapText="1"/>
      <protection/>
    </xf>
    <xf numFmtId="3" fontId="2" fillId="0" borderId="236" xfId="93" applyNumberFormat="1" applyFont="1" applyFill="1" applyBorder="1" applyAlignment="1">
      <alignment horizontal="center" vertical="center" wrapText="1"/>
      <protection/>
    </xf>
    <xf numFmtId="3" fontId="2" fillId="0" borderId="223" xfId="93" applyNumberFormat="1" applyFont="1" applyFill="1" applyBorder="1" applyAlignment="1">
      <alignment horizontal="center" vertical="center" wrapText="1"/>
      <protection/>
    </xf>
    <xf numFmtId="3" fontId="2" fillId="0" borderId="224" xfId="93" applyNumberFormat="1" applyFont="1" applyFill="1" applyBorder="1" applyAlignment="1">
      <alignment horizontal="center" vertical="center" wrapText="1"/>
      <protection/>
    </xf>
    <xf numFmtId="3" fontId="2" fillId="0" borderId="225" xfId="93" applyNumberFormat="1" applyFont="1" applyFill="1" applyBorder="1" applyAlignment="1">
      <alignment horizontal="center" vertical="center" wrapText="1"/>
      <protection/>
    </xf>
    <xf numFmtId="3" fontId="2" fillId="0" borderId="237" xfId="93" applyNumberFormat="1" applyFont="1" applyFill="1" applyBorder="1" applyAlignment="1">
      <alignment horizontal="center" vertical="center" wrapText="1"/>
      <protection/>
    </xf>
    <xf numFmtId="3" fontId="2" fillId="0" borderId="238" xfId="93" applyNumberFormat="1" applyFont="1" applyFill="1" applyBorder="1" applyAlignment="1">
      <alignment horizontal="center" vertical="center" wrapText="1"/>
      <protection/>
    </xf>
    <xf numFmtId="3" fontId="2" fillId="0" borderId="239" xfId="9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20" xfId="83" applyFont="1" applyFill="1" applyBorder="1" applyAlignment="1">
      <alignment horizontal="center" vertical="center" wrapText="1"/>
      <protection/>
    </xf>
    <xf numFmtId="0" fontId="4" fillId="0" borderId="133" xfId="83" applyFont="1" applyFill="1" applyBorder="1" applyAlignment="1">
      <alignment horizontal="center" vertical="center" wrapText="1"/>
      <protection/>
    </xf>
    <xf numFmtId="0" fontId="4" fillId="0" borderId="20" xfId="93" applyFont="1" applyFill="1" applyBorder="1" applyAlignment="1">
      <alignment horizontal="center" vertical="center"/>
      <protection/>
    </xf>
    <xf numFmtId="0" fontId="4" fillId="0" borderId="133" xfId="93" applyFont="1" applyFill="1" applyBorder="1" applyAlignment="1">
      <alignment horizontal="center" vertical="center"/>
      <protection/>
    </xf>
    <xf numFmtId="0" fontId="4" fillId="0" borderId="20" xfId="93" applyFont="1" applyFill="1" applyBorder="1" applyAlignment="1">
      <alignment horizontal="center" vertical="center" wrapText="1"/>
      <protection/>
    </xf>
    <xf numFmtId="0" fontId="4" fillId="0" borderId="133" xfId="93" applyFont="1" applyFill="1" applyBorder="1" applyAlignment="1">
      <alignment horizontal="center" vertical="center" wrapText="1"/>
      <protection/>
    </xf>
    <xf numFmtId="3" fontId="4" fillId="0" borderId="132" xfId="81" applyNumberFormat="1" applyFont="1" applyFill="1" applyBorder="1" applyAlignment="1">
      <alignment horizontal="center" vertical="center" wrapText="1"/>
      <protection/>
    </xf>
    <xf numFmtId="3" fontId="4" fillId="0" borderId="240" xfId="81" applyNumberFormat="1" applyFont="1" applyFill="1" applyBorder="1" applyAlignment="1">
      <alignment horizontal="center" vertical="center" wrapText="1"/>
      <protection/>
    </xf>
    <xf numFmtId="0" fontId="2" fillId="0" borderId="0" xfId="78" applyFont="1" applyFill="1" applyBorder="1" applyAlignment="1">
      <alignment horizontal="left" vertical="center"/>
      <protection/>
    </xf>
    <xf numFmtId="0" fontId="4" fillId="0" borderId="0" xfId="93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center" vertical="center"/>
      <protection/>
    </xf>
    <xf numFmtId="0" fontId="2" fillId="0" borderId="189" xfId="81" applyFont="1" applyFill="1" applyBorder="1" applyAlignment="1">
      <alignment horizontal="center" vertical="center" textRotation="90"/>
      <protection/>
    </xf>
    <xf numFmtId="0" fontId="2" fillId="0" borderId="190" xfId="81" applyFont="1" applyFill="1" applyBorder="1" applyAlignment="1">
      <alignment horizontal="center" vertical="center" textRotation="90"/>
      <protection/>
    </xf>
    <xf numFmtId="0" fontId="4" fillId="0" borderId="241" xfId="81" applyFont="1" applyFill="1" applyBorder="1" applyAlignment="1">
      <alignment horizontal="center" vertical="center" wrapText="1"/>
      <protection/>
    </xf>
    <xf numFmtId="0" fontId="4" fillId="0" borderId="242" xfId="81" applyFont="1" applyFill="1" applyBorder="1" applyAlignment="1">
      <alignment horizontal="center" vertical="center" wrapText="1"/>
      <protection/>
    </xf>
    <xf numFmtId="3" fontId="4" fillId="0" borderId="120" xfId="81" applyNumberFormat="1" applyFont="1" applyFill="1" applyBorder="1" applyAlignment="1">
      <alignment horizontal="center" vertical="center" wrapText="1"/>
      <protection/>
    </xf>
    <xf numFmtId="3" fontId="4" fillId="0" borderId="113" xfId="81" applyNumberFormat="1" applyFont="1" applyFill="1" applyBorder="1" applyAlignment="1">
      <alignment horizontal="center" vertical="center" wrapText="1"/>
      <protection/>
    </xf>
    <xf numFmtId="3" fontId="4" fillId="0" borderId="80" xfId="81" applyNumberFormat="1" applyFont="1" applyFill="1" applyBorder="1" applyAlignment="1">
      <alignment horizontal="center" vertical="center" wrapText="1"/>
      <protection/>
    </xf>
    <xf numFmtId="0" fontId="2" fillId="0" borderId="165" xfId="75" applyFont="1" applyFill="1" applyBorder="1" applyAlignment="1">
      <alignment horizontal="center" vertical="center" wrapText="1"/>
      <protection/>
    </xf>
    <xf numFmtId="3" fontId="4" fillId="0" borderId="185" xfId="81" applyNumberFormat="1" applyFont="1" applyFill="1" applyBorder="1" applyAlignment="1">
      <alignment horizontal="center" vertical="center" wrapText="1"/>
      <protection/>
    </xf>
    <xf numFmtId="3" fontId="4" fillId="0" borderId="138" xfId="81" applyNumberFormat="1" applyFont="1" applyFill="1" applyBorder="1" applyAlignment="1">
      <alignment horizontal="center" vertical="center" wrapText="1"/>
      <protection/>
    </xf>
    <xf numFmtId="0" fontId="2" fillId="0" borderId="15" xfId="87" applyFont="1" applyFill="1" applyBorder="1" applyAlignment="1">
      <alignment horizontal="center"/>
      <protection/>
    </xf>
    <xf numFmtId="0" fontId="2" fillId="0" borderId="243" xfId="86" applyFont="1" applyFill="1" applyBorder="1" applyAlignment="1">
      <alignment horizontal="center" vertical="center" wrapText="1"/>
      <protection/>
    </xf>
    <xf numFmtId="0" fontId="2" fillId="0" borderId="244" xfId="86" applyFont="1" applyFill="1" applyBorder="1" applyAlignment="1">
      <alignment horizontal="center" vertical="center" wrapText="1"/>
      <protection/>
    </xf>
    <xf numFmtId="0" fontId="4" fillId="0" borderId="0" xfId="86" applyFont="1" applyFill="1" applyAlignment="1">
      <alignment horizontal="center" vertical="center"/>
      <protection/>
    </xf>
    <xf numFmtId="0" fontId="5" fillId="0" borderId="0" xfId="89" applyFont="1" applyFill="1" applyAlignment="1">
      <alignment horizontal="right"/>
      <protection/>
    </xf>
    <xf numFmtId="0" fontId="99" fillId="0" borderId="114" xfId="0" applyFont="1" applyBorder="1" applyAlignment="1">
      <alignment horizontal="center" vertical="center" wrapText="1"/>
    </xf>
    <xf numFmtId="0" fontId="99" fillId="0" borderId="109" xfId="0" applyFont="1" applyBorder="1" applyAlignment="1">
      <alignment horizontal="center" vertical="center" wrapText="1"/>
    </xf>
    <xf numFmtId="0" fontId="87" fillId="0" borderId="115" xfId="0" applyFont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85" applyFont="1" applyFill="1" applyBorder="1" applyAlignment="1">
      <alignment horizontal="center"/>
      <protection/>
    </xf>
    <xf numFmtId="0" fontId="4" fillId="0" borderId="0" xfId="85" applyFont="1" applyFill="1" applyBorder="1" applyAlignment="1">
      <alignment horizontal="center" vertical="center"/>
      <protection/>
    </xf>
    <xf numFmtId="0" fontId="9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99" fillId="0" borderId="20" xfId="0" applyNumberFormat="1" applyFont="1" applyBorder="1" applyAlignment="1">
      <alignment horizontal="center" vertical="center"/>
    </xf>
    <xf numFmtId="0" fontId="99" fillId="0" borderId="245" xfId="0" applyFont="1" applyBorder="1" applyAlignment="1">
      <alignment horizontal="center" vertical="center"/>
    </xf>
    <xf numFmtId="0" fontId="2" fillId="0" borderId="15" xfId="85" applyFont="1" applyFill="1" applyBorder="1" applyAlignment="1">
      <alignment horizontal="center"/>
      <protection/>
    </xf>
    <xf numFmtId="0" fontId="10" fillId="0" borderId="109" xfId="85" applyFont="1" applyFill="1" applyBorder="1" applyAlignment="1">
      <alignment horizontal="left" vertical="center" wrapText="1"/>
      <protection/>
    </xf>
    <xf numFmtId="0" fontId="98" fillId="0" borderId="27" xfId="0" applyFont="1" applyBorder="1" applyAlignment="1">
      <alignment horizontal="center" vertical="center"/>
    </xf>
    <xf numFmtId="0" fontId="98" fillId="0" borderId="114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100" fillId="0" borderId="114" xfId="0" applyFont="1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3" fontId="98" fillId="0" borderId="115" xfId="0" applyNumberFormat="1" applyFont="1" applyBorder="1" applyAlignment="1">
      <alignment horizontal="right" vertical="center"/>
    </xf>
    <xf numFmtId="3" fontId="98" fillId="0" borderId="27" xfId="0" applyNumberFormat="1" applyFont="1" applyBorder="1" applyAlignment="1">
      <alignment horizontal="right" vertical="center"/>
    </xf>
    <xf numFmtId="3" fontId="98" fillId="0" borderId="28" xfId="0" applyNumberFormat="1" applyFont="1" applyBorder="1" applyAlignment="1">
      <alignment horizontal="right" vertical="center"/>
    </xf>
    <xf numFmtId="3" fontId="98" fillId="0" borderId="194" xfId="0" applyNumberFormat="1" applyFont="1" applyBorder="1" applyAlignment="1">
      <alignment horizontal="right" vertical="center"/>
    </xf>
    <xf numFmtId="3" fontId="98" fillId="0" borderId="168" xfId="0" applyNumberFormat="1" applyFont="1" applyBorder="1" applyAlignment="1">
      <alignment horizontal="right" vertical="center"/>
    </xf>
    <xf numFmtId="3" fontId="98" fillId="0" borderId="16" xfId="0" applyNumberFormat="1" applyFont="1" applyBorder="1" applyAlignment="1">
      <alignment horizontal="right" vertical="center"/>
    </xf>
    <xf numFmtId="0" fontId="98" fillId="0" borderId="114" xfId="0" applyFont="1" applyBorder="1" applyAlignment="1">
      <alignment horizontal="left" vertical="center" wrapText="1"/>
    </xf>
    <xf numFmtId="0" fontId="98" fillId="0" borderId="115" xfId="0" applyFont="1" applyBorder="1" applyAlignment="1">
      <alignment vertical="center"/>
    </xf>
    <xf numFmtId="0" fontId="98" fillId="0" borderId="27" xfId="0" applyFont="1" applyBorder="1" applyAlignment="1">
      <alignment vertical="center"/>
    </xf>
    <xf numFmtId="0" fontId="98" fillId="0" borderId="194" xfId="0" applyFont="1" applyBorder="1" applyAlignment="1">
      <alignment vertical="center"/>
    </xf>
    <xf numFmtId="0" fontId="98" fillId="0" borderId="16" xfId="0" applyFont="1" applyBorder="1" applyAlignment="1">
      <alignment vertical="center"/>
    </xf>
    <xf numFmtId="0" fontId="2" fillId="0" borderId="0" xfId="85" applyFont="1" applyFill="1" applyBorder="1" applyAlignment="1">
      <alignment horizontal="center" vertical="center" wrapText="1"/>
      <protection/>
    </xf>
    <xf numFmtId="3" fontId="4" fillId="0" borderId="20" xfId="84" applyNumberFormat="1" applyFont="1" applyBorder="1" applyAlignment="1">
      <alignment horizontal="center" vertical="center"/>
      <protection/>
    </xf>
    <xf numFmtId="3" fontId="4" fillId="0" borderId="21" xfId="84" applyNumberFormat="1" applyFont="1" applyBorder="1" applyAlignment="1">
      <alignment horizontal="center" vertical="center"/>
      <protection/>
    </xf>
    <xf numFmtId="3" fontId="2" fillId="0" borderId="109" xfId="84" applyNumberFormat="1" applyFont="1" applyBorder="1" applyAlignment="1">
      <alignment horizontal="left" wrapText="1"/>
      <protection/>
    </xf>
    <xf numFmtId="3" fontId="2" fillId="0" borderId="0" xfId="84" applyNumberFormat="1" applyFont="1" applyBorder="1" applyAlignment="1">
      <alignment horizontal="left" wrapText="1"/>
      <protection/>
    </xf>
    <xf numFmtId="3" fontId="2" fillId="0" borderId="0" xfId="84" applyNumberFormat="1" applyFont="1" applyAlignment="1">
      <alignment horizontal="left" wrapText="1"/>
      <protection/>
    </xf>
    <xf numFmtId="3" fontId="2" fillId="0" borderId="232" xfId="84" applyNumberFormat="1" applyFont="1" applyBorder="1" applyAlignment="1">
      <alignment horizontal="center" vertical="center" wrapText="1"/>
      <protection/>
    </xf>
    <xf numFmtId="3" fontId="2" fillId="0" borderId="220" xfId="84" applyNumberFormat="1" applyFont="1" applyBorder="1" applyAlignment="1">
      <alignment horizontal="center" vertical="center" wrapText="1"/>
      <protection/>
    </xf>
    <xf numFmtId="3" fontId="2" fillId="0" borderId="233" xfId="84" applyNumberFormat="1" applyFont="1" applyBorder="1" applyAlignment="1">
      <alignment horizontal="center" vertical="center" wrapText="1"/>
      <protection/>
    </xf>
    <xf numFmtId="3" fontId="2" fillId="0" borderId="221" xfId="84" applyNumberFormat="1" applyFont="1" applyBorder="1" applyAlignment="1">
      <alignment horizontal="center" vertical="center" wrapText="1"/>
      <protection/>
    </xf>
    <xf numFmtId="3" fontId="2" fillId="0" borderId="84" xfId="84" applyNumberFormat="1" applyFont="1" applyBorder="1" applyAlignment="1">
      <alignment horizontal="center" vertical="center" wrapText="1"/>
      <protection/>
    </xf>
    <xf numFmtId="3" fontId="2" fillId="0" borderId="89" xfId="84" applyNumberFormat="1" applyFont="1" applyBorder="1" applyAlignment="1">
      <alignment horizontal="center" vertical="center" wrapText="1"/>
      <protection/>
    </xf>
    <xf numFmtId="3" fontId="2" fillId="0" borderId="246" xfId="84" applyNumberFormat="1" applyFont="1" applyBorder="1" applyAlignment="1">
      <alignment horizontal="center" vertical="center" wrapText="1"/>
      <protection/>
    </xf>
    <xf numFmtId="3" fontId="2" fillId="0" borderId="247" xfId="84" applyNumberFormat="1" applyFont="1" applyBorder="1" applyAlignment="1">
      <alignment horizontal="center" vertical="center" wrapText="1"/>
      <protection/>
    </xf>
    <xf numFmtId="3" fontId="2" fillId="0" borderId="248" xfId="84" applyNumberFormat="1" applyFont="1" applyBorder="1" applyAlignment="1">
      <alignment horizontal="center" vertical="center" wrapText="1"/>
      <protection/>
    </xf>
    <xf numFmtId="3" fontId="2" fillId="0" borderId="238" xfId="84" applyNumberFormat="1" applyFont="1" applyFill="1" applyBorder="1" applyAlignment="1">
      <alignment horizontal="center" vertical="center" wrapText="1"/>
      <protection/>
    </xf>
    <xf numFmtId="3" fontId="2" fillId="0" borderId="181" xfId="84" applyNumberFormat="1" applyFont="1" applyFill="1" applyBorder="1" applyAlignment="1">
      <alignment horizontal="center" vertical="center" wrapText="1"/>
      <protection/>
    </xf>
    <xf numFmtId="0" fontId="2" fillId="0" borderId="221" xfId="84" applyNumberFormat="1" applyFont="1" applyBorder="1" applyAlignment="1">
      <alignment horizontal="center" vertical="center" wrapText="1"/>
      <protection/>
    </xf>
    <xf numFmtId="3" fontId="2" fillId="0" borderId="249" xfId="84" applyNumberFormat="1" applyFont="1" applyBorder="1" applyAlignment="1">
      <alignment horizontal="center" vertical="center" wrapText="1"/>
      <protection/>
    </xf>
    <xf numFmtId="3" fontId="2" fillId="0" borderId="250" xfId="84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/>
    </xf>
    <xf numFmtId="3" fontId="4" fillId="0" borderId="0" xfId="84" applyNumberFormat="1" applyFont="1" applyAlignment="1">
      <alignment horizontal="center"/>
      <protection/>
    </xf>
    <xf numFmtId="3" fontId="12" fillId="0" borderId="0" xfId="84" applyNumberFormat="1" applyFont="1" applyBorder="1" applyAlignment="1">
      <alignment horizontal="right"/>
      <protection/>
    </xf>
    <xf numFmtId="3" fontId="2" fillId="0" borderId="189" xfId="84" applyNumberFormat="1" applyFont="1" applyBorder="1" applyAlignment="1">
      <alignment horizontal="center" vertical="center" textRotation="90" wrapText="1"/>
      <protection/>
    </xf>
    <xf numFmtId="3" fontId="2" fillId="0" borderId="251" xfId="84" applyNumberFormat="1" applyFont="1" applyBorder="1" applyAlignment="1">
      <alignment horizontal="center" vertical="center" textRotation="90" wrapText="1"/>
      <protection/>
    </xf>
    <xf numFmtId="3" fontId="2" fillId="0" borderId="190" xfId="84" applyNumberFormat="1" applyFont="1" applyBorder="1" applyAlignment="1">
      <alignment horizontal="center" vertical="center" textRotation="90" wrapText="1"/>
      <protection/>
    </xf>
    <xf numFmtId="3" fontId="2" fillId="0" borderId="191" xfId="84" applyNumberFormat="1" applyFont="1" applyBorder="1" applyAlignment="1">
      <alignment horizontal="center" vertical="center" textRotation="90" wrapText="1"/>
      <protection/>
    </xf>
    <xf numFmtId="3" fontId="2" fillId="0" borderId="229" xfId="84" applyNumberFormat="1" applyFont="1" applyBorder="1" applyAlignment="1">
      <alignment horizontal="center" vertical="center" textRotation="90" wrapText="1"/>
      <protection/>
    </xf>
    <xf numFmtId="3" fontId="2" fillId="0" borderId="181" xfId="84" applyNumberFormat="1" applyFont="1" applyBorder="1" applyAlignment="1">
      <alignment horizontal="center" vertical="center" textRotation="90" wrapText="1"/>
      <protection/>
    </xf>
    <xf numFmtId="3" fontId="2" fillId="0" borderId="196" xfId="84" applyNumberFormat="1" applyFont="1" applyBorder="1" applyAlignment="1">
      <alignment horizontal="center" vertical="center" wrapText="1"/>
      <protection/>
    </xf>
    <xf numFmtId="3" fontId="2" fillId="0" borderId="98" xfId="84" applyNumberFormat="1" applyFont="1" applyBorder="1" applyAlignment="1">
      <alignment horizontal="center" vertical="center" wrapText="1"/>
      <protection/>
    </xf>
    <xf numFmtId="3" fontId="2" fillId="0" borderId="197" xfId="84" applyNumberFormat="1" applyFont="1" applyBorder="1" applyAlignment="1">
      <alignment horizontal="center" vertical="center" wrapText="1"/>
      <protection/>
    </xf>
    <xf numFmtId="14" fontId="2" fillId="0" borderId="195" xfId="84" applyNumberFormat="1" applyFont="1" applyBorder="1" applyAlignment="1">
      <alignment horizontal="center" vertical="center" wrapText="1"/>
      <protection/>
    </xf>
    <xf numFmtId="14" fontId="2" fillId="0" borderId="85" xfId="84" applyNumberFormat="1" applyFont="1" applyBorder="1" applyAlignment="1">
      <alignment horizontal="center" vertical="center" wrapText="1"/>
      <protection/>
    </xf>
    <xf numFmtId="14" fontId="2" fillId="0" borderId="106" xfId="84" applyNumberFormat="1" applyFont="1" applyBorder="1" applyAlignment="1">
      <alignment horizontal="center" vertical="center" wrapText="1"/>
      <protection/>
    </xf>
    <xf numFmtId="3" fontId="2" fillId="0" borderId="81" xfId="84" applyNumberFormat="1" applyFont="1" applyBorder="1" applyAlignment="1">
      <alignment horizontal="center" vertical="center" wrapText="1"/>
      <protection/>
    </xf>
    <xf numFmtId="3" fontId="2" fillId="0" borderId="236" xfId="84" applyNumberFormat="1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5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52" xfId="0" applyFont="1" applyBorder="1" applyAlignment="1">
      <alignment horizontal="center" vertic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4 2" xfId="45"/>
    <cellStyle name="Ezres 4 3" xfId="46"/>
    <cellStyle name="Ezres 5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10" xfId="60"/>
    <cellStyle name="Normál 2" xfId="61"/>
    <cellStyle name="Normál 3" xfId="62"/>
    <cellStyle name="Normál 4" xfId="63"/>
    <cellStyle name="Normál 5" xfId="64"/>
    <cellStyle name="Normál 6" xfId="65"/>
    <cellStyle name="Normál 6 2" xfId="66"/>
    <cellStyle name="Normál 6 3" xfId="67"/>
    <cellStyle name="Normál 6 3 2" xfId="68"/>
    <cellStyle name="Normál 6 3 2 2" xfId="69"/>
    <cellStyle name="Normál 6 3 2 3" xfId="70"/>
    <cellStyle name="Normál 7" xfId="71"/>
    <cellStyle name="Normál 8" xfId="72"/>
    <cellStyle name="Normál 8 2" xfId="73"/>
    <cellStyle name="Normál 8 2 2" xfId="74"/>
    <cellStyle name="Normál 8 2 3" xfId="75"/>
    <cellStyle name="Normál 9" xfId="76"/>
    <cellStyle name="Normál 9 2" xfId="77"/>
    <cellStyle name="Normál 9 3" xfId="78"/>
    <cellStyle name="Normál_2007.évi konc. összefoglaló bevétel" xfId="79"/>
    <cellStyle name="Normál_2007.évi konc. összefoglaló bevétel 2" xfId="80"/>
    <cellStyle name="Normál_2008.évi költségvetési javaslat" xfId="81"/>
    <cellStyle name="Normál_2011koltsegvetes (2) 2" xfId="82"/>
    <cellStyle name="Normál_Beruházási tábla 2007" xfId="83"/>
    <cellStyle name="Normál_EU-s tábla kv-hez_EU projektek tábla" xfId="84"/>
    <cellStyle name="Normál_fejlesztesi hitel" xfId="85"/>
    <cellStyle name="Normál_Hitel tábla 2012 terv" xfId="86"/>
    <cellStyle name="Normál_Hitel tábla 2012 terv (2)" xfId="87"/>
    <cellStyle name="Normál_hitelállomány07_12" xfId="88"/>
    <cellStyle name="Normál_hiteltörl költségvetés 2014" xfId="89"/>
    <cellStyle name="Normál_Intézményi bevétel-kiadás" xfId="90"/>
    <cellStyle name="Normál_Intézményi bevétel-kiadás 2" xfId="91"/>
    <cellStyle name="Normál_irodai végleges intézményekkel" xfId="92"/>
    <cellStyle name="Normál_Városfejlesztési Iroda - 2008. kv. tervezés" xfId="93"/>
    <cellStyle name="Normál_Városfejlesztési Iroda - 2008. kv. tervezés_2014.évi eredeti előirányzat 2" xfId="94"/>
    <cellStyle name="Normál_Városfejlesztési Iroda - 2008. kv. tervezés_Koltsegvetes_modositas_aprilis_tablazatai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Százalék 2" xfId="103"/>
    <cellStyle name="Százalék 3" xfId="104"/>
    <cellStyle name="Százalék 3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chartsheet" Target="chartsheets/sheet1.xml" /><Relationship Id="rId24" Type="http://schemas.openxmlformats.org/officeDocument/2006/relationships/chartsheet" Target="chartsheets/sheet2.xml" /><Relationship Id="rId25" Type="http://schemas.openxmlformats.org/officeDocument/2006/relationships/chartsheet" Target="chartsheets/sheet3.xml" /><Relationship Id="rId26" Type="http://schemas.openxmlformats.org/officeDocument/2006/relationships/chartsheet" Target="chartsheets/sheet4.xml" /><Relationship Id="rId27" Type="http://schemas.openxmlformats.org/officeDocument/2006/relationships/chartsheet" Target="chartsheets/sheet5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BEVÉTELEINEK ALAKULÁSA 2018-2020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 ÉVEKBEN</a:t>
            </a:r>
          </a:p>
        </c:rich>
      </c:tx>
      <c:layout>
        <c:manualLayout>
          <c:xMode val="factor"/>
          <c:yMode val="factor"/>
          <c:x val="-0.00625"/>
          <c:y val="-0.0017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1775"/>
          <c:w val="0.568"/>
          <c:h val="0.8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'[2]Munka1'!$A$6</c:f>
              <c:strCache>
                <c:ptCount val="1"/>
                <c:pt idx="0">
                  <c:v>Központi koltségvetési támogatás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'[2]Munka1'!$B$6:$D$6</c:f>
              <c:numCache>
                <c:ptCount val="3"/>
                <c:pt idx="0">
                  <c:v>3393904</c:v>
                </c:pt>
                <c:pt idx="1">
                  <c:v>3676859</c:v>
                </c:pt>
                <c:pt idx="2">
                  <c:v>3066627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'[2]Munka1'!$A$8</c:f>
              <c:strCache>
                <c:ptCount val="1"/>
                <c:pt idx="0">
                  <c:v>Működési célú támogatások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'[2]Munka1'!$B$8:$D$8</c:f>
              <c:numCache>
                <c:ptCount val="3"/>
                <c:pt idx="0">
                  <c:v>582004</c:v>
                </c:pt>
                <c:pt idx="1">
                  <c:v>1401865</c:v>
                </c:pt>
                <c:pt idx="2">
                  <c:v>1573630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'[2]Munka1'!$A$9</c:f>
              <c:strCache>
                <c:ptCount val="1"/>
                <c:pt idx="0">
                  <c:v>Közhatalmi bevételek (helyi adók,, gépjárműadó, egyéb pótlék, bírság)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'[2]Munka1'!$B$9:$D$9</c:f>
              <c:numCache>
                <c:ptCount val="3"/>
                <c:pt idx="0">
                  <c:v>8049548</c:v>
                </c:pt>
                <c:pt idx="1">
                  <c:v>8108452</c:v>
                </c:pt>
                <c:pt idx="2">
                  <c:v>7945120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'[2]Munka1'!$A$10</c:f>
              <c:strCache>
                <c:ptCount val="1"/>
                <c:pt idx="0">
                  <c:v>Ingatlanok és tárgyi eszközök értékesítése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'[2]Munka1'!$B$10:$D$10</c:f>
              <c:numCache>
                <c:ptCount val="3"/>
                <c:pt idx="0">
                  <c:v>136583</c:v>
                </c:pt>
                <c:pt idx="1">
                  <c:v>153966</c:v>
                </c:pt>
                <c:pt idx="2">
                  <c:v>190000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'[2]Munka1'!$A$11</c:f>
              <c:strCache>
                <c:ptCount val="1"/>
                <c:pt idx="0">
                  <c:v>Működési bevételek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'[2]Munka1'!$B$11:$D$11</c:f>
              <c:numCache>
                <c:ptCount val="3"/>
                <c:pt idx="0">
                  <c:v>2034526</c:v>
                </c:pt>
                <c:pt idx="1">
                  <c:v>1953150</c:v>
                </c:pt>
                <c:pt idx="2">
                  <c:v>2529882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'[2]Munka1'!$A$12</c:f>
              <c:strCache>
                <c:ptCount val="1"/>
                <c:pt idx="0">
                  <c:v>Átvett pénzeszközök,felhalmozási bevételek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'[2]Munka1'!$B$12:$D$12</c:f>
              <c:numCache>
                <c:ptCount val="3"/>
                <c:pt idx="0">
                  <c:v>62968</c:v>
                </c:pt>
                <c:pt idx="1">
                  <c:v>641201</c:v>
                </c:pt>
                <c:pt idx="2">
                  <c:v>7543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'[2]Munka1'!$A$13</c:f>
              <c:strCache>
                <c:ptCount val="1"/>
                <c:pt idx="0">
                  <c:v>Költségvetési maradvány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'[2]Munka1'!$B$13:$D$13</c:f>
              <c:numCache>
                <c:ptCount val="3"/>
                <c:pt idx="0">
                  <c:v>6873658</c:v>
                </c:pt>
                <c:pt idx="1">
                  <c:v>13087077</c:v>
                </c:pt>
                <c:pt idx="2">
                  <c:v>12883374</c:v>
                </c:pt>
              </c:numCache>
            </c:numRef>
          </c:val>
          <c:shape val="box"/>
        </c:ser>
        <c:ser>
          <c:idx val="9"/>
          <c:order val="7"/>
          <c:tx>
            <c:strRef>
              <c:f>'[2]Munka1'!$A$14</c:f>
              <c:strCache>
                <c:ptCount val="1"/>
                <c:pt idx="0">
                  <c:v>Hitelfelvétel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'[2]Munka1'!$B$14:$D$14</c:f>
              <c:numCache>
                <c:ptCount val="3"/>
                <c:pt idx="0">
                  <c:v>51512</c:v>
                </c:pt>
                <c:pt idx="1">
                  <c:v>676488</c:v>
                </c:pt>
                <c:pt idx="2">
                  <c:v>1409800</c:v>
                </c:pt>
              </c:numCache>
            </c:numRef>
          </c:val>
          <c:shape val="box"/>
        </c:ser>
        <c:ser>
          <c:idx val="2"/>
          <c:order val="8"/>
          <c:tx>
            <c:strRef>
              <c:f>'[2]Munka1'!$A$7</c:f>
              <c:strCache>
                <c:ptCount val="1"/>
                <c:pt idx="0">
                  <c:v>Egyéb kapott támogatás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('[2]Munka1'!$B$4:$D$4,'[2]Munka1'!$B$15:$D$15)</c:f>
              <c:strCache>
                <c:ptCount val="3"/>
                <c:pt idx="0">
                  <c:v>2018.ÉVI TÉNY  </c:v>
                </c:pt>
                <c:pt idx="1">
                  <c:v>2019.ÉVI VÁRHATÓ   </c:v>
                </c:pt>
                <c:pt idx="2">
                  <c:v>2020.ÉVI TERV </c:v>
                </c:pt>
              </c:strCache>
            </c:strRef>
          </c:cat>
          <c:val>
            <c:numRef>
              <c:f>'[2]Munka1'!$B$7:$D$7</c:f>
              <c:numCache>
                <c:ptCount val="3"/>
                <c:pt idx="0">
                  <c:v>12683797</c:v>
                </c:pt>
                <c:pt idx="1">
                  <c:v>9475025</c:v>
                </c:pt>
                <c:pt idx="2">
                  <c:v>8166069</c:v>
                </c:pt>
              </c:numCache>
            </c:numRef>
          </c:val>
          <c:shape val="box"/>
        </c:ser>
        <c:overlap val="100"/>
        <c:shape val="box"/>
        <c:axId val="28625906"/>
        <c:axId val="56306563"/>
      </c:bar3D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03"/>
              <c:y val="-0.3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9775"/>
          <c:y val="0.1685"/>
          <c:w val="0.20175"/>
          <c:h val="0.7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KIADÁSAINAK ALAKULÁSA A 2018-2020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ÉVEKBEN</a:t>
            </a:r>
          </a:p>
        </c:rich>
      </c:tx>
      <c:layout>
        <c:manualLayout>
          <c:xMode val="factor"/>
          <c:yMode val="factor"/>
          <c:x val="-0.03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875"/>
          <c:y val="0.089"/>
          <c:w val="0.627"/>
          <c:h val="0.846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'[3]Munka1'!$B$8</c:f>
              <c:strCache>
                <c:ptCount val="1"/>
                <c:pt idx="0">
                  <c:v>Hiteltörlesztés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'[3]Munka1'!$C$6:$E$6</c:f>
              <c:strCache>
                <c:ptCount val="3"/>
                <c:pt idx="0">
                  <c:v>2018. évi tény</c:v>
                </c:pt>
                <c:pt idx="1">
                  <c:v>2019. évi várható</c:v>
                </c:pt>
                <c:pt idx="2">
                  <c:v>2020. évi terv</c:v>
                </c:pt>
              </c:strCache>
            </c:strRef>
          </c:cat>
          <c:val>
            <c:numRef>
              <c:f>'[3]Munka1'!$C$8:$E$8</c:f>
              <c:numCache>
                <c:ptCount val="3"/>
                <c:pt idx="0">
                  <c:v>107595</c:v>
                </c:pt>
                <c:pt idx="1">
                  <c:v>113595</c:v>
                </c:pt>
                <c:pt idx="2">
                  <c:v>108504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'[3]Munka1'!$B$9</c:f>
              <c:strCache>
                <c:ptCount val="1"/>
                <c:pt idx="0">
                  <c:v>Beruházás, felújítás, egyéb felhalmozás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'[3]Munka1'!$C$6:$E$6</c:f>
              <c:strCache>
                <c:ptCount val="3"/>
                <c:pt idx="0">
                  <c:v>2018. évi tény</c:v>
                </c:pt>
                <c:pt idx="1">
                  <c:v>2019. évi várható</c:v>
                </c:pt>
                <c:pt idx="2">
                  <c:v>2020. évi terv</c:v>
                </c:pt>
              </c:strCache>
            </c:strRef>
          </c:cat>
          <c:val>
            <c:numRef>
              <c:f>'[3]Munka1'!$C$9:$E$9</c:f>
              <c:numCache>
                <c:ptCount val="3"/>
                <c:pt idx="0">
                  <c:v>8662579</c:v>
                </c:pt>
                <c:pt idx="1">
                  <c:v>21578471</c:v>
                </c:pt>
                <c:pt idx="2">
                  <c:v>22227115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'[3]Munka1'!$B$10</c:f>
              <c:strCache>
                <c:ptCount val="1"/>
                <c:pt idx="0">
                  <c:v>Intézmények működési kiadásai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'[3]Munka1'!$C$6:$E$6</c:f>
              <c:strCache>
                <c:ptCount val="3"/>
                <c:pt idx="0">
                  <c:v>2018. évi tény</c:v>
                </c:pt>
                <c:pt idx="1">
                  <c:v>2019. évi várható</c:v>
                </c:pt>
                <c:pt idx="2">
                  <c:v>2020. évi terv</c:v>
                </c:pt>
              </c:strCache>
            </c:strRef>
          </c:cat>
          <c:val>
            <c:numRef>
              <c:f>'[3]Munka1'!$C$10:$E$10</c:f>
              <c:numCache>
                <c:ptCount val="3"/>
                <c:pt idx="0">
                  <c:v>7197678</c:v>
                </c:pt>
                <c:pt idx="1">
                  <c:v>8871331</c:v>
                </c:pt>
                <c:pt idx="2">
                  <c:v>7971537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'[3]Munka1'!$B$11</c:f>
              <c:strCache>
                <c:ptCount val="1"/>
                <c:pt idx="0">
                  <c:v>Önkormányzati feladatok és kötelezettségek működési kiadásai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'[3]Munka1'!$C$6:$E$6</c:f>
              <c:strCache>
                <c:ptCount val="3"/>
                <c:pt idx="0">
                  <c:v>2018. évi tény</c:v>
                </c:pt>
                <c:pt idx="1">
                  <c:v>2019. évi várható</c:v>
                </c:pt>
                <c:pt idx="2">
                  <c:v>2020. évi terv</c:v>
                </c:pt>
              </c:strCache>
            </c:strRef>
          </c:cat>
          <c:val>
            <c:numRef>
              <c:f>'[3]Munka1'!$C$11:$E$11</c:f>
              <c:numCache>
                <c:ptCount val="3"/>
                <c:pt idx="0">
                  <c:v>4826496</c:v>
                </c:pt>
                <c:pt idx="1">
                  <c:v>7877817</c:v>
                </c:pt>
                <c:pt idx="2">
                  <c:v>6767214</c:v>
                </c:pt>
              </c:numCache>
            </c:numRef>
          </c:val>
          <c:shape val="box"/>
        </c:ser>
        <c:shape val="box"/>
        <c:axId val="36997020"/>
        <c:axId val="64537725"/>
        <c:axId val="43968614"/>
      </c:bar3D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9225"/>
              <c:y val="-0.3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At val="1"/>
        <c:crossBetween val="between"/>
        <c:dispUnits/>
      </c:valAx>
      <c:serAx>
        <c:axId val="43968614"/>
        <c:scaling>
          <c:orientation val="minMax"/>
        </c:scaling>
        <c:axPos val="b"/>
        <c:delete val="1"/>
        <c:majorTickMark val="out"/>
        <c:minorTickMark val="none"/>
        <c:tickLblPos val="nextTo"/>
        <c:crossAx val="645377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8425"/>
          <c:y val="0.127"/>
          <c:w val="0.2075"/>
          <c:h val="0.6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AZ ÖNKORMÁNYZAT KÖZPONTI SZABÁLYOZÁSBÓL SZÁRMAZÓ FORRÁSAI 2018 - 2020 ÉVEKBEN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8675"/>
          <c:y val="0.0925"/>
          <c:w val="0.65425"/>
          <c:h val="0.8652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'[4]Munka1'!$A$8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'[4]Munka1'!$B$3:$D$3</c:f>
              <c:strCache>
                <c:ptCount val="3"/>
                <c:pt idx="0">
                  <c:v>2018.évi tény</c:v>
                </c:pt>
                <c:pt idx="1">
                  <c:v>2019. évi tény</c:v>
                </c:pt>
                <c:pt idx="2">
                  <c:v>2020.évi terv</c:v>
                </c:pt>
              </c:strCache>
            </c:strRef>
          </c:cat>
          <c:val>
            <c:numRef>
              <c:f>'[4]Munka1'!$B$8:$D$8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'[4]Munka1'!$A$5</c:f>
              <c:strCache>
                <c:ptCount val="1"/>
                <c:pt idx="0">
                  <c:v>Köznevelési feladatok támogatása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'[4]Munka1'!$B$3:$D$3</c:f>
              <c:strCache>
                <c:ptCount val="3"/>
                <c:pt idx="0">
                  <c:v>2018.évi tény</c:v>
                </c:pt>
                <c:pt idx="1">
                  <c:v>2019. évi tény</c:v>
                </c:pt>
                <c:pt idx="2">
                  <c:v>2020.évi terv</c:v>
                </c:pt>
              </c:strCache>
            </c:strRef>
          </c:cat>
          <c:val>
            <c:numRef>
              <c:f>'[4]Munka1'!$B$5:$D$5</c:f>
              <c:numCache>
                <c:ptCount val="3"/>
                <c:pt idx="0">
                  <c:v>1105584</c:v>
                </c:pt>
                <c:pt idx="1">
                  <c:v>1108325</c:v>
                </c:pt>
                <c:pt idx="2">
                  <c:v>1125011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'[4]Munka1'!$A$7</c:f>
              <c:strCache>
                <c:ptCount val="1"/>
                <c:pt idx="0">
                  <c:v>Kulturális feladatok támogatása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'[4]Munka1'!$B$3:$D$3</c:f>
              <c:strCache>
                <c:ptCount val="3"/>
                <c:pt idx="0">
                  <c:v>2018.évi tény</c:v>
                </c:pt>
                <c:pt idx="1">
                  <c:v>2019. évi tény</c:v>
                </c:pt>
                <c:pt idx="2">
                  <c:v>2020.évi terv</c:v>
                </c:pt>
              </c:strCache>
            </c:strRef>
          </c:cat>
          <c:val>
            <c:numRef>
              <c:f>'[4]Munka1'!$B$7:$D$7</c:f>
              <c:numCache>
                <c:ptCount val="3"/>
                <c:pt idx="0">
                  <c:v>760256</c:v>
                </c:pt>
                <c:pt idx="1">
                  <c:v>766792</c:v>
                </c:pt>
                <c:pt idx="2">
                  <c:v>770083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'[4]Munka1'!$A$6</c:f>
              <c:strCache>
                <c:ptCount val="1"/>
                <c:pt idx="0">
                  <c:v>Szociális, gyermekjóléti, gyermekétkeztetési feladatok támogatása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'[4]Munka1'!$B$6:$D$6</c:f>
              <c:numCache>
                <c:ptCount val="3"/>
                <c:pt idx="0">
                  <c:v>1063921</c:v>
                </c:pt>
                <c:pt idx="1">
                  <c:v>1319428</c:v>
                </c:pt>
                <c:pt idx="2">
                  <c:v>1480333</c:v>
                </c:pt>
              </c:numCache>
            </c:numRef>
          </c:val>
          <c:shape val="cylinder"/>
        </c:ser>
        <c:overlap val="100"/>
        <c:shape val="cylinder"/>
        <c:axId val="60173207"/>
        <c:axId val="4687952"/>
      </c:bar3D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03"/>
              <c:y val="-0.3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2"/>
          <c:y val="0.185"/>
          <c:w val="0.22575"/>
          <c:h val="0.3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EGYES ÁGAZATOK ÁLLAMI TÁMOGATÁSSAL VALÓ LEFEDETTSÉGE 2020 ÉVBEN
adatok ezer forintban</a:t>
            </a:r>
          </a:p>
        </c:rich>
      </c:tx>
      <c:layout>
        <c:manualLayout>
          <c:xMode val="factor"/>
          <c:yMode val="factor"/>
          <c:x val="0.005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25"/>
          <c:y val="0.13675"/>
          <c:w val="0.8975"/>
          <c:h val="0.8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'[5]Munka1'!$B$5</c:f>
              <c:strCache>
                <c:ptCount val="1"/>
                <c:pt idx="0">
                  <c:v>Állami támogatás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'[5]Munka1'!$A$6:$A$10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 sport és egyéb kiadások</c:v>
                </c:pt>
              </c:strCache>
            </c:strRef>
          </c:cat>
          <c:val>
            <c:numRef>
              <c:f>'[5]Munka1'!$B$6:$B$10</c:f>
              <c:numCache>
                <c:ptCount val="5"/>
                <c:pt idx="0">
                  <c:v>1585849</c:v>
                </c:pt>
                <c:pt idx="1">
                  <c:v>1411738</c:v>
                </c:pt>
                <c:pt idx="2">
                  <c:v>1924750</c:v>
                </c:pt>
                <c:pt idx="3">
                  <c:v>55767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'[5]Munka1'!$F$5</c:f>
              <c:strCache>
                <c:ptCount val="1"/>
                <c:pt idx="0">
                  <c:v>Önkormányzati forrás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'[5]Munka1'!$A$6:$A$10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 sport és egyéb kiadások</c:v>
                </c:pt>
              </c:strCache>
            </c:strRef>
          </c:cat>
          <c:val>
            <c:numRef>
              <c:f>'[5]Munka1'!$F$6:$F$10</c:f>
              <c:numCache>
                <c:ptCount val="5"/>
                <c:pt idx="0">
                  <c:v>1081254.7999999998</c:v>
                </c:pt>
                <c:pt idx="1">
                  <c:v>398170</c:v>
                </c:pt>
                <c:pt idx="2">
                  <c:v>770323</c:v>
                </c:pt>
                <c:pt idx="3">
                  <c:v>2464037</c:v>
                </c:pt>
                <c:pt idx="4">
                  <c:v>2968166.2</c:v>
                </c:pt>
              </c:numCache>
            </c:numRef>
          </c:val>
        </c:ser>
        <c:overlap val="100"/>
        <c:axId val="42191569"/>
        <c:axId val="44179802"/>
      </c:barChart>
      <c:catAx>
        <c:axId val="42191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91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0575"/>
          <c:w val="0.148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MŰKÖDÉSI KIADÁSAINAK MEGOSZLÁSA 2020. ÉVBEN </a:t>
            </a:r>
          </a:p>
        </c:rich>
      </c:tx>
      <c:layout>
        <c:manualLayout>
          <c:xMode val="factor"/>
          <c:yMode val="factor"/>
          <c:x val="0.005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25"/>
          <c:y val="0.3935"/>
          <c:w val="0.43375"/>
          <c:h val="0.2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'[6]Munka1'!$B$7:$B$12</c:f>
              <c:strCache>
                <c:ptCount val="6"/>
                <c:pt idx="0">
                  <c:v>Oktatási ágazat kiadásai</c:v>
                </c:pt>
                <c:pt idx="1">
                  <c:v>Szociális és egészségügyi feladatok kiadásai</c:v>
                </c:pt>
                <c:pt idx="2">
                  <c:v>Közművelődés és kulturális ágazat kiadásai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  <c:pt idx="5">
                  <c:v>Sport és egyéb működési kiadások</c:v>
                </c:pt>
              </c:strCache>
            </c:strRef>
          </c:cat>
          <c:val>
            <c:numRef>
              <c:f>'[6]Munka1'!$C$7:$C$12</c:f>
              <c:numCache>
                <c:ptCount val="6"/>
                <c:pt idx="0">
                  <c:v>2905180.5</c:v>
                </c:pt>
                <c:pt idx="1">
                  <c:v>2031603.6</c:v>
                </c:pt>
                <c:pt idx="2">
                  <c:v>3636521.2800000003</c:v>
                </c:pt>
                <c:pt idx="3">
                  <c:v>2774028</c:v>
                </c:pt>
                <c:pt idx="4">
                  <c:v>2288509.8</c:v>
                </c:pt>
                <c:pt idx="5">
                  <c:v>991640.8200000001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29275"/>
    <xdr:graphicFrame>
      <xdr:nvGraphicFramePr>
        <xdr:cNvPr id="1" name="Shape 1025"/>
        <xdr:cNvGraphicFramePr/>
      </xdr:nvGraphicFramePr>
      <xdr:xfrm>
        <a:off x="0" y="0"/>
        <a:ext cx="9286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29275"/>
    <xdr:graphicFrame>
      <xdr:nvGraphicFramePr>
        <xdr:cNvPr id="1" name="Shape 1025"/>
        <xdr:cNvGraphicFramePr/>
      </xdr:nvGraphicFramePr>
      <xdr:xfrm>
        <a:off x="0" y="0"/>
        <a:ext cx="9286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29275"/>
    <xdr:graphicFrame>
      <xdr:nvGraphicFramePr>
        <xdr:cNvPr id="1" name="Shape 1025"/>
        <xdr:cNvGraphicFramePr/>
      </xdr:nvGraphicFramePr>
      <xdr:xfrm>
        <a:off x="0" y="0"/>
        <a:ext cx="9286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29275"/>
    <xdr:graphicFrame>
      <xdr:nvGraphicFramePr>
        <xdr:cNvPr id="1" name="Shape 1025"/>
        <xdr:cNvGraphicFramePr/>
      </xdr:nvGraphicFramePr>
      <xdr:xfrm>
        <a:off x="0" y="0"/>
        <a:ext cx="9286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kert.szilvia\AppData\Local\Microsoft\Windows\INetCache\Content.Outlook\35E9Q1T3\2020.%20&#233;vi_kv_t&#225;bl&#225;zat_szabi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SPRK92EU\Diagram\Bevetelek%20alakulasa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SPRK92EU\Diagram\Kiad&#225;sok%20alakul&#225;sa%20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SPRK92EU\Diagram\Kozp%20tam%20%20gafikon%20&#233;s%20adatok%20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SPRK92EU\Diagram\Lefedettseg%20graf%20&#233;s%20adatok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SPRK92EU\Diagram\Mukodes%20megoszlas%20grafikon%20&#233;s%20adatok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"/>
      <sheetName val="3.Onki"/>
      <sheetName val="4.Inbe"/>
      <sheetName val="5.Inbe"/>
      <sheetName val="6.Inki"/>
      <sheetName val="7.Infelhki"/>
      <sheetName val="8.Önk.műk."/>
      <sheetName val="8.A Alapítv"/>
      <sheetName val="9.Beruh."/>
      <sheetName val="10.Felúj."/>
      <sheetName val="11.Eu.projekt"/>
      <sheetName val="12.MVP és hazai"/>
      <sheetName val="13.EKG"/>
      <sheetName val="14.Mérleg"/>
      <sheetName val="15.Létszám"/>
      <sheetName val="16. Többéves"/>
      <sheetName val="17.Hitel"/>
      <sheetName val="18.A Beruh.hitel"/>
      <sheetName val="19.Projekt"/>
      <sheetName val="20.Közv.tám."/>
      <sheetName val="Diagram1"/>
      <sheetName val="Diagram2"/>
      <sheetName val="Diagram3"/>
      <sheetName val="Diagram4"/>
      <sheetName val="Diagram5"/>
    </sheetNames>
    <sheetDataSet>
      <sheetData sheetId="3">
        <row r="29">
          <cell r="O29">
            <v>1845356</v>
          </cell>
        </row>
        <row r="37">
          <cell r="O37">
            <v>1309869</v>
          </cell>
        </row>
        <row r="59">
          <cell r="O59">
            <v>2182328</v>
          </cell>
        </row>
        <row r="63">
          <cell r="O63">
            <v>6363012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Diagram3"/>
      <sheetName val="Munka1"/>
    </sheetNames>
    <sheetDataSet>
      <sheetData sheetId="2">
        <row r="4">
          <cell r="B4" t="str">
            <v>2018.ÉVI TÉNY  </v>
          </cell>
          <cell r="C4" t="str">
            <v>2019.ÉVI VÁRHATÓ   </v>
          </cell>
          <cell r="D4" t="str">
            <v>2020.ÉVI TERV </v>
          </cell>
        </row>
        <row r="6">
          <cell r="A6" t="str">
            <v>Központi koltségvetési támogatás</v>
          </cell>
          <cell r="B6">
            <v>3393904</v>
          </cell>
          <cell r="C6">
            <v>3676859</v>
          </cell>
          <cell r="D6">
            <v>3066627</v>
          </cell>
        </row>
        <row r="7">
          <cell r="A7" t="str">
            <v>Egyéb kapott támogatás</v>
          </cell>
          <cell r="B7">
            <v>12683797</v>
          </cell>
          <cell r="C7">
            <v>9475025</v>
          </cell>
          <cell r="D7">
            <v>8166069</v>
          </cell>
        </row>
        <row r="8">
          <cell r="A8" t="str">
            <v>Működési célú támogatások</v>
          </cell>
          <cell r="B8">
            <v>582004</v>
          </cell>
          <cell r="C8">
            <v>1401865</v>
          </cell>
          <cell r="D8">
            <v>1573630</v>
          </cell>
        </row>
        <row r="9">
          <cell r="A9" t="str">
            <v>Közhatalmi bevételek (helyi adók,, gépjárműadó, egyéb pótlék, bírság)</v>
          </cell>
          <cell r="B9">
            <v>8049548</v>
          </cell>
          <cell r="C9">
            <v>8108452</v>
          </cell>
          <cell r="D9">
            <v>7945120</v>
          </cell>
        </row>
        <row r="10">
          <cell r="A10" t="str">
            <v>Ingatlanok és tárgyi eszközök értékesítése</v>
          </cell>
          <cell r="B10">
            <v>136583</v>
          </cell>
          <cell r="C10">
            <v>153966</v>
          </cell>
          <cell r="D10">
            <v>190000</v>
          </cell>
        </row>
        <row r="11">
          <cell r="A11" t="str">
            <v>Működési bevételek </v>
          </cell>
          <cell r="B11">
            <v>2034526</v>
          </cell>
          <cell r="C11">
            <v>1953150</v>
          </cell>
          <cell r="D11">
            <v>2529882</v>
          </cell>
        </row>
        <row r="12">
          <cell r="A12" t="str">
            <v>Átvett pénzeszközök,felhalmozási bevételek</v>
          </cell>
          <cell r="B12">
            <v>62968</v>
          </cell>
          <cell r="C12">
            <v>641201</v>
          </cell>
          <cell r="D12">
            <v>7543</v>
          </cell>
        </row>
        <row r="13">
          <cell r="A13" t="str">
            <v>Költségvetési maradvány</v>
          </cell>
          <cell r="B13">
            <v>6873658</v>
          </cell>
          <cell r="C13">
            <v>13087077</v>
          </cell>
          <cell r="D13">
            <v>12883374</v>
          </cell>
        </row>
        <row r="14">
          <cell r="A14" t="str">
            <v>Hitelfelvétel</v>
          </cell>
          <cell r="B14">
            <v>51512</v>
          </cell>
          <cell r="C14">
            <v>676488</v>
          </cell>
          <cell r="D14">
            <v>1409800</v>
          </cell>
        </row>
        <row r="15">
          <cell r="B15">
            <v>33868500</v>
          </cell>
          <cell r="C15">
            <v>39174083</v>
          </cell>
          <cell r="D15">
            <v>37772045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</sheetNames>
    <sheetDataSet>
      <sheetData sheetId="1">
        <row r="6">
          <cell r="C6" t="str">
            <v>2018. évi tény</v>
          </cell>
          <cell r="D6" t="str">
            <v>2019. évi várható</v>
          </cell>
          <cell r="E6" t="str">
            <v>2020. évi terv</v>
          </cell>
        </row>
        <row r="8">
          <cell r="B8" t="str">
            <v>Hiteltörlesztés</v>
          </cell>
          <cell r="C8">
            <v>107595</v>
          </cell>
          <cell r="D8">
            <v>113595</v>
          </cell>
          <cell r="E8">
            <v>108504</v>
          </cell>
        </row>
        <row r="9">
          <cell r="B9" t="str">
            <v>Beruházás, felújítás, egyéb felhalmozás</v>
          </cell>
          <cell r="C9">
            <v>8662579</v>
          </cell>
          <cell r="D9">
            <v>21578471</v>
          </cell>
          <cell r="E9">
            <v>22227115</v>
          </cell>
        </row>
        <row r="10">
          <cell r="B10" t="str">
            <v>Intézmények működési kiadásai</v>
          </cell>
          <cell r="C10">
            <v>7197678</v>
          </cell>
          <cell r="D10">
            <v>8871331</v>
          </cell>
          <cell r="E10">
            <v>7971537</v>
          </cell>
        </row>
        <row r="11">
          <cell r="B11" t="str">
            <v>Önkormányzati feladatok és kötelezettségek működési kiadásai</v>
          </cell>
          <cell r="C11">
            <v>4826496</v>
          </cell>
          <cell r="D11">
            <v>7877817</v>
          </cell>
          <cell r="E11">
            <v>6767214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  <sheetName val="Munka2"/>
    </sheetNames>
    <sheetDataSet>
      <sheetData sheetId="1">
        <row r="3">
          <cell r="B3" t="str">
            <v>2018.évi tény</v>
          </cell>
          <cell r="C3" t="str">
            <v>2019. évi tény</v>
          </cell>
          <cell r="D3" t="str">
            <v>2020.évi terv</v>
          </cell>
        </row>
        <row r="5">
          <cell r="A5" t="str">
            <v>Köznevelési feladatok támogatása</v>
          </cell>
          <cell r="B5">
            <v>1105584</v>
          </cell>
          <cell r="C5">
            <v>1108325</v>
          </cell>
          <cell r="D5">
            <v>1125011</v>
          </cell>
        </row>
        <row r="6">
          <cell r="A6" t="str">
            <v>Szociális, gyermekjóléti, gyermekétkeztetési feladatok támogatása</v>
          </cell>
          <cell r="B6">
            <v>1063921</v>
          </cell>
          <cell r="C6">
            <v>1319428</v>
          </cell>
          <cell r="D6">
            <v>1480333</v>
          </cell>
        </row>
        <row r="7">
          <cell r="A7" t="str">
            <v>Kulturális feladatok támogatása</v>
          </cell>
          <cell r="B7">
            <v>760256</v>
          </cell>
          <cell r="C7">
            <v>766792</v>
          </cell>
          <cell r="D7">
            <v>770083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 norm"/>
      <sheetName val="Diagram1"/>
      <sheetName val="Munka1"/>
      <sheetName val="INBE"/>
      <sheetName val="mukodesi tam"/>
    </sheetNames>
    <sheetDataSet>
      <sheetData sheetId="2">
        <row r="5">
          <cell r="B5" t="str">
            <v>Állami támogatás</v>
          </cell>
          <cell r="F5" t="str">
            <v>Önkormányzati forrás</v>
          </cell>
        </row>
        <row r="6">
          <cell r="A6" t="str">
            <v>Oktatási ágazat</v>
          </cell>
          <cell r="B6">
            <v>1585849</v>
          </cell>
          <cell r="F6">
            <v>1081254.7999999998</v>
          </cell>
        </row>
        <row r="7">
          <cell r="A7" t="str">
            <v>Egészségügyi és Szociális kiadások</v>
          </cell>
          <cell r="B7">
            <v>1411738</v>
          </cell>
          <cell r="F7">
            <v>398170</v>
          </cell>
        </row>
        <row r="8">
          <cell r="A8" t="str">
            <v>Közművelődés</v>
          </cell>
          <cell r="B8">
            <v>1924750</v>
          </cell>
          <cell r="F8">
            <v>770323</v>
          </cell>
        </row>
        <row r="9">
          <cell r="A9" t="str">
            <v>Városműködtetési kiadások</v>
          </cell>
          <cell r="B9">
            <v>55767</v>
          </cell>
          <cell r="F9">
            <v>2464037</v>
          </cell>
        </row>
        <row r="10">
          <cell r="A10" t="str">
            <v>Igazgatási és gazdasági feladatok, informatikai  sport és egyéb kiadások</v>
          </cell>
          <cell r="B10">
            <v>0</v>
          </cell>
          <cell r="F10">
            <v>2968166.2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  <sheetName val="2018"/>
      <sheetName val="2019"/>
      <sheetName val="2020"/>
      <sheetName val="projekt"/>
    </sheetNames>
    <sheetDataSet>
      <sheetData sheetId="1">
        <row r="7">
          <cell r="B7" t="str">
            <v>Oktatási ágazat kiadásai</v>
          </cell>
          <cell r="C7">
            <v>2905180.5</v>
          </cell>
        </row>
        <row r="8">
          <cell r="B8" t="str">
            <v>Szociális és egészségügyi feladatok kiadásai</v>
          </cell>
          <cell r="C8">
            <v>2031603.6</v>
          </cell>
        </row>
        <row r="9">
          <cell r="B9" t="str">
            <v>Közművelődés és kulturális ágazat kiadásai</v>
          </cell>
          <cell r="C9">
            <v>3636521.2800000003</v>
          </cell>
        </row>
        <row r="10">
          <cell r="B10" t="str">
            <v>Városműködtetési kiadások</v>
          </cell>
          <cell r="C10">
            <v>2774028</v>
          </cell>
        </row>
        <row r="11">
          <cell r="B11" t="str">
            <v>Igazgatási és gazdasági feladatok, informatikai kiadások</v>
          </cell>
          <cell r="C11">
            <v>2288509.8</v>
          </cell>
        </row>
        <row r="12">
          <cell r="B12" t="str">
            <v>Sport és egyéb működési kiadások</v>
          </cell>
          <cell r="C12">
            <v>991640.8200000001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125" defaultRowHeight="12.75"/>
  <cols>
    <col min="1" max="1" width="3.75390625" style="133" customWidth="1"/>
    <col min="2" max="5" width="5.75390625" style="291" customWidth="1"/>
    <col min="6" max="6" width="59.75390625" style="148" customWidth="1"/>
    <col min="7" max="9" width="13.75390625" style="72" customWidth="1"/>
    <col min="10" max="10" width="15.75390625" style="316" customWidth="1"/>
    <col min="11" max="16384" width="9.125" style="148" customWidth="1"/>
  </cols>
  <sheetData>
    <row r="1" spans="2:10" ht="16.5">
      <c r="B1" s="1509" t="s">
        <v>1003</v>
      </c>
      <c r="C1" s="1509"/>
      <c r="D1" s="1509"/>
      <c r="E1" s="1509"/>
      <c r="F1" s="1509"/>
      <c r="G1" s="125"/>
      <c r="H1" s="125"/>
      <c r="I1" s="125"/>
      <c r="J1" s="315"/>
    </row>
    <row r="2" spans="1:10" s="23" customFormat="1" ht="24.75" customHeight="1">
      <c r="A2" s="133"/>
      <c r="B2" s="1510" t="s">
        <v>172</v>
      </c>
      <c r="C2" s="1510"/>
      <c r="D2" s="1510"/>
      <c r="E2" s="1510"/>
      <c r="F2" s="1510"/>
      <c r="G2" s="1510"/>
      <c r="H2" s="1510"/>
      <c r="I2" s="1510"/>
      <c r="J2" s="1510"/>
    </row>
    <row r="3" spans="1:10" s="23" customFormat="1" ht="24.75" customHeight="1">
      <c r="A3" s="133"/>
      <c r="B3" s="1511" t="s">
        <v>637</v>
      </c>
      <c r="C3" s="1511"/>
      <c r="D3" s="1511"/>
      <c r="E3" s="1511"/>
      <c r="F3" s="1511"/>
      <c r="G3" s="1511"/>
      <c r="H3" s="1511"/>
      <c r="I3" s="1511"/>
      <c r="J3" s="1511"/>
    </row>
    <row r="4" spans="1:10" s="894" customFormat="1" ht="15">
      <c r="A4" s="133"/>
      <c r="B4" s="893"/>
      <c r="C4" s="893"/>
      <c r="D4" s="893"/>
      <c r="E4" s="893"/>
      <c r="F4" s="893"/>
      <c r="G4" s="498"/>
      <c r="H4" s="498"/>
      <c r="I4" s="300"/>
      <c r="J4" s="303" t="s">
        <v>0</v>
      </c>
    </row>
    <row r="5" spans="1:10" s="897" customFormat="1" ht="15" thickBot="1">
      <c r="A5" s="133"/>
      <c r="B5" s="895" t="s">
        <v>1</v>
      </c>
      <c r="C5" s="895" t="s">
        <v>3</v>
      </c>
      <c r="D5" s="895" t="s">
        <v>2</v>
      </c>
      <c r="E5" s="895" t="s">
        <v>4</v>
      </c>
      <c r="F5" s="895" t="s">
        <v>5</v>
      </c>
      <c r="G5" s="896" t="s">
        <v>15</v>
      </c>
      <c r="H5" s="896" t="s">
        <v>16</v>
      </c>
      <c r="I5" s="896" t="s">
        <v>17</v>
      </c>
      <c r="J5" s="896" t="s">
        <v>36</v>
      </c>
    </row>
    <row r="6" spans="1:21" s="73" customFormat="1" ht="79.5" customHeight="1" thickBot="1">
      <c r="A6" s="1038"/>
      <c r="B6" s="428" t="s">
        <v>18</v>
      </c>
      <c r="C6" s="429" t="s">
        <v>19</v>
      </c>
      <c r="D6" s="427" t="s">
        <v>677</v>
      </c>
      <c r="E6" s="427" t="s">
        <v>678</v>
      </c>
      <c r="F6" s="430" t="s">
        <v>6</v>
      </c>
      <c r="G6" s="431" t="s">
        <v>668</v>
      </c>
      <c r="H6" s="323" t="s">
        <v>640</v>
      </c>
      <c r="I6" s="432" t="s">
        <v>641</v>
      </c>
      <c r="J6" s="317" t="s">
        <v>645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62" customFormat="1" ht="36" customHeight="1">
      <c r="A7" s="1038">
        <v>1</v>
      </c>
      <c r="B7" s="413"/>
      <c r="C7" s="258"/>
      <c r="D7" s="259">
        <v>1</v>
      </c>
      <c r="E7" s="259"/>
      <c r="F7" s="260" t="s">
        <v>143</v>
      </c>
      <c r="G7" s="433">
        <f>SUM(G8,G15,G25,G31,G32,G14,G30)</f>
        <v>14062643</v>
      </c>
      <c r="H7" s="433">
        <f>SUM(H8,H15,H25,H31,H32,H14,H30)</f>
        <v>12977517</v>
      </c>
      <c r="I7" s="433">
        <f>SUM(I8,I15,I25,I31,I32,I14,I30)</f>
        <v>15036573</v>
      </c>
      <c r="J7" s="434">
        <f>SUM(J8,J15,J25,J31,J32,J14,J30)</f>
        <v>15115259</v>
      </c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</row>
    <row r="8" spans="1:21" s="262" customFormat="1" ht="36" customHeight="1">
      <c r="A8" s="1038">
        <v>2</v>
      </c>
      <c r="B8" s="414">
        <v>18</v>
      </c>
      <c r="C8" s="263"/>
      <c r="D8" s="264"/>
      <c r="E8" s="264">
        <v>1</v>
      </c>
      <c r="F8" s="263" t="s">
        <v>173</v>
      </c>
      <c r="G8" s="65">
        <f>SUM(G9,G12:G12)</f>
        <v>3706565</v>
      </c>
      <c r="H8" s="65">
        <f>SUM(H9,H12:H12)</f>
        <v>3419289</v>
      </c>
      <c r="I8" s="65">
        <f>SUM(I9,I12:I12)</f>
        <v>4532064</v>
      </c>
      <c r="J8" s="318">
        <f>SUM(J9,J12:J12)</f>
        <v>4404208</v>
      </c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</row>
    <row r="9" spans="1:10" s="266" customFormat="1" ht="17.25">
      <c r="A9" s="1038">
        <v>3</v>
      </c>
      <c r="B9" s="123"/>
      <c r="C9" s="193"/>
      <c r="D9" s="147"/>
      <c r="E9" s="147"/>
      <c r="F9" s="265" t="s">
        <v>174</v>
      </c>
      <c r="G9" s="10">
        <f>SUM(G10:G11)</f>
        <v>3341151</v>
      </c>
      <c r="H9" s="10">
        <f>SUM(H10:H11)</f>
        <v>3194545</v>
      </c>
      <c r="I9" s="10">
        <f>SUM(I10:I11)</f>
        <v>3563207</v>
      </c>
      <c r="J9" s="319">
        <f>SUM(J10:J11)</f>
        <v>3066627</v>
      </c>
    </row>
    <row r="10" spans="1:10" ht="33" customHeight="1">
      <c r="A10" s="1040">
        <v>4</v>
      </c>
      <c r="B10" s="126"/>
      <c r="C10" s="267"/>
      <c r="D10" s="267"/>
      <c r="E10" s="267"/>
      <c r="F10" s="68" t="s">
        <v>300</v>
      </c>
      <c r="G10" s="2">
        <v>3286398</v>
      </c>
      <c r="H10" s="2">
        <v>3194545</v>
      </c>
      <c r="I10" s="2">
        <v>3533067</v>
      </c>
      <c r="J10" s="320">
        <v>3066627</v>
      </c>
    </row>
    <row r="11" spans="1:10" ht="33">
      <c r="A11" s="1040">
        <v>5</v>
      </c>
      <c r="B11" s="123"/>
      <c r="C11" s="267"/>
      <c r="D11" s="267"/>
      <c r="E11" s="267"/>
      <c r="F11" s="68" t="s">
        <v>175</v>
      </c>
      <c r="G11" s="2">
        <v>54753</v>
      </c>
      <c r="H11" s="2"/>
      <c r="I11" s="2">
        <v>30140</v>
      </c>
      <c r="J11" s="320"/>
    </row>
    <row r="12" spans="1:10" s="266" customFormat="1" ht="17.25">
      <c r="A12" s="1038">
        <v>6</v>
      </c>
      <c r="B12" s="123"/>
      <c r="C12" s="268"/>
      <c r="D12" s="267"/>
      <c r="E12" s="267"/>
      <c r="F12" s="67" t="s">
        <v>176</v>
      </c>
      <c r="G12" s="10">
        <v>365414</v>
      </c>
      <c r="H12" s="10">
        <v>224744</v>
      </c>
      <c r="I12" s="10">
        <v>968857</v>
      </c>
      <c r="J12" s="319">
        <v>1337581</v>
      </c>
    </row>
    <row r="13" spans="1:10" ht="16.5" customHeight="1">
      <c r="A13" s="1038">
        <v>7</v>
      </c>
      <c r="B13" s="123"/>
      <c r="C13" s="267"/>
      <c r="D13" s="267"/>
      <c r="E13" s="267"/>
      <c r="F13" s="68" t="s">
        <v>177</v>
      </c>
      <c r="G13" s="2">
        <v>148540</v>
      </c>
      <c r="H13" s="2">
        <v>147600</v>
      </c>
      <c r="I13" s="2">
        <v>160234</v>
      </c>
      <c r="J13" s="320">
        <v>180000</v>
      </c>
    </row>
    <row r="14" spans="1:11" ht="36" customHeight="1">
      <c r="A14" s="1037">
        <v>8</v>
      </c>
      <c r="B14" s="415" t="s">
        <v>554</v>
      </c>
      <c r="C14" s="267"/>
      <c r="D14" s="267"/>
      <c r="E14" s="333">
        <v>2</v>
      </c>
      <c r="F14" s="263" t="s">
        <v>178</v>
      </c>
      <c r="G14" s="10">
        <v>216590</v>
      </c>
      <c r="H14" s="10">
        <v>117496</v>
      </c>
      <c r="I14" s="10">
        <v>433008</v>
      </c>
      <c r="J14" s="319">
        <f>192858+43191</f>
        <v>236049</v>
      </c>
      <c r="K14" s="435"/>
    </row>
    <row r="15" spans="1:10" s="150" customFormat="1" ht="36" customHeight="1">
      <c r="A15" s="1038">
        <v>9</v>
      </c>
      <c r="B15" s="123">
        <v>18</v>
      </c>
      <c r="C15" s="193"/>
      <c r="D15" s="147"/>
      <c r="E15" s="147">
        <v>3</v>
      </c>
      <c r="F15" s="194" t="s">
        <v>179</v>
      </c>
      <c r="G15" s="69">
        <f>SUM(G16,G24:G24)</f>
        <v>8049548</v>
      </c>
      <c r="H15" s="69">
        <f>SUM(H16,H24:H24)</f>
        <v>7765600</v>
      </c>
      <c r="I15" s="69">
        <f>SUM(I16,I24:I24)</f>
        <v>8108452</v>
      </c>
      <c r="J15" s="319">
        <f>SUM(J16,J24:J24)</f>
        <v>7945120</v>
      </c>
    </row>
    <row r="16" spans="1:10" s="266" customFormat="1" ht="17.25">
      <c r="A16" s="1038">
        <v>10</v>
      </c>
      <c r="B16" s="123"/>
      <c r="C16" s="193"/>
      <c r="D16" s="147"/>
      <c r="E16" s="147"/>
      <c r="F16" s="67" t="s">
        <v>180</v>
      </c>
      <c r="G16" s="10">
        <f>SUM(G17:G23)</f>
        <v>8043412</v>
      </c>
      <c r="H16" s="10">
        <f>SUM(H17:H23)</f>
        <v>7760000</v>
      </c>
      <c r="I16" s="10">
        <f>SUM(I17:I23)</f>
        <v>8100342</v>
      </c>
      <c r="J16" s="319">
        <f>SUM(J17:J23)</f>
        <v>7940000</v>
      </c>
    </row>
    <row r="17" spans="1:10" ht="16.5">
      <c r="A17" s="1038">
        <v>11</v>
      </c>
      <c r="B17" s="123"/>
      <c r="C17" s="147"/>
      <c r="D17" s="147"/>
      <c r="E17" s="147"/>
      <c r="F17" s="68" t="s">
        <v>132</v>
      </c>
      <c r="G17" s="2">
        <v>1300333</v>
      </c>
      <c r="H17" s="2">
        <v>1300000</v>
      </c>
      <c r="I17" s="2">
        <v>1353716</v>
      </c>
      <c r="J17" s="320">
        <v>1320000</v>
      </c>
    </row>
    <row r="18" spans="1:10" ht="16.5">
      <c r="A18" s="1038">
        <v>12</v>
      </c>
      <c r="B18" s="123"/>
      <c r="C18" s="147"/>
      <c r="D18" s="147"/>
      <c r="E18" s="147"/>
      <c r="F18" s="68" t="s">
        <v>135</v>
      </c>
      <c r="G18" s="2">
        <v>44141</v>
      </c>
      <c r="H18" s="2">
        <v>45000</v>
      </c>
      <c r="I18" s="2">
        <v>45085</v>
      </c>
      <c r="J18" s="320">
        <v>55000</v>
      </c>
    </row>
    <row r="19" spans="1:10" ht="16.5">
      <c r="A19" s="1038">
        <v>13</v>
      </c>
      <c r="B19" s="123"/>
      <c r="C19" s="147"/>
      <c r="D19" s="147"/>
      <c r="E19" s="147"/>
      <c r="F19" s="68" t="s">
        <v>134</v>
      </c>
      <c r="G19" s="2">
        <v>143422</v>
      </c>
      <c r="H19" s="2">
        <v>145000</v>
      </c>
      <c r="I19" s="2">
        <v>142925</v>
      </c>
      <c r="J19" s="320">
        <v>143000</v>
      </c>
    </row>
    <row r="20" spans="1:10" ht="16.5">
      <c r="A20" s="1038">
        <v>14</v>
      </c>
      <c r="B20" s="123"/>
      <c r="C20" s="147"/>
      <c r="D20" s="147"/>
      <c r="E20" s="147"/>
      <c r="F20" s="68" t="s">
        <v>133</v>
      </c>
      <c r="G20" s="2">
        <v>95735</v>
      </c>
      <c r="H20" s="2">
        <v>95000</v>
      </c>
      <c r="I20" s="2">
        <v>91186</v>
      </c>
      <c r="J20" s="320">
        <v>92000</v>
      </c>
    </row>
    <row r="21" spans="1:10" ht="16.5">
      <c r="A21" s="1038">
        <v>15</v>
      </c>
      <c r="B21" s="123"/>
      <c r="C21" s="147"/>
      <c r="D21" s="147"/>
      <c r="E21" s="147"/>
      <c r="F21" s="68" t="s">
        <v>131</v>
      </c>
      <c r="G21" s="2">
        <v>6222826</v>
      </c>
      <c r="H21" s="2">
        <v>5950000</v>
      </c>
      <c r="I21" s="2">
        <v>6222920</v>
      </c>
      <c r="J21" s="320">
        <v>6100000</v>
      </c>
    </row>
    <row r="22" spans="1:10" ht="16.5">
      <c r="A22" s="1038">
        <v>16</v>
      </c>
      <c r="B22" s="123"/>
      <c r="C22" s="147"/>
      <c r="D22" s="147"/>
      <c r="E22" s="147"/>
      <c r="F22" s="68" t="s">
        <v>136</v>
      </c>
      <c r="G22" s="2">
        <v>215843</v>
      </c>
      <c r="H22" s="2">
        <v>210000</v>
      </c>
      <c r="I22" s="2">
        <v>230151</v>
      </c>
      <c r="J22" s="320">
        <v>220000</v>
      </c>
    </row>
    <row r="23" spans="1:10" ht="16.5">
      <c r="A23" s="1038">
        <v>17</v>
      </c>
      <c r="B23" s="123"/>
      <c r="C23" s="147"/>
      <c r="D23" s="147"/>
      <c r="E23" s="147"/>
      <c r="F23" s="68" t="s">
        <v>181</v>
      </c>
      <c r="G23" s="2">
        <v>21112</v>
      </c>
      <c r="H23" s="2">
        <v>15000</v>
      </c>
      <c r="I23" s="2">
        <v>14359</v>
      </c>
      <c r="J23" s="320">
        <v>10000</v>
      </c>
    </row>
    <row r="24" spans="1:10" s="266" customFormat="1" ht="34.5">
      <c r="A24" s="1040">
        <v>18</v>
      </c>
      <c r="B24" s="123"/>
      <c r="C24" s="193"/>
      <c r="D24" s="147"/>
      <c r="E24" s="147"/>
      <c r="F24" s="67" t="s">
        <v>182</v>
      </c>
      <c r="G24" s="10">
        <v>6136</v>
      </c>
      <c r="H24" s="10">
        <v>5600</v>
      </c>
      <c r="I24" s="10">
        <v>8110</v>
      </c>
      <c r="J24" s="319">
        <v>5120</v>
      </c>
    </row>
    <row r="25" spans="1:10" s="150" customFormat="1" ht="36" customHeight="1">
      <c r="A25" s="1038">
        <v>19</v>
      </c>
      <c r="B25" s="123">
        <v>18</v>
      </c>
      <c r="C25" s="193"/>
      <c r="D25" s="147"/>
      <c r="E25" s="147">
        <v>4</v>
      </c>
      <c r="F25" s="194" t="s">
        <v>146</v>
      </c>
      <c r="G25" s="69">
        <f>SUM(G26:G29)</f>
        <v>1035546</v>
      </c>
      <c r="H25" s="69">
        <f>SUM(H26:H29)</f>
        <v>765238</v>
      </c>
      <c r="I25" s="69">
        <f>SUM(I26:I29)</f>
        <v>848426</v>
      </c>
      <c r="J25" s="319">
        <f>SUM(J26:J29)</f>
        <v>1501270</v>
      </c>
    </row>
    <row r="26" spans="1:10" ht="16.5" customHeight="1">
      <c r="A26" s="1038">
        <v>20</v>
      </c>
      <c r="B26" s="123"/>
      <c r="C26" s="147"/>
      <c r="D26" s="147"/>
      <c r="E26" s="147"/>
      <c r="F26" s="68" t="s">
        <v>296</v>
      </c>
      <c r="G26" s="2">
        <v>319006</v>
      </c>
      <c r="H26" s="2">
        <v>367526</v>
      </c>
      <c r="I26" s="2">
        <v>335480</v>
      </c>
      <c r="J26" s="320">
        <v>327392</v>
      </c>
    </row>
    <row r="27" spans="1:10" ht="16.5" customHeight="1">
      <c r="A27" s="1038">
        <v>21</v>
      </c>
      <c r="B27" s="123"/>
      <c r="C27" s="147"/>
      <c r="D27" s="147"/>
      <c r="E27" s="147"/>
      <c r="F27" s="68" t="s">
        <v>297</v>
      </c>
      <c r="G27" s="2">
        <v>155541</v>
      </c>
      <c r="H27" s="2">
        <v>192783</v>
      </c>
      <c r="I27" s="2">
        <v>219462</v>
      </c>
      <c r="J27" s="320">
        <v>280770</v>
      </c>
    </row>
    <row r="28" spans="1:11" ht="16.5" customHeight="1">
      <c r="A28" s="1038">
        <v>22</v>
      </c>
      <c r="B28" s="123"/>
      <c r="C28" s="147"/>
      <c r="D28" s="147"/>
      <c r="E28" s="147"/>
      <c r="F28" s="68" t="s">
        <v>298</v>
      </c>
      <c r="G28" s="2">
        <v>490423</v>
      </c>
      <c r="H28" s="2">
        <v>204929</v>
      </c>
      <c r="I28" s="2">
        <v>248796</v>
      </c>
      <c r="J28" s="320">
        <f>783817+20250+6804+78300</f>
        <v>889171</v>
      </c>
      <c r="K28" s="147"/>
    </row>
    <row r="29" spans="1:11" ht="16.5" customHeight="1">
      <c r="A29" s="1038">
        <v>23</v>
      </c>
      <c r="B29" s="123"/>
      <c r="C29" s="147"/>
      <c r="D29" s="147"/>
      <c r="E29" s="147"/>
      <c r="F29" s="68" t="s">
        <v>299</v>
      </c>
      <c r="G29" s="2">
        <v>70576</v>
      </c>
      <c r="H29" s="2"/>
      <c r="I29" s="2">
        <v>44688</v>
      </c>
      <c r="J29" s="320">
        <v>3937</v>
      </c>
      <c r="K29" s="147"/>
    </row>
    <row r="30" spans="1:11" s="150" customFormat="1" ht="36" customHeight="1">
      <c r="A30" s="1038">
        <v>24</v>
      </c>
      <c r="B30" s="416" t="s">
        <v>554</v>
      </c>
      <c r="C30" s="193"/>
      <c r="D30" s="147"/>
      <c r="E30" s="147">
        <v>5</v>
      </c>
      <c r="F30" s="194" t="s">
        <v>183</v>
      </c>
      <c r="G30" s="69">
        <v>998980</v>
      </c>
      <c r="H30" s="69">
        <v>909894</v>
      </c>
      <c r="I30" s="69">
        <v>1104724</v>
      </c>
      <c r="J30" s="319">
        <v>1028612</v>
      </c>
      <c r="K30" s="436"/>
    </row>
    <row r="31" spans="1:10" s="150" customFormat="1" ht="36" customHeight="1">
      <c r="A31" s="1038">
        <v>25</v>
      </c>
      <c r="B31" s="123">
        <v>18</v>
      </c>
      <c r="C31" s="193"/>
      <c r="D31" s="147"/>
      <c r="E31" s="147">
        <v>6</v>
      </c>
      <c r="F31" s="194" t="s">
        <v>184</v>
      </c>
      <c r="G31" s="69">
        <v>41080</v>
      </c>
      <c r="H31" s="69"/>
      <c r="I31" s="69">
        <v>2962</v>
      </c>
      <c r="J31" s="319"/>
    </row>
    <row r="32" spans="1:10" s="266" customFormat="1" ht="36" customHeight="1">
      <c r="A32" s="1040">
        <v>26</v>
      </c>
      <c r="B32" s="417" t="s">
        <v>554</v>
      </c>
      <c r="C32" s="269"/>
      <c r="D32" s="269"/>
      <c r="E32" s="270">
        <v>7</v>
      </c>
      <c r="F32" s="271" t="s">
        <v>185</v>
      </c>
      <c r="G32" s="437">
        <v>14334</v>
      </c>
      <c r="H32" s="437"/>
      <c r="I32" s="437">
        <v>6937</v>
      </c>
      <c r="J32" s="438"/>
    </row>
    <row r="33" spans="1:21" s="262" customFormat="1" ht="36" customHeight="1">
      <c r="A33" s="1038">
        <v>27</v>
      </c>
      <c r="B33" s="418"/>
      <c r="C33" s="272"/>
      <c r="D33" s="273">
        <v>2</v>
      </c>
      <c r="E33" s="273"/>
      <c r="F33" s="274" t="s">
        <v>144</v>
      </c>
      <c r="G33" s="439">
        <f>SUM(G34,G37:G38,G40:G42)</f>
        <v>12772481</v>
      </c>
      <c r="H33" s="439">
        <f>SUM(H34,H37:H38,H40:H42)</f>
        <v>5648160</v>
      </c>
      <c r="I33" s="643">
        <f>SUM(I34,I37:I38,I40:I42)</f>
        <v>10230153</v>
      </c>
      <c r="J33" s="686">
        <f>SUM(J34,J37:J38,J40:J42)</f>
        <v>8363612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</row>
    <row r="34" spans="1:10" s="150" customFormat="1" ht="36" customHeight="1">
      <c r="A34" s="1040">
        <v>28</v>
      </c>
      <c r="B34" s="123"/>
      <c r="C34" s="193"/>
      <c r="D34" s="147"/>
      <c r="E34" s="147">
        <v>8</v>
      </c>
      <c r="F34" s="194" t="s">
        <v>186</v>
      </c>
      <c r="G34" s="69">
        <f>SUM(G35,G36)</f>
        <v>12588575</v>
      </c>
      <c r="H34" s="69">
        <f>SUM(H35,H36)</f>
        <v>5270260</v>
      </c>
      <c r="I34" s="69">
        <f>SUM(I35,I36)</f>
        <v>9430702</v>
      </c>
      <c r="J34" s="319">
        <f>SUM(J35,J36)</f>
        <v>8162019</v>
      </c>
    </row>
    <row r="35" spans="1:10" s="266" customFormat="1" ht="17.25">
      <c r="A35" s="1038">
        <v>29</v>
      </c>
      <c r="B35" s="123">
        <v>18</v>
      </c>
      <c r="C35" s="193"/>
      <c r="D35" s="147"/>
      <c r="E35" s="147"/>
      <c r="F35" s="67" t="s">
        <v>187</v>
      </c>
      <c r="G35" s="10">
        <v>4325400</v>
      </c>
      <c r="H35" s="10"/>
      <c r="I35" s="10">
        <v>6456</v>
      </c>
      <c r="J35" s="319"/>
    </row>
    <row r="36" spans="1:11" s="266" customFormat="1" ht="17.25">
      <c r="A36" s="1040">
        <v>30</v>
      </c>
      <c r="B36" s="123">
        <v>18</v>
      </c>
      <c r="C36" s="268"/>
      <c r="D36" s="267"/>
      <c r="E36" s="267"/>
      <c r="F36" s="67" t="s">
        <v>188</v>
      </c>
      <c r="G36" s="10">
        <v>8263175</v>
      </c>
      <c r="H36" s="10">
        <v>5270260</v>
      </c>
      <c r="I36" s="10">
        <v>9424246</v>
      </c>
      <c r="J36" s="319">
        <v>8162019</v>
      </c>
      <c r="K36" s="440"/>
    </row>
    <row r="37" spans="1:10" s="266" customFormat="1" ht="36" customHeight="1">
      <c r="A37" s="1038">
        <v>31</v>
      </c>
      <c r="B37" s="417" t="s">
        <v>554</v>
      </c>
      <c r="C37" s="268"/>
      <c r="D37" s="268"/>
      <c r="E37" s="267">
        <v>9</v>
      </c>
      <c r="F37" s="67" t="s">
        <v>189</v>
      </c>
      <c r="G37" s="10">
        <v>40469</v>
      </c>
      <c r="H37" s="10">
        <v>2900</v>
      </c>
      <c r="I37" s="10">
        <v>14183</v>
      </c>
      <c r="J37" s="319">
        <v>4050</v>
      </c>
    </row>
    <row r="38" spans="1:10" s="150" customFormat="1" ht="36" customHeight="1">
      <c r="A38" s="1040">
        <v>32</v>
      </c>
      <c r="B38" s="123">
        <v>18</v>
      </c>
      <c r="C38" s="193"/>
      <c r="D38" s="147"/>
      <c r="E38" s="147">
        <v>10</v>
      </c>
      <c r="F38" s="194" t="s">
        <v>190</v>
      </c>
      <c r="G38" s="69">
        <f>SUM(G39:G39)</f>
        <v>136583</v>
      </c>
      <c r="H38" s="69">
        <f>SUM(H39:H39)</f>
        <v>225000</v>
      </c>
      <c r="I38" s="69">
        <f>SUM(I39:I39)</f>
        <v>153966</v>
      </c>
      <c r="J38" s="319">
        <f>SUM(J39:J39)</f>
        <v>190000</v>
      </c>
    </row>
    <row r="39" spans="1:10" ht="16.5">
      <c r="A39" s="1038">
        <v>33</v>
      </c>
      <c r="B39" s="123"/>
      <c r="C39" s="147"/>
      <c r="D39" s="147"/>
      <c r="E39" s="147"/>
      <c r="F39" s="68" t="s">
        <v>191</v>
      </c>
      <c r="G39" s="2">
        <v>136583</v>
      </c>
      <c r="H39" s="2">
        <v>225000</v>
      </c>
      <c r="I39" s="2">
        <v>153966</v>
      </c>
      <c r="J39" s="320">
        <v>190000</v>
      </c>
    </row>
    <row r="40" spans="1:10" ht="36" customHeight="1">
      <c r="A40" s="1040">
        <v>34</v>
      </c>
      <c r="B40" s="123"/>
      <c r="C40" s="147"/>
      <c r="D40" s="147"/>
      <c r="E40" s="147">
        <v>11</v>
      </c>
      <c r="F40" s="67" t="s">
        <v>192</v>
      </c>
      <c r="G40" s="10">
        <v>957</v>
      </c>
      <c r="H40" s="10"/>
      <c r="I40" s="10">
        <v>3600</v>
      </c>
      <c r="J40" s="319">
        <v>7543</v>
      </c>
    </row>
    <row r="41" spans="1:10" s="150" customFormat="1" ht="36" customHeight="1">
      <c r="A41" s="1038">
        <v>35</v>
      </c>
      <c r="B41" s="123">
        <v>18</v>
      </c>
      <c r="C41" s="193"/>
      <c r="D41" s="147"/>
      <c r="E41" s="147">
        <v>12</v>
      </c>
      <c r="F41" s="194" t="s">
        <v>193</v>
      </c>
      <c r="G41" s="69">
        <v>5897</v>
      </c>
      <c r="H41" s="69">
        <v>150000</v>
      </c>
      <c r="I41" s="69">
        <v>627702</v>
      </c>
      <c r="J41" s="319"/>
    </row>
    <row r="42" spans="1:10" s="266" customFormat="1" ht="36" customHeight="1">
      <c r="A42" s="1040">
        <v>36</v>
      </c>
      <c r="B42" s="417" t="s">
        <v>554</v>
      </c>
      <c r="C42" s="268"/>
      <c r="D42" s="268"/>
      <c r="E42" s="267">
        <v>13</v>
      </c>
      <c r="F42" s="275" t="s">
        <v>194</v>
      </c>
      <c r="G42" s="10"/>
      <c r="H42" s="10"/>
      <c r="I42" s="10"/>
      <c r="J42" s="319"/>
    </row>
    <row r="43" spans="1:10" s="30" customFormat="1" ht="36" customHeight="1">
      <c r="A43" s="1038">
        <v>37</v>
      </c>
      <c r="B43" s="27">
        <v>18</v>
      </c>
      <c r="C43" s="276"/>
      <c r="D43" s="277"/>
      <c r="E43" s="277"/>
      <c r="F43" s="644" t="s">
        <v>195</v>
      </c>
      <c r="G43" s="70">
        <f>SUM(G44:G44)</f>
        <v>700</v>
      </c>
      <c r="H43" s="70">
        <f>SUM(H44:H44)</f>
        <v>0</v>
      </c>
      <c r="I43" s="70">
        <f>SUM(I44:I44)</f>
        <v>0</v>
      </c>
      <c r="J43" s="321">
        <f>SUM(J44:J44)</f>
        <v>0</v>
      </c>
    </row>
    <row r="44" spans="1:10" ht="33">
      <c r="A44" s="1040">
        <v>38</v>
      </c>
      <c r="B44" s="123"/>
      <c r="C44" s="278"/>
      <c r="D44" s="278"/>
      <c r="E44" s="278"/>
      <c r="F44" s="645" t="s">
        <v>261</v>
      </c>
      <c r="G44" s="71">
        <v>700</v>
      </c>
      <c r="H44" s="71"/>
      <c r="I44" s="71"/>
      <c r="J44" s="322"/>
    </row>
    <row r="45" spans="1:10" s="30" customFormat="1" ht="39.75" customHeight="1" thickBot="1">
      <c r="A45" s="1038">
        <v>39</v>
      </c>
      <c r="B45" s="419"/>
      <c r="C45" s="279"/>
      <c r="D45" s="280"/>
      <c r="E45" s="280"/>
      <c r="F45" s="281" t="s">
        <v>196</v>
      </c>
      <c r="G45" s="441">
        <f>SUM(G7,G33,G43)</f>
        <v>26835824</v>
      </c>
      <c r="H45" s="441">
        <f>SUM(H7,H33,H43)</f>
        <v>18625677</v>
      </c>
      <c r="I45" s="441">
        <f>SUM(I7,I33,I43)</f>
        <v>25266726</v>
      </c>
      <c r="J45" s="442">
        <f>SUM(J7,J33,J43)</f>
        <v>23478871</v>
      </c>
    </row>
    <row r="46" spans="1:10" s="30" customFormat="1" ht="39.75" customHeight="1" thickBot="1" thickTop="1">
      <c r="A46" s="1040">
        <v>40</v>
      </c>
      <c r="B46" s="420"/>
      <c r="C46" s="282"/>
      <c r="D46" s="283"/>
      <c r="E46" s="283"/>
      <c r="F46" s="284" t="s">
        <v>197</v>
      </c>
      <c r="G46" s="1245">
        <f>+G45-'2.Onki'!G33</f>
        <v>6257189</v>
      </c>
      <c r="H46" s="1245">
        <f>+H45-'2.Onki'!H33</f>
        <v>-8870872</v>
      </c>
      <c r="I46" s="1245">
        <f>+I45-'2.Onki'!I33</f>
        <v>-13553930</v>
      </c>
      <c r="J46" s="1246">
        <f>+J45-'2.Onki'!J33</f>
        <v>-14073403</v>
      </c>
    </row>
    <row r="47" spans="1:10" s="30" customFormat="1" ht="36" customHeight="1">
      <c r="A47" s="1038">
        <v>41</v>
      </c>
      <c r="B47" s="27"/>
      <c r="C47" s="256"/>
      <c r="D47" s="257"/>
      <c r="E47" s="257">
        <v>14</v>
      </c>
      <c r="F47" s="205" t="s">
        <v>198</v>
      </c>
      <c r="G47" s="443">
        <f>SUM(G49,G58)+G48</f>
        <v>7032676</v>
      </c>
      <c r="H47" s="443">
        <f>SUM(H49,H58)+H48</f>
        <v>9080507</v>
      </c>
      <c r="I47" s="443">
        <f>SUM(I49,I58)+I48</f>
        <v>13907357</v>
      </c>
      <c r="J47" s="444">
        <f>SUM(J49,J58)+J48</f>
        <v>14293174</v>
      </c>
    </row>
    <row r="48" spans="1:10" s="30" customFormat="1" ht="36" customHeight="1">
      <c r="A48" s="1040">
        <v>42</v>
      </c>
      <c r="B48" s="27"/>
      <c r="C48" s="256"/>
      <c r="D48" s="257">
        <v>1</v>
      </c>
      <c r="E48" s="257"/>
      <c r="F48" s="205" t="s">
        <v>265</v>
      </c>
      <c r="G48" s="443">
        <v>107506</v>
      </c>
      <c r="H48" s="443"/>
      <c r="I48" s="443">
        <v>143792</v>
      </c>
      <c r="J48" s="444"/>
    </row>
    <row r="49" spans="1:10" s="30" customFormat="1" ht="33" customHeight="1">
      <c r="A49" s="1038">
        <v>43</v>
      </c>
      <c r="B49" s="421"/>
      <c r="C49" s="276"/>
      <c r="D49" s="277"/>
      <c r="E49" s="277"/>
      <c r="F49" s="285" t="s">
        <v>301</v>
      </c>
      <c r="G49" s="70">
        <f>SUM(G50,G54)</f>
        <v>6873658</v>
      </c>
      <c r="H49" s="70">
        <f>SUM(H50,H54)</f>
        <v>8404019</v>
      </c>
      <c r="I49" s="70">
        <f>SUM(I50,I54)</f>
        <v>13087077</v>
      </c>
      <c r="J49" s="321">
        <f>SUM(J50,J54)</f>
        <v>12883374</v>
      </c>
    </row>
    <row r="50" spans="1:10" s="150" customFormat="1" ht="24" customHeight="1">
      <c r="A50" s="1040">
        <v>44</v>
      </c>
      <c r="B50" s="123"/>
      <c r="C50" s="193"/>
      <c r="D50" s="147">
        <v>1</v>
      </c>
      <c r="E50" s="147"/>
      <c r="F50" s="194" t="s">
        <v>263</v>
      </c>
      <c r="G50" s="69">
        <f>SUM(G51:G53)</f>
        <v>1957723</v>
      </c>
      <c r="H50" s="69">
        <f>SUM(H51:H53)</f>
        <v>1315949</v>
      </c>
      <c r="I50" s="69">
        <f>SUM(I51:I53)</f>
        <v>2879946</v>
      </c>
      <c r="J50" s="319">
        <f>SUM(J51:J53)</f>
        <v>1081085</v>
      </c>
    </row>
    <row r="51" spans="1:10" ht="16.5">
      <c r="A51" s="1038">
        <v>45</v>
      </c>
      <c r="B51" s="415" t="s">
        <v>426</v>
      </c>
      <c r="C51" s="147"/>
      <c r="D51" s="147"/>
      <c r="E51" s="147"/>
      <c r="F51" s="68" t="s">
        <v>199</v>
      </c>
      <c r="G51" s="2">
        <v>612577</v>
      </c>
      <c r="H51" s="2">
        <v>137936</v>
      </c>
      <c r="I51" s="2">
        <v>573305</v>
      </c>
      <c r="J51" s="320">
        <f>29539+9983-8221</f>
        <v>31301</v>
      </c>
    </row>
    <row r="52" spans="1:10" ht="16.5">
      <c r="A52" s="1040">
        <v>46</v>
      </c>
      <c r="B52" s="123">
        <v>17</v>
      </c>
      <c r="C52" s="147"/>
      <c r="D52" s="147"/>
      <c r="E52" s="147"/>
      <c r="F52" s="68" t="s">
        <v>200</v>
      </c>
      <c r="G52" s="2">
        <v>251672</v>
      </c>
      <c r="H52" s="2">
        <v>14861</v>
      </c>
      <c r="I52" s="2">
        <v>294771</v>
      </c>
      <c r="J52" s="320">
        <v>75474</v>
      </c>
    </row>
    <row r="53" spans="1:10" ht="16.5">
      <c r="A53" s="1038">
        <v>47</v>
      </c>
      <c r="B53" s="123">
        <v>18</v>
      </c>
      <c r="C53" s="147"/>
      <c r="D53" s="147"/>
      <c r="E53" s="147"/>
      <c r="F53" s="68" t="s">
        <v>127</v>
      </c>
      <c r="G53" s="2">
        <v>1093474</v>
      </c>
      <c r="H53" s="2">
        <v>1163152</v>
      </c>
      <c r="I53" s="2">
        <v>2011870</v>
      </c>
      <c r="J53" s="320">
        <v>974310</v>
      </c>
    </row>
    <row r="54" spans="1:10" s="150" customFormat="1" ht="24" customHeight="1">
      <c r="A54" s="1040">
        <v>48</v>
      </c>
      <c r="B54" s="123"/>
      <c r="C54" s="193"/>
      <c r="D54" s="147">
        <v>2</v>
      </c>
      <c r="E54" s="147"/>
      <c r="F54" s="194" t="s">
        <v>262</v>
      </c>
      <c r="G54" s="69">
        <f>SUM(G55:G57)</f>
        <v>4915935</v>
      </c>
      <c r="H54" s="69">
        <f>H55+H57</f>
        <v>7088070</v>
      </c>
      <c r="I54" s="69">
        <f>SUM(I55:I57)</f>
        <v>10207131</v>
      </c>
      <c r="J54" s="319">
        <f>SUM(J55:J57)</f>
        <v>11802289</v>
      </c>
    </row>
    <row r="55" spans="1:10" s="266" customFormat="1" ht="17.25">
      <c r="A55" s="1038">
        <v>49</v>
      </c>
      <c r="B55" s="416" t="s">
        <v>426</v>
      </c>
      <c r="C55" s="147"/>
      <c r="D55" s="147"/>
      <c r="E55" s="147"/>
      <c r="F55" s="286" t="s">
        <v>199</v>
      </c>
      <c r="G55" s="2">
        <v>48512</v>
      </c>
      <c r="H55" s="2">
        <v>58070</v>
      </c>
      <c r="I55" s="2">
        <v>127144</v>
      </c>
      <c r="J55" s="320">
        <f>2400+2000+8221</f>
        <v>12621</v>
      </c>
    </row>
    <row r="56" spans="1:10" s="266" customFormat="1" ht="17.25">
      <c r="A56" s="1040">
        <v>50</v>
      </c>
      <c r="B56" s="416" t="s">
        <v>323</v>
      </c>
      <c r="C56" s="147"/>
      <c r="D56" s="147"/>
      <c r="E56" s="147"/>
      <c r="F56" s="68" t="s">
        <v>200</v>
      </c>
      <c r="G56" s="2">
        <v>16696</v>
      </c>
      <c r="H56" s="2"/>
      <c r="I56" s="2">
        <v>24251</v>
      </c>
      <c r="J56" s="320">
        <f>16985</f>
        <v>16985</v>
      </c>
    </row>
    <row r="57" spans="1:10" s="266" customFormat="1" ht="17.25">
      <c r="A57" s="1038">
        <v>51</v>
      </c>
      <c r="B57" s="123">
        <v>18</v>
      </c>
      <c r="C57" s="147"/>
      <c r="D57" s="147"/>
      <c r="E57" s="147"/>
      <c r="F57" s="286" t="s">
        <v>416</v>
      </c>
      <c r="G57" s="2">
        <v>4850727</v>
      </c>
      <c r="H57" s="2">
        <v>7030000</v>
      </c>
      <c r="I57" s="2">
        <v>10055736</v>
      </c>
      <c r="J57" s="320">
        <v>11772683</v>
      </c>
    </row>
    <row r="58" spans="1:10" s="30" customFormat="1" ht="30" customHeight="1">
      <c r="A58" s="1040">
        <v>52</v>
      </c>
      <c r="B58" s="421"/>
      <c r="C58" s="276"/>
      <c r="D58" s="277"/>
      <c r="E58" s="277"/>
      <c r="F58" s="285" t="s">
        <v>302</v>
      </c>
      <c r="G58" s="70">
        <f>SUM(G59:G61)</f>
        <v>51512</v>
      </c>
      <c r="H58" s="70">
        <f>SUM(H59:H61)</f>
        <v>676488</v>
      </c>
      <c r="I58" s="70">
        <f>SUM(I59:I61)</f>
        <v>676488</v>
      </c>
      <c r="J58" s="321">
        <f>SUM(J59:J61)</f>
        <v>1409800</v>
      </c>
    </row>
    <row r="59" spans="1:10" s="150" customFormat="1" ht="24" customHeight="1">
      <c r="A59" s="1038">
        <v>53</v>
      </c>
      <c r="B59" s="123">
        <v>18</v>
      </c>
      <c r="C59" s="193"/>
      <c r="D59" s="147">
        <v>2</v>
      </c>
      <c r="E59" s="147"/>
      <c r="F59" s="194" t="s">
        <v>201</v>
      </c>
      <c r="G59" s="69"/>
      <c r="H59" s="69"/>
      <c r="I59" s="69"/>
      <c r="J59" s="319"/>
    </row>
    <row r="60" spans="1:10" ht="16.5">
      <c r="A60" s="1040">
        <v>54</v>
      </c>
      <c r="B60" s="123"/>
      <c r="C60" s="147"/>
      <c r="D60" s="147"/>
      <c r="E60" s="147"/>
      <c r="F60" s="68" t="s">
        <v>201</v>
      </c>
      <c r="G60" s="2"/>
      <c r="H60" s="2">
        <v>629000</v>
      </c>
      <c r="I60" s="2">
        <v>629000</v>
      </c>
      <c r="J60" s="320">
        <v>780800</v>
      </c>
    </row>
    <row r="61" spans="1:10" ht="16.5">
      <c r="A61" s="1038">
        <v>55</v>
      </c>
      <c r="B61" s="123"/>
      <c r="C61" s="147"/>
      <c r="D61" s="147"/>
      <c r="E61" s="147"/>
      <c r="F61" s="287" t="s">
        <v>202</v>
      </c>
      <c r="G61" s="71">
        <v>51512</v>
      </c>
      <c r="H61" s="71">
        <v>47488</v>
      </c>
      <c r="I61" s="71">
        <v>47488</v>
      </c>
      <c r="J61" s="320">
        <v>629000</v>
      </c>
    </row>
    <row r="62" spans="1:10" s="30" customFormat="1" ht="36" customHeight="1" thickBot="1">
      <c r="A62" s="1040">
        <v>56</v>
      </c>
      <c r="B62" s="422"/>
      <c r="C62" s="288"/>
      <c r="D62" s="289"/>
      <c r="E62" s="289"/>
      <c r="F62" s="290" t="s">
        <v>203</v>
      </c>
      <c r="G62" s="445">
        <f>SUM(G45,G47)</f>
        <v>33868500</v>
      </c>
      <c r="H62" s="445">
        <f>SUM(H45,H47)</f>
        <v>27706184</v>
      </c>
      <c r="I62" s="445">
        <f>SUM(I45,I47)</f>
        <v>39174083</v>
      </c>
      <c r="J62" s="446">
        <f>SUM(J45,J47)</f>
        <v>37772045</v>
      </c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 -</oddFooter>
  </headerFooter>
  <rowBreaks count="1" manualBreakCount="1">
    <brk id="4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3"/>
  <sheetViews>
    <sheetView view="pageBreakPreview" zoomScaleSheetLayoutView="100" zoomScalePageLayoutView="0" workbookViewId="0" topLeftCell="A1">
      <pane ySplit="8" topLeftCell="A57" activePane="bottomLeft" state="frozen"/>
      <selection pane="topLeft" activeCell="I6" sqref="I6"/>
      <selection pane="bottomLeft" activeCell="B1" sqref="B1:D1"/>
    </sheetView>
  </sheetViews>
  <sheetFormatPr defaultColWidth="9.125" defaultRowHeight="12.75"/>
  <cols>
    <col min="1" max="1" width="3.75390625" style="824" customWidth="1"/>
    <col min="2" max="2" width="5.75390625" style="812" customWidth="1"/>
    <col min="3" max="3" width="5.75390625" style="813" customWidth="1"/>
    <col min="4" max="4" width="59.75390625" style="814" customWidth="1"/>
    <col min="5" max="7" width="10.75390625" style="810" customWidth="1"/>
    <col min="8" max="8" width="6.75390625" style="815" customWidth="1"/>
    <col min="9" max="11" width="14.875" style="810" customWidth="1"/>
    <col min="12" max="12" width="15.75390625" style="810" customWidth="1"/>
    <col min="13" max="13" width="13.75390625" style="822" customWidth="1"/>
    <col min="14" max="16384" width="9.125" style="811" customWidth="1"/>
  </cols>
  <sheetData>
    <row r="1" spans="1:251" s="461" customFormat="1" ht="18" customHeight="1">
      <c r="A1" s="823"/>
      <c r="B1" s="1669" t="s">
        <v>1012</v>
      </c>
      <c r="C1" s="1669"/>
      <c r="D1" s="1669"/>
      <c r="E1" s="714"/>
      <c r="F1" s="714"/>
      <c r="G1" s="714"/>
      <c r="H1" s="713"/>
      <c r="I1" s="1673"/>
      <c r="J1" s="1673"/>
      <c r="K1" s="1673"/>
      <c r="L1" s="1673"/>
      <c r="M1" s="1673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5"/>
      <c r="BC1" s="715"/>
      <c r="BD1" s="715"/>
      <c r="BE1" s="715"/>
      <c r="BF1" s="715"/>
      <c r="BG1" s="715"/>
      <c r="BH1" s="715"/>
      <c r="BI1" s="715"/>
      <c r="BJ1" s="715"/>
      <c r="BK1" s="715"/>
      <c r="BL1" s="715"/>
      <c r="BM1" s="715"/>
      <c r="BN1" s="715"/>
      <c r="BO1" s="715"/>
      <c r="BP1" s="715"/>
      <c r="BQ1" s="715"/>
      <c r="BR1" s="715"/>
      <c r="BS1" s="715"/>
      <c r="BT1" s="715"/>
      <c r="BU1" s="715"/>
      <c r="BV1" s="715"/>
      <c r="BW1" s="715"/>
      <c r="BX1" s="715"/>
      <c r="BY1" s="715"/>
      <c r="BZ1" s="715"/>
      <c r="CA1" s="715"/>
      <c r="CB1" s="715"/>
      <c r="CC1" s="715"/>
      <c r="CD1" s="715"/>
      <c r="CE1" s="715"/>
      <c r="CF1" s="715"/>
      <c r="CG1" s="715"/>
      <c r="CH1" s="715"/>
      <c r="CI1" s="715"/>
      <c r="CJ1" s="715"/>
      <c r="CK1" s="715"/>
      <c r="CL1" s="715"/>
      <c r="CM1" s="715"/>
      <c r="CN1" s="715"/>
      <c r="CO1" s="715"/>
      <c r="CP1" s="715"/>
      <c r="CQ1" s="715"/>
      <c r="CR1" s="715"/>
      <c r="CS1" s="715"/>
      <c r="CT1" s="715"/>
      <c r="CU1" s="715"/>
      <c r="CV1" s="715"/>
      <c r="CW1" s="715"/>
      <c r="CX1" s="715"/>
      <c r="CY1" s="715"/>
      <c r="CZ1" s="715"/>
      <c r="DA1" s="715"/>
      <c r="DB1" s="715"/>
      <c r="DC1" s="715"/>
      <c r="DD1" s="715"/>
      <c r="DE1" s="715"/>
      <c r="DF1" s="715"/>
      <c r="DG1" s="715"/>
      <c r="DH1" s="715"/>
      <c r="DI1" s="715"/>
      <c r="DJ1" s="715"/>
      <c r="DK1" s="715"/>
      <c r="DL1" s="715"/>
      <c r="DM1" s="715"/>
      <c r="DN1" s="715"/>
      <c r="DO1" s="715"/>
      <c r="DP1" s="715"/>
      <c r="DQ1" s="715"/>
      <c r="DR1" s="715"/>
      <c r="DS1" s="715"/>
      <c r="DT1" s="715"/>
      <c r="DU1" s="715"/>
      <c r="DV1" s="715"/>
      <c r="DW1" s="715"/>
      <c r="DX1" s="715"/>
      <c r="DY1" s="715"/>
      <c r="DZ1" s="715"/>
      <c r="EA1" s="715"/>
      <c r="EB1" s="715"/>
      <c r="EC1" s="715"/>
      <c r="ED1" s="715"/>
      <c r="EE1" s="715"/>
      <c r="EF1" s="715"/>
      <c r="EG1" s="715"/>
      <c r="EH1" s="715"/>
      <c r="EI1" s="715"/>
      <c r="EJ1" s="715"/>
      <c r="EK1" s="715"/>
      <c r="EL1" s="715"/>
      <c r="EM1" s="715"/>
      <c r="EN1" s="715"/>
      <c r="EO1" s="715"/>
      <c r="EP1" s="715"/>
      <c r="EQ1" s="715"/>
      <c r="ER1" s="715"/>
      <c r="ES1" s="715"/>
      <c r="ET1" s="715"/>
      <c r="EU1" s="715"/>
      <c r="EV1" s="715"/>
      <c r="EW1" s="715"/>
      <c r="EX1" s="715"/>
      <c r="EY1" s="715"/>
      <c r="EZ1" s="715"/>
      <c r="FA1" s="715"/>
      <c r="FB1" s="715"/>
      <c r="FC1" s="715"/>
      <c r="FD1" s="715"/>
      <c r="FE1" s="715"/>
      <c r="FF1" s="715"/>
      <c r="FG1" s="715"/>
      <c r="FH1" s="715"/>
      <c r="FI1" s="715"/>
      <c r="FJ1" s="715"/>
      <c r="FK1" s="715"/>
      <c r="FL1" s="715"/>
      <c r="FM1" s="715"/>
      <c r="FN1" s="715"/>
      <c r="FO1" s="715"/>
      <c r="FP1" s="715"/>
      <c r="FQ1" s="715"/>
      <c r="FR1" s="715"/>
      <c r="FS1" s="715"/>
      <c r="FT1" s="715"/>
      <c r="FU1" s="715"/>
      <c r="FV1" s="715"/>
      <c r="FW1" s="715"/>
      <c r="FX1" s="715"/>
      <c r="FY1" s="715"/>
      <c r="FZ1" s="715"/>
      <c r="GA1" s="715"/>
      <c r="GB1" s="715"/>
      <c r="GC1" s="715"/>
      <c r="GD1" s="715"/>
      <c r="GE1" s="715"/>
      <c r="GF1" s="715"/>
      <c r="GG1" s="715"/>
      <c r="GH1" s="715"/>
      <c r="GI1" s="715"/>
      <c r="GJ1" s="715"/>
      <c r="GK1" s="715"/>
      <c r="GL1" s="715"/>
      <c r="GM1" s="715"/>
      <c r="GN1" s="715"/>
      <c r="GO1" s="715"/>
      <c r="GP1" s="715"/>
      <c r="GQ1" s="715"/>
      <c r="GR1" s="715"/>
      <c r="GS1" s="715"/>
      <c r="GT1" s="715"/>
      <c r="GU1" s="715"/>
      <c r="GV1" s="715"/>
      <c r="GW1" s="715"/>
      <c r="GX1" s="715"/>
      <c r="GY1" s="715"/>
      <c r="GZ1" s="715"/>
      <c r="HA1" s="715"/>
      <c r="HB1" s="715"/>
      <c r="HC1" s="715"/>
      <c r="HD1" s="715"/>
      <c r="HE1" s="715"/>
      <c r="HF1" s="715"/>
      <c r="HG1" s="715"/>
      <c r="HH1" s="715"/>
      <c r="HI1" s="715"/>
      <c r="HJ1" s="715"/>
      <c r="HK1" s="715"/>
      <c r="HL1" s="715"/>
      <c r="HM1" s="715"/>
      <c r="HN1" s="715"/>
      <c r="HO1" s="715"/>
      <c r="HP1" s="715"/>
      <c r="HQ1" s="715"/>
      <c r="HR1" s="715"/>
      <c r="HS1" s="715"/>
      <c r="HT1" s="715"/>
      <c r="HU1" s="715"/>
      <c r="HV1" s="715"/>
      <c r="HW1" s="715"/>
      <c r="HX1" s="715"/>
      <c r="HY1" s="715"/>
      <c r="HZ1" s="715"/>
      <c r="IA1" s="715"/>
      <c r="IB1" s="715"/>
      <c r="IC1" s="715"/>
      <c r="ID1" s="715"/>
      <c r="IE1" s="715"/>
      <c r="IF1" s="715"/>
      <c r="IG1" s="715"/>
      <c r="IH1" s="715"/>
      <c r="II1" s="715"/>
      <c r="IJ1" s="715"/>
      <c r="IK1" s="715"/>
      <c r="IL1" s="715"/>
      <c r="IM1" s="715"/>
      <c r="IN1" s="715"/>
      <c r="IO1" s="715"/>
      <c r="IP1" s="715"/>
      <c r="IQ1" s="715"/>
    </row>
    <row r="2" spans="1:13" s="461" customFormat="1" ht="18" customHeight="1">
      <c r="A2" s="824"/>
      <c r="B2" s="1674" t="s">
        <v>14</v>
      </c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</row>
    <row r="3" spans="1:13" s="461" customFormat="1" ht="18" customHeight="1">
      <c r="A3" s="824"/>
      <c r="B3" s="1675" t="s">
        <v>683</v>
      </c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</row>
    <row r="4" ht="18" customHeight="1">
      <c r="M4" s="816" t="s">
        <v>0</v>
      </c>
    </row>
    <row r="5" spans="1:251" s="135" customFormat="1" ht="18" customHeight="1" thickBot="1">
      <c r="A5" s="824"/>
      <c r="B5" s="849" t="s">
        <v>1</v>
      </c>
      <c r="C5" s="850" t="s">
        <v>3</v>
      </c>
      <c r="D5" s="850" t="s">
        <v>2</v>
      </c>
      <c r="E5" s="850" t="s">
        <v>4</v>
      </c>
      <c r="F5" s="850" t="s">
        <v>5</v>
      </c>
      <c r="G5" s="850" t="s">
        <v>15</v>
      </c>
      <c r="H5" s="850" t="s">
        <v>16</v>
      </c>
      <c r="I5" s="850" t="s">
        <v>17</v>
      </c>
      <c r="J5" s="850" t="s">
        <v>36</v>
      </c>
      <c r="K5" s="850" t="s">
        <v>30</v>
      </c>
      <c r="L5" s="850" t="s">
        <v>23</v>
      </c>
      <c r="M5" s="850" t="s">
        <v>37</v>
      </c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  <c r="BC5" s="824"/>
      <c r="BD5" s="824"/>
      <c r="BE5" s="824"/>
      <c r="BF5" s="824"/>
      <c r="BG5" s="824"/>
      <c r="BH5" s="824"/>
      <c r="BI5" s="824"/>
      <c r="BJ5" s="824"/>
      <c r="BK5" s="824"/>
      <c r="BL5" s="824"/>
      <c r="BM5" s="824"/>
      <c r="BN5" s="824"/>
      <c r="BO5" s="824"/>
      <c r="BP5" s="824"/>
      <c r="BQ5" s="824"/>
      <c r="BR5" s="824"/>
      <c r="BS5" s="824"/>
      <c r="BT5" s="824"/>
      <c r="BU5" s="824"/>
      <c r="BV5" s="824"/>
      <c r="BW5" s="824"/>
      <c r="BX5" s="824"/>
      <c r="BY5" s="824"/>
      <c r="BZ5" s="824"/>
      <c r="CA5" s="824"/>
      <c r="CB5" s="824"/>
      <c r="CC5" s="824"/>
      <c r="CD5" s="824"/>
      <c r="CE5" s="824"/>
      <c r="CF5" s="824"/>
      <c r="CG5" s="824"/>
      <c r="CH5" s="824"/>
      <c r="CI5" s="824"/>
      <c r="CJ5" s="824"/>
      <c r="CK5" s="824"/>
      <c r="CL5" s="824"/>
      <c r="CM5" s="824"/>
      <c r="CN5" s="824"/>
      <c r="CO5" s="824"/>
      <c r="CP5" s="824"/>
      <c r="CQ5" s="824"/>
      <c r="CR5" s="824"/>
      <c r="CS5" s="824"/>
      <c r="CT5" s="824"/>
      <c r="CU5" s="824"/>
      <c r="CV5" s="824"/>
      <c r="CW5" s="824"/>
      <c r="CX5" s="824"/>
      <c r="CY5" s="824"/>
      <c r="CZ5" s="824"/>
      <c r="DA5" s="824"/>
      <c r="DB5" s="824"/>
      <c r="DC5" s="824"/>
      <c r="DD5" s="824"/>
      <c r="DE5" s="824"/>
      <c r="DF5" s="824"/>
      <c r="DG5" s="824"/>
      <c r="DH5" s="824"/>
      <c r="DI5" s="824"/>
      <c r="DJ5" s="824"/>
      <c r="DK5" s="824"/>
      <c r="DL5" s="824"/>
      <c r="DM5" s="824"/>
      <c r="DN5" s="824"/>
      <c r="DO5" s="824"/>
      <c r="DP5" s="824"/>
      <c r="DQ5" s="824"/>
      <c r="DR5" s="824"/>
      <c r="DS5" s="824"/>
      <c r="DT5" s="824"/>
      <c r="DU5" s="824"/>
      <c r="DV5" s="824"/>
      <c r="DW5" s="824"/>
      <c r="DX5" s="824"/>
      <c r="DY5" s="824"/>
      <c r="DZ5" s="824"/>
      <c r="EA5" s="824"/>
      <c r="EB5" s="824"/>
      <c r="EC5" s="824"/>
      <c r="ED5" s="824"/>
      <c r="EE5" s="824"/>
      <c r="EF5" s="824"/>
      <c r="EG5" s="824"/>
      <c r="EH5" s="824"/>
      <c r="EI5" s="824"/>
      <c r="EJ5" s="824"/>
      <c r="EK5" s="824"/>
      <c r="EL5" s="824"/>
      <c r="EM5" s="824"/>
      <c r="EN5" s="824"/>
      <c r="EO5" s="824"/>
      <c r="EP5" s="824"/>
      <c r="EQ5" s="824"/>
      <c r="ER5" s="824"/>
      <c r="ES5" s="824"/>
      <c r="ET5" s="824"/>
      <c r="EU5" s="824"/>
      <c r="EV5" s="824"/>
      <c r="EW5" s="824"/>
      <c r="EX5" s="824"/>
      <c r="EY5" s="824"/>
      <c r="EZ5" s="824"/>
      <c r="FA5" s="824"/>
      <c r="FB5" s="824"/>
      <c r="FC5" s="824"/>
      <c r="FD5" s="824"/>
      <c r="FE5" s="824"/>
      <c r="FF5" s="824"/>
      <c r="FG5" s="824"/>
      <c r="FH5" s="824"/>
      <c r="FI5" s="824"/>
      <c r="FJ5" s="824"/>
      <c r="FK5" s="824"/>
      <c r="FL5" s="824"/>
      <c r="FM5" s="824"/>
      <c r="FN5" s="824"/>
      <c r="FO5" s="824"/>
      <c r="FP5" s="824"/>
      <c r="FQ5" s="824"/>
      <c r="FR5" s="824"/>
      <c r="FS5" s="824"/>
      <c r="FT5" s="824"/>
      <c r="FU5" s="824"/>
      <c r="FV5" s="824"/>
      <c r="FW5" s="824"/>
      <c r="FX5" s="824"/>
      <c r="FY5" s="824"/>
      <c r="FZ5" s="824"/>
      <c r="GA5" s="824"/>
      <c r="GB5" s="824"/>
      <c r="GC5" s="824"/>
      <c r="GD5" s="824"/>
      <c r="GE5" s="824"/>
      <c r="GF5" s="824"/>
      <c r="GG5" s="824"/>
      <c r="GH5" s="824"/>
      <c r="GI5" s="824"/>
      <c r="GJ5" s="824"/>
      <c r="GK5" s="824"/>
      <c r="GL5" s="824"/>
      <c r="GM5" s="824"/>
      <c r="GN5" s="824"/>
      <c r="GO5" s="824"/>
      <c r="GP5" s="824"/>
      <c r="GQ5" s="824"/>
      <c r="GR5" s="824"/>
      <c r="GS5" s="824"/>
      <c r="GT5" s="824"/>
      <c r="GU5" s="824"/>
      <c r="GV5" s="824"/>
      <c r="GW5" s="824"/>
      <c r="GX5" s="824"/>
      <c r="GY5" s="824"/>
      <c r="GZ5" s="824"/>
      <c r="HA5" s="824"/>
      <c r="HB5" s="824"/>
      <c r="HC5" s="824"/>
      <c r="HD5" s="824"/>
      <c r="HE5" s="824"/>
      <c r="HF5" s="824"/>
      <c r="HG5" s="824"/>
      <c r="HH5" s="824"/>
      <c r="HI5" s="824"/>
      <c r="HJ5" s="824"/>
      <c r="HK5" s="824"/>
      <c r="HL5" s="824"/>
      <c r="HM5" s="824"/>
      <c r="HN5" s="824"/>
      <c r="HO5" s="824"/>
      <c r="HP5" s="824"/>
      <c r="HQ5" s="824"/>
      <c r="HR5" s="824"/>
      <c r="HS5" s="824"/>
      <c r="HT5" s="824"/>
      <c r="HU5" s="824"/>
      <c r="HV5" s="824"/>
      <c r="HW5" s="824"/>
      <c r="HX5" s="824"/>
      <c r="HY5" s="824"/>
      <c r="HZ5" s="824"/>
      <c r="IA5" s="824"/>
      <c r="IB5" s="824"/>
      <c r="IC5" s="824"/>
      <c r="ID5" s="824"/>
      <c r="IE5" s="824"/>
      <c r="IF5" s="824"/>
      <c r="IG5" s="824"/>
      <c r="IH5" s="824"/>
      <c r="II5" s="824"/>
      <c r="IJ5" s="824"/>
      <c r="IK5" s="824"/>
      <c r="IL5" s="824"/>
      <c r="IM5" s="824"/>
      <c r="IN5" s="824"/>
      <c r="IO5" s="824"/>
      <c r="IP5" s="824"/>
      <c r="IQ5" s="824"/>
    </row>
    <row r="6" spans="2:13" ht="30" customHeight="1">
      <c r="B6" s="1682" t="s">
        <v>18</v>
      </c>
      <c r="C6" s="1685" t="s">
        <v>19</v>
      </c>
      <c r="D6" s="1688" t="s">
        <v>6</v>
      </c>
      <c r="E6" s="1666" t="s">
        <v>21</v>
      </c>
      <c r="F6" s="1666" t="s">
        <v>655</v>
      </c>
      <c r="G6" s="1663" t="s">
        <v>893</v>
      </c>
      <c r="H6" s="1694" t="s">
        <v>303</v>
      </c>
      <c r="I6" s="1676" t="s">
        <v>645</v>
      </c>
      <c r="J6" s="1677"/>
      <c r="K6" s="1677"/>
      <c r="L6" s="1678"/>
      <c r="M6" s="1679" t="s">
        <v>656</v>
      </c>
    </row>
    <row r="7" spans="2:13" ht="45.75" customHeight="1">
      <c r="B7" s="1683"/>
      <c r="C7" s="1686"/>
      <c r="D7" s="1689"/>
      <c r="E7" s="1667"/>
      <c r="F7" s="1667"/>
      <c r="G7" s="1664"/>
      <c r="H7" s="1695"/>
      <c r="I7" s="815" t="s">
        <v>39</v>
      </c>
      <c r="J7" s="1691" t="s">
        <v>163</v>
      </c>
      <c r="K7" s="1691"/>
      <c r="L7" s="1692" t="s">
        <v>129</v>
      </c>
      <c r="M7" s="1680"/>
    </row>
    <row r="8" spans="2:13" ht="53.25" customHeight="1" thickBot="1">
      <c r="B8" s="1684"/>
      <c r="C8" s="1687"/>
      <c r="D8" s="1690"/>
      <c r="E8" s="1668"/>
      <c r="F8" s="1668"/>
      <c r="G8" s="1665"/>
      <c r="H8" s="1696"/>
      <c r="I8" s="1110" t="s">
        <v>42</v>
      </c>
      <c r="J8" s="851" t="s">
        <v>231</v>
      </c>
      <c r="K8" s="851" t="s">
        <v>164</v>
      </c>
      <c r="L8" s="1693"/>
      <c r="M8" s="1681"/>
    </row>
    <row r="9" spans="1:13" ht="23.25" customHeight="1">
      <c r="A9" s="825">
        <v>1</v>
      </c>
      <c r="B9" s="1109">
        <v>18</v>
      </c>
      <c r="C9" s="1101" t="s">
        <v>31</v>
      </c>
      <c r="D9" s="836"/>
      <c r="E9" s="817"/>
      <c r="F9" s="837"/>
      <c r="G9" s="818"/>
      <c r="H9" s="1159"/>
      <c r="I9" s="1111"/>
      <c r="J9" s="852"/>
      <c r="K9" s="852"/>
      <c r="L9" s="853"/>
      <c r="M9" s="838"/>
    </row>
    <row r="10" spans="1:13" ht="37.5" customHeight="1">
      <c r="A10" s="825">
        <v>2</v>
      </c>
      <c r="B10" s="839"/>
      <c r="C10" s="846">
        <v>1</v>
      </c>
      <c r="D10" s="467" t="s">
        <v>774</v>
      </c>
      <c r="E10" s="842">
        <f>F10+G10+L10+M10</f>
        <v>10206</v>
      </c>
      <c r="F10" s="843"/>
      <c r="G10" s="844">
        <v>5652</v>
      </c>
      <c r="H10" s="1160" t="s">
        <v>24</v>
      </c>
      <c r="I10" s="1112"/>
      <c r="J10" s="854">
        <v>4554</v>
      </c>
      <c r="K10" s="854"/>
      <c r="L10" s="855">
        <f aca="true" t="shared" si="0" ref="L10:L57">SUM(I10:K10)</f>
        <v>4554</v>
      </c>
      <c r="M10" s="845"/>
    </row>
    <row r="11" spans="1:13" ht="22.5" customHeight="1">
      <c r="A11" s="825">
        <v>3</v>
      </c>
      <c r="B11" s="839"/>
      <c r="C11" s="840">
        <v>2</v>
      </c>
      <c r="D11" s="466" t="s">
        <v>775</v>
      </c>
      <c r="E11" s="842">
        <f aca="true" t="shared" si="1" ref="E11:E57">F11+G11+L11+M11</f>
        <v>218705</v>
      </c>
      <c r="F11" s="843">
        <f>83462</f>
        <v>83462</v>
      </c>
      <c r="G11" s="844">
        <f>134105</f>
        <v>134105</v>
      </c>
      <c r="H11" s="1160" t="s">
        <v>24</v>
      </c>
      <c r="I11" s="1112">
        <v>500</v>
      </c>
      <c r="J11" s="854">
        <v>638</v>
      </c>
      <c r="K11" s="854"/>
      <c r="L11" s="855">
        <f t="shared" si="0"/>
        <v>1138</v>
      </c>
      <c r="M11" s="845"/>
    </row>
    <row r="12" spans="1:13" ht="37.5" customHeight="1">
      <c r="A12" s="825">
        <v>4</v>
      </c>
      <c r="B12" s="839"/>
      <c r="C12" s="846">
        <v>3</v>
      </c>
      <c r="D12" s="467" t="s">
        <v>776</v>
      </c>
      <c r="E12" s="842">
        <f t="shared" si="1"/>
        <v>74702</v>
      </c>
      <c r="F12" s="842">
        <v>18391</v>
      </c>
      <c r="G12" s="844">
        <f>26497+3</f>
        <v>26500</v>
      </c>
      <c r="H12" s="1160" t="s">
        <v>24</v>
      </c>
      <c r="I12" s="1113">
        <v>327</v>
      </c>
      <c r="J12" s="842">
        <v>29484</v>
      </c>
      <c r="K12" s="842"/>
      <c r="L12" s="856">
        <f t="shared" si="0"/>
        <v>29811</v>
      </c>
      <c r="M12" s="845"/>
    </row>
    <row r="13" spans="1:13" ht="22.5" customHeight="1">
      <c r="A13" s="825">
        <v>5</v>
      </c>
      <c r="B13" s="839"/>
      <c r="C13" s="840">
        <v>4</v>
      </c>
      <c r="D13" s="466" t="s">
        <v>777</v>
      </c>
      <c r="E13" s="842">
        <f t="shared" si="1"/>
        <v>3175</v>
      </c>
      <c r="F13" s="842"/>
      <c r="G13" s="844"/>
      <c r="H13" s="1160" t="s">
        <v>24</v>
      </c>
      <c r="I13" s="1113"/>
      <c r="J13" s="842">
        <v>3175</v>
      </c>
      <c r="K13" s="842"/>
      <c r="L13" s="856">
        <f t="shared" si="0"/>
        <v>3175</v>
      </c>
      <c r="M13" s="845"/>
    </row>
    <row r="14" spans="1:13" ht="37.5" customHeight="1">
      <c r="A14" s="825">
        <v>6</v>
      </c>
      <c r="B14" s="839"/>
      <c r="C14" s="846">
        <v>5</v>
      </c>
      <c r="D14" s="467" t="s">
        <v>778</v>
      </c>
      <c r="E14" s="842">
        <f t="shared" si="1"/>
        <v>2000</v>
      </c>
      <c r="F14" s="842"/>
      <c r="G14" s="844"/>
      <c r="H14" s="1160" t="s">
        <v>24</v>
      </c>
      <c r="I14" s="1113"/>
      <c r="J14" s="842">
        <v>2000</v>
      </c>
      <c r="K14" s="842"/>
      <c r="L14" s="856">
        <f t="shared" si="0"/>
        <v>2000</v>
      </c>
      <c r="M14" s="845"/>
    </row>
    <row r="15" spans="1:13" ht="37.5" customHeight="1">
      <c r="A15" s="825">
        <v>7</v>
      </c>
      <c r="B15" s="839"/>
      <c r="C15" s="846">
        <v>6</v>
      </c>
      <c r="D15" s="467" t="s">
        <v>779</v>
      </c>
      <c r="E15" s="842">
        <f t="shared" si="1"/>
        <v>4260</v>
      </c>
      <c r="F15" s="843"/>
      <c r="G15" s="844">
        <v>305</v>
      </c>
      <c r="H15" s="1160" t="s">
        <v>24</v>
      </c>
      <c r="I15" s="1112"/>
      <c r="J15" s="854">
        <v>3955</v>
      </c>
      <c r="K15" s="854"/>
      <c r="L15" s="855">
        <f t="shared" si="0"/>
        <v>3955</v>
      </c>
      <c r="M15" s="845"/>
    </row>
    <row r="16" spans="1:14" ht="22.5" customHeight="1">
      <c r="A16" s="825">
        <v>8</v>
      </c>
      <c r="B16" s="839"/>
      <c r="C16" s="840">
        <v>7</v>
      </c>
      <c r="D16" s="466" t="s">
        <v>780</v>
      </c>
      <c r="E16" s="842">
        <f t="shared" si="1"/>
        <v>3000</v>
      </c>
      <c r="F16" s="843"/>
      <c r="G16" s="844"/>
      <c r="H16" s="1160" t="s">
        <v>24</v>
      </c>
      <c r="I16" s="1112"/>
      <c r="J16" s="854">
        <v>3000</v>
      </c>
      <c r="K16" s="854"/>
      <c r="L16" s="855">
        <f t="shared" si="0"/>
        <v>3000</v>
      </c>
      <c r="M16" s="845"/>
      <c r="N16" s="826"/>
    </row>
    <row r="17" spans="1:13" ht="22.5" customHeight="1">
      <c r="A17" s="825">
        <v>9</v>
      </c>
      <c r="B17" s="839"/>
      <c r="C17" s="840">
        <v>8</v>
      </c>
      <c r="D17" s="466" t="s">
        <v>781</v>
      </c>
      <c r="E17" s="842">
        <f t="shared" si="1"/>
        <v>25000</v>
      </c>
      <c r="F17" s="843"/>
      <c r="G17" s="844">
        <v>12491</v>
      </c>
      <c r="H17" s="1160" t="s">
        <v>24</v>
      </c>
      <c r="I17" s="1112"/>
      <c r="J17" s="854">
        <v>12509</v>
      </c>
      <c r="K17" s="854"/>
      <c r="L17" s="855">
        <f t="shared" si="0"/>
        <v>12509</v>
      </c>
      <c r="M17" s="845"/>
    </row>
    <row r="18" spans="1:13" ht="22.5" customHeight="1">
      <c r="A18" s="825">
        <v>10</v>
      </c>
      <c r="B18" s="839"/>
      <c r="C18" s="840">
        <v>9</v>
      </c>
      <c r="D18" s="1211" t="s">
        <v>809</v>
      </c>
      <c r="E18" s="842">
        <f t="shared" si="1"/>
        <v>3520</v>
      </c>
      <c r="F18" s="843">
        <f>3210+110+100</f>
        <v>3420</v>
      </c>
      <c r="G18" s="844"/>
      <c r="H18" s="1160" t="s">
        <v>24</v>
      </c>
      <c r="I18" s="1112"/>
      <c r="J18" s="854">
        <v>100</v>
      </c>
      <c r="K18" s="854"/>
      <c r="L18" s="855">
        <f t="shared" si="0"/>
        <v>100</v>
      </c>
      <c r="M18" s="845"/>
    </row>
    <row r="19" spans="1:13" ht="22.5" customHeight="1">
      <c r="A19" s="825">
        <v>11</v>
      </c>
      <c r="B19" s="839"/>
      <c r="C19" s="840">
        <v>10</v>
      </c>
      <c r="D19" s="1211" t="s">
        <v>810</v>
      </c>
      <c r="E19" s="842">
        <f t="shared" si="1"/>
        <v>165780</v>
      </c>
      <c r="F19" s="843">
        <f>84090+35890</f>
        <v>119980</v>
      </c>
      <c r="G19" s="844">
        <v>22900</v>
      </c>
      <c r="H19" s="1160" t="s">
        <v>24</v>
      </c>
      <c r="I19" s="1112"/>
      <c r="J19" s="854">
        <v>22900</v>
      </c>
      <c r="K19" s="854"/>
      <c r="L19" s="855">
        <f t="shared" si="0"/>
        <v>22900</v>
      </c>
      <c r="M19" s="845"/>
    </row>
    <row r="20" spans="1:13" ht="22.5" customHeight="1">
      <c r="A20" s="825">
        <v>12</v>
      </c>
      <c r="B20" s="839"/>
      <c r="C20" s="840">
        <v>11</v>
      </c>
      <c r="D20" s="1211" t="s">
        <v>811</v>
      </c>
      <c r="E20" s="842">
        <f t="shared" si="1"/>
        <v>100080</v>
      </c>
      <c r="F20" s="843">
        <f>100050+10</f>
        <v>100060</v>
      </c>
      <c r="G20" s="844">
        <v>10</v>
      </c>
      <c r="H20" s="1160" t="s">
        <v>24</v>
      </c>
      <c r="I20" s="1112"/>
      <c r="J20" s="854">
        <v>10</v>
      </c>
      <c r="K20" s="854"/>
      <c r="L20" s="855">
        <f t="shared" si="0"/>
        <v>10</v>
      </c>
      <c r="M20" s="845"/>
    </row>
    <row r="21" spans="1:13" ht="22.5" customHeight="1">
      <c r="A21" s="825">
        <v>13</v>
      </c>
      <c r="B21" s="839"/>
      <c r="C21" s="840">
        <v>12</v>
      </c>
      <c r="D21" s="1211" t="s">
        <v>812</v>
      </c>
      <c r="E21" s="842">
        <f t="shared" si="1"/>
        <v>739920</v>
      </c>
      <c r="F21" s="843">
        <f>379950+119990</f>
        <v>499940</v>
      </c>
      <c r="G21" s="844">
        <v>119990</v>
      </c>
      <c r="H21" s="1160" t="s">
        <v>24</v>
      </c>
      <c r="I21" s="1112"/>
      <c r="J21" s="854">
        <v>119990</v>
      </c>
      <c r="K21" s="854"/>
      <c r="L21" s="855">
        <f t="shared" si="0"/>
        <v>119990</v>
      </c>
      <c r="M21" s="845"/>
    </row>
    <row r="22" spans="1:13" ht="22.5" customHeight="1">
      <c r="A22" s="825">
        <v>14</v>
      </c>
      <c r="B22" s="839"/>
      <c r="C22" s="840">
        <v>13</v>
      </c>
      <c r="D22" s="1211" t="s">
        <v>872</v>
      </c>
      <c r="E22" s="842">
        <f t="shared" si="1"/>
        <v>251652</v>
      </c>
      <c r="F22" s="843"/>
      <c r="G22" s="844"/>
      <c r="H22" s="1160" t="s">
        <v>24</v>
      </c>
      <c r="I22" s="1112"/>
      <c r="J22" s="854">
        <f>50326+201326</f>
        <v>251652</v>
      </c>
      <c r="K22" s="854"/>
      <c r="L22" s="855">
        <f t="shared" si="0"/>
        <v>251652</v>
      </c>
      <c r="M22" s="845"/>
    </row>
    <row r="23" spans="1:13" ht="22.5" customHeight="1">
      <c r="A23" s="825">
        <v>15</v>
      </c>
      <c r="B23" s="839"/>
      <c r="C23" s="840">
        <v>14</v>
      </c>
      <c r="D23" s="1211" t="s">
        <v>813</v>
      </c>
      <c r="E23" s="842">
        <f t="shared" si="1"/>
        <v>3600</v>
      </c>
      <c r="F23" s="843">
        <v>100</v>
      </c>
      <c r="G23" s="844">
        <v>1500</v>
      </c>
      <c r="H23" s="1160" t="s">
        <v>24</v>
      </c>
      <c r="I23" s="1112"/>
      <c r="J23" s="854">
        <v>2000</v>
      </c>
      <c r="K23" s="854"/>
      <c r="L23" s="855">
        <f t="shared" si="0"/>
        <v>2000</v>
      </c>
      <c r="M23" s="845"/>
    </row>
    <row r="24" spans="1:13" ht="22.5" customHeight="1">
      <c r="A24" s="825">
        <v>16</v>
      </c>
      <c r="B24" s="839"/>
      <c r="C24" s="840">
        <v>15</v>
      </c>
      <c r="D24" s="1211" t="s">
        <v>814</v>
      </c>
      <c r="E24" s="842">
        <f t="shared" si="1"/>
        <v>376100</v>
      </c>
      <c r="F24" s="843">
        <v>82900</v>
      </c>
      <c r="G24" s="844">
        <v>195200</v>
      </c>
      <c r="H24" s="1160" t="s">
        <v>24</v>
      </c>
      <c r="I24" s="1112"/>
      <c r="J24" s="854">
        <v>98000</v>
      </c>
      <c r="K24" s="854"/>
      <c r="L24" s="855">
        <f t="shared" si="0"/>
        <v>98000</v>
      </c>
      <c r="M24" s="845"/>
    </row>
    <row r="25" spans="1:13" ht="66.75" customHeight="1">
      <c r="A25" s="825">
        <v>17</v>
      </c>
      <c r="B25" s="839"/>
      <c r="C25" s="846">
        <v>16</v>
      </c>
      <c r="D25" s="1219" t="s">
        <v>782</v>
      </c>
      <c r="E25" s="842">
        <f t="shared" si="1"/>
        <v>45832</v>
      </c>
      <c r="F25" s="843">
        <f>11933+7351</f>
        <v>19284</v>
      </c>
      <c r="G25" s="844">
        <v>12596</v>
      </c>
      <c r="H25" s="1160" t="s">
        <v>24</v>
      </c>
      <c r="I25" s="1112"/>
      <c r="J25" s="854">
        <f>8952+5000</f>
        <v>13952</v>
      </c>
      <c r="K25" s="854"/>
      <c r="L25" s="855">
        <f t="shared" si="0"/>
        <v>13952</v>
      </c>
      <c r="M25" s="845"/>
    </row>
    <row r="26" spans="1:15" ht="22.5" customHeight="1">
      <c r="A26" s="825">
        <v>18</v>
      </c>
      <c r="B26" s="839"/>
      <c r="C26" s="840">
        <v>17</v>
      </c>
      <c r="D26" s="1211" t="s">
        <v>783</v>
      </c>
      <c r="E26" s="842">
        <f t="shared" si="1"/>
        <v>9500</v>
      </c>
      <c r="F26" s="843">
        <v>2058</v>
      </c>
      <c r="G26" s="844">
        <v>269</v>
      </c>
      <c r="H26" s="1160" t="s">
        <v>24</v>
      </c>
      <c r="I26" s="1112"/>
      <c r="J26" s="854">
        <f>5173+2000</f>
        <v>7173</v>
      </c>
      <c r="K26" s="854"/>
      <c r="L26" s="855">
        <f t="shared" si="0"/>
        <v>7173</v>
      </c>
      <c r="M26" s="845"/>
      <c r="N26" s="826"/>
      <c r="O26" s="826"/>
    </row>
    <row r="27" spans="1:15" ht="22.5" customHeight="1">
      <c r="A27" s="825">
        <v>19</v>
      </c>
      <c r="B27" s="839"/>
      <c r="C27" s="840">
        <v>18</v>
      </c>
      <c r="D27" s="1211" t="s">
        <v>784</v>
      </c>
      <c r="E27" s="842">
        <f t="shared" si="1"/>
        <v>7000</v>
      </c>
      <c r="F27" s="843">
        <f>248+251</f>
        <v>499</v>
      </c>
      <c r="G27" s="844">
        <v>1455</v>
      </c>
      <c r="H27" s="1160" t="s">
        <v>24</v>
      </c>
      <c r="I27" s="1112"/>
      <c r="J27" s="854">
        <f>3046+2000</f>
        <v>5046</v>
      </c>
      <c r="K27" s="854"/>
      <c r="L27" s="855">
        <f t="shared" si="0"/>
        <v>5046</v>
      </c>
      <c r="M27" s="845"/>
      <c r="N27" s="847"/>
      <c r="O27" s="826"/>
    </row>
    <row r="28" spans="1:15" ht="37.5" customHeight="1">
      <c r="A28" s="825">
        <v>20</v>
      </c>
      <c r="B28" s="839"/>
      <c r="C28" s="846">
        <v>19</v>
      </c>
      <c r="D28" s="467" t="s">
        <v>815</v>
      </c>
      <c r="E28" s="842">
        <f t="shared" si="1"/>
        <v>11000</v>
      </c>
      <c r="F28" s="843">
        <f>3500+2500</f>
        <v>6000</v>
      </c>
      <c r="G28" s="844">
        <v>3000</v>
      </c>
      <c r="H28" s="1160" t="s">
        <v>24</v>
      </c>
      <c r="I28" s="1112"/>
      <c r="J28" s="854">
        <v>2000</v>
      </c>
      <c r="K28" s="854"/>
      <c r="L28" s="855">
        <f t="shared" si="0"/>
        <v>2000</v>
      </c>
      <c r="M28" s="845"/>
      <c r="N28" s="847"/>
      <c r="O28" s="826"/>
    </row>
    <row r="29" spans="1:15" ht="22.5" customHeight="1">
      <c r="A29" s="825">
        <v>21</v>
      </c>
      <c r="B29" s="839"/>
      <c r="C29" s="840">
        <v>20</v>
      </c>
      <c r="D29" s="466" t="s">
        <v>785</v>
      </c>
      <c r="E29" s="842">
        <f t="shared" si="1"/>
        <v>30000</v>
      </c>
      <c r="F29" s="843"/>
      <c r="G29" s="844">
        <v>29323</v>
      </c>
      <c r="H29" s="1160" t="s">
        <v>24</v>
      </c>
      <c r="I29" s="1112"/>
      <c r="J29" s="854">
        <v>677</v>
      </c>
      <c r="K29" s="854"/>
      <c r="L29" s="855">
        <f t="shared" si="0"/>
        <v>677</v>
      </c>
      <c r="M29" s="845"/>
      <c r="N29" s="847"/>
      <c r="O29" s="826"/>
    </row>
    <row r="30" spans="1:13" ht="22.5" customHeight="1">
      <c r="A30" s="825">
        <v>22</v>
      </c>
      <c r="B30" s="839"/>
      <c r="C30" s="840">
        <v>21</v>
      </c>
      <c r="D30" s="466" t="s">
        <v>729</v>
      </c>
      <c r="E30" s="842">
        <f t="shared" si="1"/>
        <v>16400</v>
      </c>
      <c r="F30" s="843">
        <v>11091</v>
      </c>
      <c r="G30" s="844"/>
      <c r="H30" s="1160" t="s">
        <v>24</v>
      </c>
      <c r="I30" s="1112"/>
      <c r="J30" s="854">
        <v>5309</v>
      </c>
      <c r="K30" s="854"/>
      <c r="L30" s="855">
        <f t="shared" si="0"/>
        <v>5309</v>
      </c>
      <c r="M30" s="845"/>
    </row>
    <row r="31" spans="1:13" ht="37.5" customHeight="1">
      <c r="A31" s="825">
        <v>23</v>
      </c>
      <c r="B31" s="839"/>
      <c r="C31" s="846">
        <v>22</v>
      </c>
      <c r="D31" s="467" t="s">
        <v>786</v>
      </c>
      <c r="E31" s="842">
        <f t="shared" si="1"/>
        <v>19000</v>
      </c>
      <c r="F31" s="843"/>
      <c r="G31" s="844"/>
      <c r="H31" s="1160" t="s">
        <v>24</v>
      </c>
      <c r="I31" s="1112"/>
      <c r="J31" s="854">
        <v>19000</v>
      </c>
      <c r="K31" s="854"/>
      <c r="L31" s="855">
        <f t="shared" si="0"/>
        <v>19000</v>
      </c>
      <c r="M31" s="845"/>
    </row>
    <row r="32" spans="1:13" ht="22.5" customHeight="1">
      <c r="A32" s="825">
        <v>24</v>
      </c>
      <c r="B32" s="839"/>
      <c r="C32" s="840">
        <v>23</v>
      </c>
      <c r="D32" s="466" t="s">
        <v>580</v>
      </c>
      <c r="E32" s="842">
        <f t="shared" si="1"/>
        <v>39997</v>
      </c>
      <c r="F32" s="843">
        <v>8127</v>
      </c>
      <c r="G32" s="844">
        <v>11064</v>
      </c>
      <c r="H32" s="1160" t="s">
        <v>24</v>
      </c>
      <c r="I32" s="1112">
        <v>9612</v>
      </c>
      <c r="J32" s="854">
        <f>5194+6000</f>
        <v>11194</v>
      </c>
      <c r="K32" s="854"/>
      <c r="L32" s="855">
        <f t="shared" si="0"/>
        <v>20806</v>
      </c>
      <c r="M32" s="845"/>
    </row>
    <row r="33" spans="1:13" ht="22.5" customHeight="1">
      <c r="A33" s="825">
        <v>25</v>
      </c>
      <c r="B33" s="839"/>
      <c r="C33" s="840">
        <v>24</v>
      </c>
      <c r="D33" s="466" t="s">
        <v>816</v>
      </c>
      <c r="E33" s="842">
        <f t="shared" si="1"/>
        <v>7620</v>
      </c>
      <c r="F33" s="843"/>
      <c r="G33" s="844"/>
      <c r="H33" s="1160" t="s">
        <v>24</v>
      </c>
      <c r="I33" s="1112"/>
      <c r="J33" s="854">
        <v>7620</v>
      </c>
      <c r="K33" s="854"/>
      <c r="L33" s="855">
        <f t="shared" si="0"/>
        <v>7620</v>
      </c>
      <c r="M33" s="845"/>
    </row>
    <row r="34" spans="1:13" ht="37.5" customHeight="1">
      <c r="A34" s="825">
        <v>26</v>
      </c>
      <c r="B34" s="839"/>
      <c r="C34" s="846">
        <v>25</v>
      </c>
      <c r="D34" s="467" t="s">
        <v>817</v>
      </c>
      <c r="E34" s="842">
        <f t="shared" si="1"/>
        <v>21891</v>
      </c>
      <c r="F34" s="843"/>
      <c r="G34" s="844"/>
      <c r="H34" s="1160" t="s">
        <v>24</v>
      </c>
      <c r="I34" s="1112"/>
      <c r="J34" s="854">
        <v>21891</v>
      </c>
      <c r="K34" s="854"/>
      <c r="L34" s="855">
        <f t="shared" si="0"/>
        <v>21891</v>
      </c>
      <c r="M34" s="845"/>
    </row>
    <row r="35" spans="1:13" ht="37.5" customHeight="1">
      <c r="A35" s="825">
        <v>27</v>
      </c>
      <c r="B35" s="839"/>
      <c r="C35" s="846">
        <v>26</v>
      </c>
      <c r="D35" s="467" t="s">
        <v>818</v>
      </c>
      <c r="E35" s="842">
        <f t="shared" si="1"/>
        <v>20620</v>
      </c>
      <c r="F35" s="843"/>
      <c r="G35" s="844"/>
      <c r="H35" s="1160" t="s">
        <v>24</v>
      </c>
      <c r="I35" s="1112"/>
      <c r="J35" s="854">
        <v>20620</v>
      </c>
      <c r="K35" s="854"/>
      <c r="L35" s="855">
        <f t="shared" si="0"/>
        <v>20620</v>
      </c>
      <c r="M35" s="845"/>
    </row>
    <row r="36" spans="1:13" ht="51.75" customHeight="1">
      <c r="A36" s="825">
        <v>28</v>
      </c>
      <c r="B36" s="839"/>
      <c r="C36" s="846">
        <v>27</v>
      </c>
      <c r="D36" s="467" t="s">
        <v>819</v>
      </c>
      <c r="E36" s="842">
        <f t="shared" si="1"/>
        <v>4802</v>
      </c>
      <c r="F36" s="843"/>
      <c r="G36" s="844"/>
      <c r="H36" s="1160" t="s">
        <v>24</v>
      </c>
      <c r="I36" s="1112"/>
      <c r="J36" s="854">
        <v>4802</v>
      </c>
      <c r="K36" s="854"/>
      <c r="L36" s="855">
        <f t="shared" si="0"/>
        <v>4802</v>
      </c>
      <c r="M36" s="845"/>
    </row>
    <row r="37" spans="1:13" ht="37.5" customHeight="1">
      <c r="A37" s="825">
        <v>29</v>
      </c>
      <c r="B37" s="839"/>
      <c r="C37" s="846">
        <v>28</v>
      </c>
      <c r="D37" s="467" t="s">
        <v>820</v>
      </c>
      <c r="E37" s="842">
        <f t="shared" si="1"/>
        <v>3000</v>
      </c>
      <c r="F37" s="843"/>
      <c r="G37" s="844"/>
      <c r="H37" s="1160" t="s">
        <v>24</v>
      </c>
      <c r="I37" s="1112"/>
      <c r="J37" s="854">
        <v>3000</v>
      </c>
      <c r="K37" s="854"/>
      <c r="L37" s="855">
        <f t="shared" si="0"/>
        <v>3000</v>
      </c>
      <c r="M37" s="845"/>
    </row>
    <row r="38" spans="1:13" ht="22.5" customHeight="1">
      <c r="A38" s="825">
        <v>30</v>
      </c>
      <c r="B38" s="839"/>
      <c r="C38" s="840">
        <v>29</v>
      </c>
      <c r="D38" s="466" t="s">
        <v>821</v>
      </c>
      <c r="E38" s="842">
        <f t="shared" si="1"/>
        <v>4500</v>
      </c>
      <c r="F38" s="843"/>
      <c r="G38" s="844"/>
      <c r="H38" s="1160" t="s">
        <v>24</v>
      </c>
      <c r="I38" s="1112"/>
      <c r="J38" s="854">
        <v>4500</v>
      </c>
      <c r="K38" s="854"/>
      <c r="L38" s="855">
        <f t="shared" si="0"/>
        <v>4500</v>
      </c>
      <c r="M38" s="845"/>
    </row>
    <row r="39" spans="1:13" ht="22.5" customHeight="1">
      <c r="A39" s="825">
        <v>31</v>
      </c>
      <c r="B39" s="839"/>
      <c r="C39" s="840">
        <v>30</v>
      </c>
      <c r="D39" s="466" t="s">
        <v>822</v>
      </c>
      <c r="E39" s="842">
        <f t="shared" si="1"/>
        <v>1300</v>
      </c>
      <c r="F39" s="843"/>
      <c r="G39" s="844"/>
      <c r="H39" s="1160" t="s">
        <v>24</v>
      </c>
      <c r="I39" s="1112"/>
      <c r="J39" s="854">
        <v>1300</v>
      </c>
      <c r="K39" s="854"/>
      <c r="L39" s="855">
        <f t="shared" si="0"/>
        <v>1300</v>
      </c>
      <c r="M39" s="845"/>
    </row>
    <row r="40" spans="1:13" ht="22.5" customHeight="1">
      <c r="A40" s="825">
        <v>32</v>
      </c>
      <c r="B40" s="839"/>
      <c r="C40" s="840">
        <v>31</v>
      </c>
      <c r="D40" s="1220" t="s">
        <v>823</v>
      </c>
      <c r="E40" s="842">
        <f t="shared" si="1"/>
        <v>2500</v>
      </c>
      <c r="F40" s="843"/>
      <c r="G40" s="844"/>
      <c r="H40" s="1160" t="s">
        <v>24</v>
      </c>
      <c r="I40" s="1112"/>
      <c r="J40" s="854">
        <v>2500</v>
      </c>
      <c r="K40" s="854"/>
      <c r="L40" s="855">
        <f t="shared" si="0"/>
        <v>2500</v>
      </c>
      <c r="M40" s="845"/>
    </row>
    <row r="41" spans="1:13" ht="22.5" customHeight="1">
      <c r="A41" s="825">
        <v>33</v>
      </c>
      <c r="B41" s="839"/>
      <c r="C41" s="840">
        <v>32</v>
      </c>
      <c r="D41" s="466" t="s">
        <v>802</v>
      </c>
      <c r="E41" s="842">
        <f t="shared" si="1"/>
        <v>1079</v>
      </c>
      <c r="F41" s="843"/>
      <c r="G41" s="844"/>
      <c r="H41" s="1160" t="s">
        <v>24</v>
      </c>
      <c r="I41" s="1112"/>
      <c r="J41" s="854">
        <v>1079</v>
      </c>
      <c r="K41" s="854"/>
      <c r="L41" s="855">
        <f t="shared" si="0"/>
        <v>1079</v>
      </c>
      <c r="M41" s="845"/>
    </row>
    <row r="42" spans="1:13" ht="22.5" customHeight="1">
      <c r="A42" s="825">
        <v>34</v>
      </c>
      <c r="B42" s="839"/>
      <c r="C42" s="840">
        <v>33</v>
      </c>
      <c r="D42" s="466" t="s">
        <v>787</v>
      </c>
      <c r="E42" s="842">
        <f t="shared" si="1"/>
        <v>69</v>
      </c>
      <c r="F42" s="843"/>
      <c r="G42" s="844"/>
      <c r="H42" s="1160" t="s">
        <v>24</v>
      </c>
      <c r="I42" s="1112"/>
      <c r="J42" s="854">
        <v>69</v>
      </c>
      <c r="K42" s="854"/>
      <c r="L42" s="855">
        <f t="shared" si="0"/>
        <v>69</v>
      </c>
      <c r="M42" s="845"/>
    </row>
    <row r="43" spans="1:13" ht="22.5" customHeight="1">
      <c r="A43" s="825">
        <v>35</v>
      </c>
      <c r="B43" s="839"/>
      <c r="C43" s="840">
        <v>34</v>
      </c>
      <c r="D43" s="466" t="s">
        <v>788</v>
      </c>
      <c r="E43" s="842">
        <f t="shared" si="1"/>
        <v>96</v>
      </c>
      <c r="F43" s="843"/>
      <c r="G43" s="844"/>
      <c r="H43" s="1160" t="s">
        <v>24</v>
      </c>
      <c r="I43" s="1112"/>
      <c r="J43" s="854">
        <v>96</v>
      </c>
      <c r="K43" s="854"/>
      <c r="L43" s="855">
        <f t="shared" si="0"/>
        <v>96</v>
      </c>
      <c r="M43" s="845"/>
    </row>
    <row r="44" spans="1:23" ht="22.5" customHeight="1">
      <c r="A44" s="825">
        <v>36</v>
      </c>
      <c r="B44" s="839"/>
      <c r="C44" s="840">
        <v>35</v>
      </c>
      <c r="D44" s="1221" t="s">
        <v>506</v>
      </c>
      <c r="E44" s="842">
        <f t="shared" si="1"/>
        <v>2687</v>
      </c>
      <c r="F44" s="843"/>
      <c r="G44" s="844">
        <f>317+541</f>
        <v>858</v>
      </c>
      <c r="H44" s="1160" t="s">
        <v>24</v>
      </c>
      <c r="I44" s="1112">
        <v>29</v>
      </c>
      <c r="J44" s="854">
        <v>1800</v>
      </c>
      <c r="K44" s="854"/>
      <c r="L44" s="855">
        <f t="shared" si="0"/>
        <v>1829</v>
      </c>
      <c r="M44" s="845"/>
      <c r="N44" s="826"/>
      <c r="O44" s="826"/>
      <c r="P44" s="826"/>
      <c r="Q44" s="826"/>
      <c r="R44" s="826"/>
      <c r="S44" s="826"/>
      <c r="T44" s="826"/>
      <c r="U44" s="826"/>
      <c r="V44" s="826"/>
      <c r="W44" s="826"/>
    </row>
    <row r="45" spans="1:13" ht="22.5" customHeight="1">
      <c r="A45" s="825">
        <v>37</v>
      </c>
      <c r="B45" s="839"/>
      <c r="C45" s="840">
        <v>36</v>
      </c>
      <c r="D45" s="466" t="s">
        <v>789</v>
      </c>
      <c r="E45" s="842">
        <f t="shared" si="1"/>
        <v>269</v>
      </c>
      <c r="F45" s="843"/>
      <c r="G45" s="844"/>
      <c r="H45" s="1160" t="s">
        <v>24</v>
      </c>
      <c r="I45" s="1112"/>
      <c r="J45" s="854">
        <v>269</v>
      </c>
      <c r="K45" s="854"/>
      <c r="L45" s="855">
        <f t="shared" si="0"/>
        <v>269</v>
      </c>
      <c r="M45" s="845"/>
    </row>
    <row r="46" spans="1:13" ht="37.5" customHeight="1">
      <c r="A46" s="825">
        <v>38</v>
      </c>
      <c r="B46" s="839"/>
      <c r="C46" s="846">
        <v>37</v>
      </c>
      <c r="D46" s="467" t="s">
        <v>790</v>
      </c>
      <c r="E46" s="842">
        <f t="shared" si="1"/>
        <v>4178</v>
      </c>
      <c r="F46" s="843"/>
      <c r="G46" s="844"/>
      <c r="H46" s="1160" t="s">
        <v>24</v>
      </c>
      <c r="I46" s="1112"/>
      <c r="J46" s="854">
        <v>4178</v>
      </c>
      <c r="K46" s="854"/>
      <c r="L46" s="855">
        <f t="shared" si="0"/>
        <v>4178</v>
      </c>
      <c r="M46" s="845"/>
    </row>
    <row r="47" spans="1:13" ht="22.5" customHeight="1">
      <c r="A47" s="825">
        <v>39</v>
      </c>
      <c r="B47" s="839"/>
      <c r="C47" s="840">
        <v>38</v>
      </c>
      <c r="D47" s="466" t="s">
        <v>791</v>
      </c>
      <c r="E47" s="842">
        <f t="shared" si="1"/>
        <v>1000</v>
      </c>
      <c r="F47" s="843"/>
      <c r="G47" s="844"/>
      <c r="H47" s="1160" t="s">
        <v>24</v>
      </c>
      <c r="I47" s="1112"/>
      <c r="J47" s="854">
        <v>1000</v>
      </c>
      <c r="K47" s="854"/>
      <c r="L47" s="855">
        <f t="shared" si="0"/>
        <v>1000</v>
      </c>
      <c r="M47" s="845"/>
    </row>
    <row r="48" spans="1:13" ht="22.5" customHeight="1">
      <c r="A48" s="825">
        <v>40</v>
      </c>
      <c r="B48" s="839"/>
      <c r="C48" s="840">
        <v>39</v>
      </c>
      <c r="D48" s="1221" t="s">
        <v>792</v>
      </c>
      <c r="E48" s="842">
        <f t="shared" si="1"/>
        <v>2936</v>
      </c>
      <c r="F48" s="843"/>
      <c r="G48" s="844">
        <v>1753</v>
      </c>
      <c r="H48" s="1160" t="s">
        <v>24</v>
      </c>
      <c r="I48" s="1112"/>
      <c r="J48" s="854">
        <v>1183</v>
      </c>
      <c r="K48" s="854"/>
      <c r="L48" s="855">
        <f t="shared" si="0"/>
        <v>1183</v>
      </c>
      <c r="M48" s="845"/>
    </row>
    <row r="49" spans="1:13" ht="22.5" customHeight="1">
      <c r="A49" s="825">
        <v>41</v>
      </c>
      <c r="B49" s="839"/>
      <c r="C49" s="840">
        <v>40</v>
      </c>
      <c r="D49" s="466" t="s">
        <v>803</v>
      </c>
      <c r="E49" s="842">
        <f t="shared" si="1"/>
        <v>500</v>
      </c>
      <c r="F49" s="843"/>
      <c r="G49" s="844"/>
      <c r="H49" s="1160" t="s">
        <v>24</v>
      </c>
      <c r="I49" s="1112"/>
      <c r="J49" s="854">
        <v>500</v>
      </c>
      <c r="K49" s="854"/>
      <c r="L49" s="855">
        <f t="shared" si="0"/>
        <v>500</v>
      </c>
      <c r="M49" s="845"/>
    </row>
    <row r="50" spans="1:13" ht="22.5" customHeight="1">
      <c r="A50" s="825">
        <v>42</v>
      </c>
      <c r="B50" s="839"/>
      <c r="C50" s="840">
        <v>41</v>
      </c>
      <c r="D50" s="466" t="s">
        <v>793</v>
      </c>
      <c r="E50" s="842">
        <f t="shared" si="1"/>
        <v>1000</v>
      </c>
      <c r="F50" s="843"/>
      <c r="G50" s="844"/>
      <c r="H50" s="1160" t="s">
        <v>24</v>
      </c>
      <c r="I50" s="1112"/>
      <c r="J50" s="854">
        <v>1000</v>
      </c>
      <c r="K50" s="854"/>
      <c r="L50" s="855">
        <f t="shared" si="0"/>
        <v>1000</v>
      </c>
      <c r="M50" s="845"/>
    </row>
    <row r="51" spans="1:13" ht="22.5" customHeight="1">
      <c r="A51" s="825">
        <v>43</v>
      </c>
      <c r="B51" s="839"/>
      <c r="C51" s="840">
        <v>42</v>
      </c>
      <c r="D51" s="466" t="s">
        <v>794</v>
      </c>
      <c r="E51" s="842">
        <f t="shared" si="1"/>
        <v>13843</v>
      </c>
      <c r="F51" s="842"/>
      <c r="G51" s="844"/>
      <c r="H51" s="1160" t="s">
        <v>24</v>
      </c>
      <c r="I51" s="1113"/>
      <c r="J51" s="842">
        <v>13843</v>
      </c>
      <c r="K51" s="842"/>
      <c r="L51" s="856">
        <f t="shared" si="0"/>
        <v>13843</v>
      </c>
      <c r="M51" s="845"/>
    </row>
    <row r="52" spans="1:13" ht="22.5" customHeight="1">
      <c r="A52" s="825">
        <v>44</v>
      </c>
      <c r="B52" s="839"/>
      <c r="C52" s="840">
        <v>43</v>
      </c>
      <c r="D52" s="466" t="s">
        <v>795</v>
      </c>
      <c r="E52" s="842">
        <f t="shared" si="1"/>
        <v>5000</v>
      </c>
      <c r="F52" s="842"/>
      <c r="G52" s="844"/>
      <c r="H52" s="1160" t="s">
        <v>24</v>
      </c>
      <c r="I52" s="1113"/>
      <c r="J52" s="842">
        <v>5000</v>
      </c>
      <c r="K52" s="842"/>
      <c r="L52" s="856">
        <f t="shared" si="0"/>
        <v>5000</v>
      </c>
      <c r="M52" s="845"/>
    </row>
    <row r="53" spans="1:251" ht="22.5" customHeight="1">
      <c r="A53" s="825">
        <v>45</v>
      </c>
      <c r="B53" s="839"/>
      <c r="C53" s="840">
        <v>44</v>
      </c>
      <c r="D53" s="466" t="s">
        <v>796</v>
      </c>
      <c r="E53" s="842">
        <f t="shared" si="1"/>
        <v>7651</v>
      </c>
      <c r="F53" s="843"/>
      <c r="G53" s="844"/>
      <c r="H53" s="1160" t="s">
        <v>24</v>
      </c>
      <c r="I53" s="1113"/>
      <c r="J53" s="842">
        <v>7651</v>
      </c>
      <c r="K53" s="842"/>
      <c r="L53" s="856">
        <f t="shared" si="0"/>
        <v>7651</v>
      </c>
      <c r="M53" s="845"/>
      <c r="N53" s="826"/>
      <c r="O53" s="826"/>
      <c r="P53" s="826"/>
      <c r="Q53" s="826"/>
      <c r="R53" s="826"/>
      <c r="S53" s="826"/>
      <c r="T53" s="826"/>
      <c r="U53" s="826"/>
      <c r="V53" s="826"/>
      <c r="W53" s="826"/>
      <c r="X53" s="826"/>
      <c r="Y53" s="826"/>
      <c r="Z53" s="826"/>
      <c r="AA53" s="826"/>
      <c r="AB53" s="826"/>
      <c r="AC53" s="826"/>
      <c r="AD53" s="826"/>
      <c r="AE53" s="826"/>
      <c r="AF53" s="826"/>
      <c r="AG53" s="826"/>
      <c r="AH53" s="826"/>
      <c r="AI53" s="826"/>
      <c r="AJ53" s="826"/>
      <c r="AK53" s="826"/>
      <c r="AL53" s="826"/>
      <c r="AM53" s="826"/>
      <c r="AN53" s="826"/>
      <c r="AO53" s="826"/>
      <c r="AP53" s="826"/>
      <c r="AQ53" s="826"/>
      <c r="AR53" s="826"/>
      <c r="AS53" s="826"/>
      <c r="AT53" s="826"/>
      <c r="AU53" s="826"/>
      <c r="AV53" s="826"/>
      <c r="AW53" s="826"/>
      <c r="AX53" s="826"/>
      <c r="AY53" s="826"/>
      <c r="AZ53" s="826"/>
      <c r="BA53" s="826"/>
      <c r="BB53" s="826"/>
      <c r="BC53" s="826"/>
      <c r="BD53" s="826"/>
      <c r="BE53" s="826"/>
      <c r="BF53" s="826"/>
      <c r="BG53" s="826"/>
      <c r="BH53" s="826"/>
      <c r="BI53" s="826"/>
      <c r="BJ53" s="826"/>
      <c r="BK53" s="826"/>
      <c r="BL53" s="826"/>
      <c r="BM53" s="826"/>
      <c r="BN53" s="826"/>
      <c r="BO53" s="826"/>
      <c r="BP53" s="826"/>
      <c r="BQ53" s="826"/>
      <c r="BR53" s="826"/>
      <c r="BS53" s="826"/>
      <c r="BT53" s="826"/>
      <c r="BU53" s="826"/>
      <c r="BV53" s="826"/>
      <c r="BW53" s="826"/>
      <c r="BX53" s="826"/>
      <c r="BY53" s="826"/>
      <c r="BZ53" s="826"/>
      <c r="CA53" s="826"/>
      <c r="CB53" s="826"/>
      <c r="CC53" s="826"/>
      <c r="CD53" s="826"/>
      <c r="CE53" s="826"/>
      <c r="CF53" s="826"/>
      <c r="CG53" s="826"/>
      <c r="CH53" s="826"/>
      <c r="CI53" s="826"/>
      <c r="CJ53" s="826"/>
      <c r="CK53" s="826"/>
      <c r="CL53" s="826"/>
      <c r="CM53" s="826"/>
      <c r="CN53" s="826"/>
      <c r="CO53" s="826"/>
      <c r="CP53" s="826"/>
      <c r="CQ53" s="826"/>
      <c r="CR53" s="826"/>
      <c r="CS53" s="826"/>
      <c r="CT53" s="826"/>
      <c r="CU53" s="826"/>
      <c r="CV53" s="826"/>
      <c r="CW53" s="826"/>
      <c r="CX53" s="826"/>
      <c r="CY53" s="826"/>
      <c r="CZ53" s="826"/>
      <c r="DA53" s="826"/>
      <c r="DB53" s="826"/>
      <c r="DC53" s="826"/>
      <c r="DD53" s="826"/>
      <c r="DE53" s="826"/>
      <c r="DF53" s="826"/>
      <c r="DG53" s="826"/>
      <c r="DH53" s="826"/>
      <c r="DI53" s="826"/>
      <c r="DJ53" s="826"/>
      <c r="DK53" s="826"/>
      <c r="DL53" s="826"/>
      <c r="DM53" s="826"/>
      <c r="DN53" s="826"/>
      <c r="DO53" s="826"/>
      <c r="DP53" s="826"/>
      <c r="DQ53" s="826"/>
      <c r="DR53" s="826"/>
      <c r="DS53" s="826"/>
      <c r="DT53" s="826"/>
      <c r="DU53" s="826"/>
      <c r="DV53" s="826"/>
      <c r="DW53" s="826"/>
      <c r="DX53" s="826"/>
      <c r="DY53" s="826"/>
      <c r="DZ53" s="826"/>
      <c r="EA53" s="826"/>
      <c r="EB53" s="826"/>
      <c r="EC53" s="826"/>
      <c r="ED53" s="826"/>
      <c r="EE53" s="826"/>
      <c r="EF53" s="826"/>
      <c r="EG53" s="826"/>
      <c r="EH53" s="826"/>
      <c r="EI53" s="826"/>
      <c r="EJ53" s="826"/>
      <c r="EK53" s="826"/>
      <c r="EL53" s="826"/>
      <c r="EM53" s="826"/>
      <c r="EN53" s="826"/>
      <c r="EO53" s="826"/>
      <c r="EP53" s="826"/>
      <c r="EQ53" s="826"/>
      <c r="ER53" s="826"/>
      <c r="ES53" s="826"/>
      <c r="ET53" s="826"/>
      <c r="EU53" s="826"/>
      <c r="EV53" s="826"/>
      <c r="EW53" s="826"/>
      <c r="EX53" s="826"/>
      <c r="EY53" s="826"/>
      <c r="EZ53" s="826"/>
      <c r="FA53" s="826"/>
      <c r="FB53" s="826"/>
      <c r="FC53" s="826"/>
      <c r="FD53" s="826"/>
      <c r="FE53" s="826"/>
      <c r="FF53" s="826"/>
      <c r="FG53" s="826"/>
      <c r="FH53" s="826"/>
      <c r="FI53" s="826"/>
      <c r="FJ53" s="826"/>
      <c r="FK53" s="826"/>
      <c r="FL53" s="826"/>
      <c r="FM53" s="826"/>
      <c r="FN53" s="826"/>
      <c r="FO53" s="826"/>
      <c r="FP53" s="826"/>
      <c r="FQ53" s="826"/>
      <c r="FR53" s="826"/>
      <c r="FS53" s="826"/>
      <c r="FT53" s="826"/>
      <c r="FU53" s="826"/>
      <c r="FV53" s="826"/>
      <c r="FW53" s="826"/>
      <c r="FX53" s="826"/>
      <c r="FY53" s="826"/>
      <c r="FZ53" s="826"/>
      <c r="GA53" s="826"/>
      <c r="GB53" s="826"/>
      <c r="GC53" s="826"/>
      <c r="GD53" s="826"/>
      <c r="GE53" s="826"/>
      <c r="GF53" s="826"/>
      <c r="GG53" s="826"/>
      <c r="GH53" s="826"/>
      <c r="GI53" s="826"/>
      <c r="GJ53" s="826"/>
      <c r="GK53" s="826"/>
      <c r="GL53" s="826"/>
      <c r="GM53" s="826"/>
      <c r="GN53" s="826"/>
      <c r="GO53" s="826"/>
      <c r="GP53" s="826"/>
      <c r="GQ53" s="826"/>
      <c r="GR53" s="826"/>
      <c r="GS53" s="826"/>
      <c r="GT53" s="826"/>
      <c r="GU53" s="826"/>
      <c r="GV53" s="826"/>
      <c r="GW53" s="826"/>
      <c r="GX53" s="826"/>
      <c r="GY53" s="826"/>
      <c r="GZ53" s="826"/>
      <c r="HA53" s="826"/>
      <c r="HB53" s="826"/>
      <c r="HC53" s="826"/>
      <c r="HD53" s="826"/>
      <c r="HE53" s="826"/>
      <c r="HF53" s="826"/>
      <c r="HG53" s="826"/>
      <c r="HH53" s="826"/>
      <c r="HI53" s="826"/>
      <c r="HJ53" s="826"/>
      <c r="HK53" s="826"/>
      <c r="HL53" s="826"/>
      <c r="HM53" s="826"/>
      <c r="HN53" s="826"/>
      <c r="HO53" s="826"/>
      <c r="HP53" s="826"/>
      <c r="HQ53" s="826"/>
      <c r="HR53" s="826"/>
      <c r="HS53" s="826"/>
      <c r="HT53" s="826"/>
      <c r="HU53" s="826"/>
      <c r="HV53" s="826"/>
      <c r="HW53" s="826"/>
      <c r="HX53" s="826"/>
      <c r="HY53" s="826"/>
      <c r="HZ53" s="826"/>
      <c r="IA53" s="826"/>
      <c r="IB53" s="826"/>
      <c r="IC53" s="826"/>
      <c r="ID53" s="826"/>
      <c r="IE53" s="826"/>
      <c r="IF53" s="826"/>
      <c r="IG53" s="826"/>
      <c r="IH53" s="826"/>
      <c r="II53" s="826"/>
      <c r="IJ53" s="826"/>
      <c r="IK53" s="826"/>
      <c r="IL53" s="826"/>
      <c r="IM53" s="826"/>
      <c r="IN53" s="826"/>
      <c r="IO53" s="826"/>
      <c r="IP53" s="826"/>
      <c r="IQ53" s="826"/>
    </row>
    <row r="54" spans="1:251" ht="37.5" customHeight="1">
      <c r="A54" s="825">
        <v>46</v>
      </c>
      <c r="B54" s="839"/>
      <c r="C54" s="846">
        <v>45</v>
      </c>
      <c r="D54" s="467" t="s">
        <v>797</v>
      </c>
      <c r="E54" s="842">
        <f t="shared" si="1"/>
        <v>6096</v>
      </c>
      <c r="F54" s="843"/>
      <c r="G54" s="844"/>
      <c r="H54" s="1160" t="s">
        <v>24</v>
      </c>
      <c r="I54" s="1113"/>
      <c r="J54" s="842">
        <v>6096</v>
      </c>
      <c r="K54" s="842"/>
      <c r="L54" s="856">
        <f t="shared" si="0"/>
        <v>6096</v>
      </c>
      <c r="M54" s="845"/>
      <c r="N54" s="826"/>
      <c r="O54" s="826"/>
      <c r="P54" s="826"/>
      <c r="Q54" s="826"/>
      <c r="R54" s="826"/>
      <c r="S54" s="826"/>
      <c r="T54" s="826"/>
      <c r="U54" s="826"/>
      <c r="V54" s="826"/>
      <c r="W54" s="826"/>
      <c r="X54" s="826"/>
      <c r="Y54" s="826"/>
      <c r="Z54" s="826"/>
      <c r="AA54" s="826"/>
      <c r="AB54" s="826"/>
      <c r="AC54" s="826"/>
      <c r="AD54" s="826"/>
      <c r="AE54" s="826"/>
      <c r="AF54" s="826"/>
      <c r="AG54" s="826"/>
      <c r="AH54" s="826"/>
      <c r="AI54" s="826"/>
      <c r="AJ54" s="826"/>
      <c r="AK54" s="826"/>
      <c r="AL54" s="826"/>
      <c r="AM54" s="826"/>
      <c r="AN54" s="826"/>
      <c r="AO54" s="826"/>
      <c r="AP54" s="826"/>
      <c r="AQ54" s="826"/>
      <c r="AR54" s="826"/>
      <c r="AS54" s="826"/>
      <c r="AT54" s="826"/>
      <c r="AU54" s="826"/>
      <c r="AV54" s="826"/>
      <c r="AW54" s="826"/>
      <c r="AX54" s="826"/>
      <c r="AY54" s="826"/>
      <c r="AZ54" s="826"/>
      <c r="BA54" s="826"/>
      <c r="BB54" s="826"/>
      <c r="BC54" s="826"/>
      <c r="BD54" s="826"/>
      <c r="BE54" s="826"/>
      <c r="BF54" s="826"/>
      <c r="BG54" s="826"/>
      <c r="BH54" s="826"/>
      <c r="BI54" s="826"/>
      <c r="BJ54" s="826"/>
      <c r="BK54" s="826"/>
      <c r="BL54" s="826"/>
      <c r="BM54" s="826"/>
      <c r="BN54" s="826"/>
      <c r="BO54" s="826"/>
      <c r="BP54" s="826"/>
      <c r="BQ54" s="826"/>
      <c r="BR54" s="826"/>
      <c r="BS54" s="826"/>
      <c r="BT54" s="826"/>
      <c r="BU54" s="826"/>
      <c r="BV54" s="826"/>
      <c r="BW54" s="826"/>
      <c r="BX54" s="826"/>
      <c r="BY54" s="826"/>
      <c r="BZ54" s="826"/>
      <c r="CA54" s="826"/>
      <c r="CB54" s="826"/>
      <c r="CC54" s="826"/>
      <c r="CD54" s="826"/>
      <c r="CE54" s="826"/>
      <c r="CF54" s="826"/>
      <c r="CG54" s="826"/>
      <c r="CH54" s="826"/>
      <c r="CI54" s="826"/>
      <c r="CJ54" s="826"/>
      <c r="CK54" s="826"/>
      <c r="CL54" s="826"/>
      <c r="CM54" s="826"/>
      <c r="CN54" s="826"/>
      <c r="CO54" s="826"/>
      <c r="CP54" s="826"/>
      <c r="CQ54" s="826"/>
      <c r="CR54" s="826"/>
      <c r="CS54" s="826"/>
      <c r="CT54" s="826"/>
      <c r="CU54" s="826"/>
      <c r="CV54" s="826"/>
      <c r="CW54" s="826"/>
      <c r="CX54" s="826"/>
      <c r="CY54" s="826"/>
      <c r="CZ54" s="826"/>
      <c r="DA54" s="826"/>
      <c r="DB54" s="826"/>
      <c r="DC54" s="826"/>
      <c r="DD54" s="826"/>
      <c r="DE54" s="826"/>
      <c r="DF54" s="826"/>
      <c r="DG54" s="826"/>
      <c r="DH54" s="826"/>
      <c r="DI54" s="826"/>
      <c r="DJ54" s="826"/>
      <c r="DK54" s="826"/>
      <c r="DL54" s="826"/>
      <c r="DM54" s="826"/>
      <c r="DN54" s="826"/>
      <c r="DO54" s="826"/>
      <c r="DP54" s="826"/>
      <c r="DQ54" s="826"/>
      <c r="DR54" s="826"/>
      <c r="DS54" s="826"/>
      <c r="DT54" s="826"/>
      <c r="DU54" s="826"/>
      <c r="DV54" s="826"/>
      <c r="DW54" s="826"/>
      <c r="DX54" s="826"/>
      <c r="DY54" s="826"/>
      <c r="DZ54" s="826"/>
      <c r="EA54" s="826"/>
      <c r="EB54" s="826"/>
      <c r="EC54" s="826"/>
      <c r="ED54" s="826"/>
      <c r="EE54" s="826"/>
      <c r="EF54" s="826"/>
      <c r="EG54" s="826"/>
      <c r="EH54" s="826"/>
      <c r="EI54" s="826"/>
      <c r="EJ54" s="826"/>
      <c r="EK54" s="826"/>
      <c r="EL54" s="826"/>
      <c r="EM54" s="826"/>
      <c r="EN54" s="826"/>
      <c r="EO54" s="826"/>
      <c r="EP54" s="826"/>
      <c r="EQ54" s="826"/>
      <c r="ER54" s="826"/>
      <c r="ES54" s="826"/>
      <c r="ET54" s="826"/>
      <c r="EU54" s="826"/>
      <c r="EV54" s="826"/>
      <c r="EW54" s="826"/>
      <c r="EX54" s="826"/>
      <c r="EY54" s="826"/>
      <c r="EZ54" s="826"/>
      <c r="FA54" s="826"/>
      <c r="FB54" s="826"/>
      <c r="FC54" s="826"/>
      <c r="FD54" s="826"/>
      <c r="FE54" s="826"/>
      <c r="FF54" s="826"/>
      <c r="FG54" s="826"/>
      <c r="FH54" s="826"/>
      <c r="FI54" s="826"/>
      <c r="FJ54" s="826"/>
      <c r="FK54" s="826"/>
      <c r="FL54" s="826"/>
      <c r="FM54" s="826"/>
      <c r="FN54" s="826"/>
      <c r="FO54" s="826"/>
      <c r="FP54" s="826"/>
      <c r="FQ54" s="826"/>
      <c r="FR54" s="826"/>
      <c r="FS54" s="826"/>
      <c r="FT54" s="826"/>
      <c r="FU54" s="826"/>
      <c r="FV54" s="826"/>
      <c r="FW54" s="826"/>
      <c r="FX54" s="826"/>
      <c r="FY54" s="826"/>
      <c r="FZ54" s="826"/>
      <c r="GA54" s="826"/>
      <c r="GB54" s="826"/>
      <c r="GC54" s="826"/>
      <c r="GD54" s="826"/>
      <c r="GE54" s="826"/>
      <c r="GF54" s="826"/>
      <c r="GG54" s="826"/>
      <c r="GH54" s="826"/>
      <c r="GI54" s="826"/>
      <c r="GJ54" s="826"/>
      <c r="GK54" s="826"/>
      <c r="GL54" s="826"/>
      <c r="GM54" s="826"/>
      <c r="GN54" s="826"/>
      <c r="GO54" s="826"/>
      <c r="GP54" s="826"/>
      <c r="GQ54" s="826"/>
      <c r="GR54" s="826"/>
      <c r="GS54" s="826"/>
      <c r="GT54" s="826"/>
      <c r="GU54" s="826"/>
      <c r="GV54" s="826"/>
      <c r="GW54" s="826"/>
      <c r="GX54" s="826"/>
      <c r="GY54" s="826"/>
      <c r="GZ54" s="826"/>
      <c r="HA54" s="826"/>
      <c r="HB54" s="826"/>
      <c r="HC54" s="826"/>
      <c r="HD54" s="826"/>
      <c r="HE54" s="826"/>
      <c r="HF54" s="826"/>
      <c r="HG54" s="826"/>
      <c r="HH54" s="826"/>
      <c r="HI54" s="826"/>
      <c r="HJ54" s="826"/>
      <c r="HK54" s="826"/>
      <c r="HL54" s="826"/>
      <c r="HM54" s="826"/>
      <c r="HN54" s="826"/>
      <c r="HO54" s="826"/>
      <c r="HP54" s="826"/>
      <c r="HQ54" s="826"/>
      <c r="HR54" s="826"/>
      <c r="HS54" s="826"/>
      <c r="HT54" s="826"/>
      <c r="HU54" s="826"/>
      <c r="HV54" s="826"/>
      <c r="HW54" s="826"/>
      <c r="HX54" s="826"/>
      <c r="HY54" s="826"/>
      <c r="HZ54" s="826"/>
      <c r="IA54" s="826"/>
      <c r="IB54" s="826"/>
      <c r="IC54" s="826"/>
      <c r="ID54" s="826"/>
      <c r="IE54" s="826"/>
      <c r="IF54" s="826"/>
      <c r="IG54" s="826"/>
      <c r="IH54" s="826"/>
      <c r="II54" s="826"/>
      <c r="IJ54" s="826"/>
      <c r="IK54" s="826"/>
      <c r="IL54" s="826"/>
      <c r="IM54" s="826"/>
      <c r="IN54" s="826"/>
      <c r="IO54" s="826"/>
      <c r="IP54" s="826"/>
      <c r="IQ54" s="826"/>
    </row>
    <row r="55" spans="1:251" ht="22.5" customHeight="1">
      <c r="A55" s="825">
        <v>47</v>
      </c>
      <c r="B55" s="839"/>
      <c r="C55" s="840">
        <v>46</v>
      </c>
      <c r="D55" s="466" t="s">
        <v>798</v>
      </c>
      <c r="E55" s="842">
        <f t="shared" si="1"/>
        <v>750</v>
      </c>
      <c r="F55" s="843"/>
      <c r="G55" s="844">
        <v>300</v>
      </c>
      <c r="H55" s="1160" t="s">
        <v>24</v>
      </c>
      <c r="I55" s="1113"/>
      <c r="J55" s="842">
        <v>450</v>
      </c>
      <c r="K55" s="842"/>
      <c r="L55" s="856">
        <f t="shared" si="0"/>
        <v>450</v>
      </c>
      <c r="M55" s="845"/>
      <c r="N55" s="826"/>
      <c r="O55" s="826"/>
      <c r="P55" s="826"/>
      <c r="Q55" s="826"/>
      <c r="R55" s="826"/>
      <c r="S55" s="826"/>
      <c r="T55" s="826"/>
      <c r="U55" s="826"/>
      <c r="V55" s="826"/>
      <c r="W55" s="826"/>
      <c r="X55" s="826"/>
      <c r="Y55" s="826"/>
      <c r="Z55" s="826"/>
      <c r="AA55" s="826"/>
      <c r="AB55" s="826"/>
      <c r="AC55" s="826"/>
      <c r="AD55" s="826"/>
      <c r="AE55" s="826"/>
      <c r="AF55" s="826"/>
      <c r="AG55" s="826"/>
      <c r="AH55" s="826"/>
      <c r="AI55" s="826"/>
      <c r="AJ55" s="826"/>
      <c r="AK55" s="826"/>
      <c r="AL55" s="826"/>
      <c r="AM55" s="826"/>
      <c r="AN55" s="826"/>
      <c r="AO55" s="826"/>
      <c r="AP55" s="826"/>
      <c r="AQ55" s="826"/>
      <c r="AR55" s="826"/>
      <c r="AS55" s="826"/>
      <c r="AT55" s="826"/>
      <c r="AU55" s="826"/>
      <c r="AV55" s="826"/>
      <c r="AW55" s="826"/>
      <c r="AX55" s="826"/>
      <c r="AY55" s="826"/>
      <c r="AZ55" s="826"/>
      <c r="BA55" s="826"/>
      <c r="BB55" s="826"/>
      <c r="BC55" s="826"/>
      <c r="BD55" s="826"/>
      <c r="BE55" s="826"/>
      <c r="BF55" s="826"/>
      <c r="BG55" s="826"/>
      <c r="BH55" s="826"/>
      <c r="BI55" s="826"/>
      <c r="BJ55" s="826"/>
      <c r="BK55" s="826"/>
      <c r="BL55" s="826"/>
      <c r="BM55" s="826"/>
      <c r="BN55" s="826"/>
      <c r="BO55" s="826"/>
      <c r="BP55" s="826"/>
      <c r="BQ55" s="826"/>
      <c r="BR55" s="826"/>
      <c r="BS55" s="826"/>
      <c r="BT55" s="826"/>
      <c r="BU55" s="826"/>
      <c r="BV55" s="826"/>
      <c r="BW55" s="826"/>
      <c r="BX55" s="826"/>
      <c r="BY55" s="826"/>
      <c r="BZ55" s="826"/>
      <c r="CA55" s="826"/>
      <c r="CB55" s="826"/>
      <c r="CC55" s="826"/>
      <c r="CD55" s="826"/>
      <c r="CE55" s="826"/>
      <c r="CF55" s="826"/>
      <c r="CG55" s="826"/>
      <c r="CH55" s="826"/>
      <c r="CI55" s="826"/>
      <c r="CJ55" s="826"/>
      <c r="CK55" s="826"/>
      <c r="CL55" s="826"/>
      <c r="CM55" s="826"/>
      <c r="CN55" s="826"/>
      <c r="CO55" s="826"/>
      <c r="CP55" s="826"/>
      <c r="CQ55" s="826"/>
      <c r="CR55" s="826"/>
      <c r="CS55" s="826"/>
      <c r="CT55" s="826"/>
      <c r="CU55" s="826"/>
      <c r="CV55" s="826"/>
      <c r="CW55" s="826"/>
      <c r="CX55" s="826"/>
      <c r="CY55" s="826"/>
      <c r="CZ55" s="826"/>
      <c r="DA55" s="826"/>
      <c r="DB55" s="826"/>
      <c r="DC55" s="826"/>
      <c r="DD55" s="826"/>
      <c r="DE55" s="826"/>
      <c r="DF55" s="826"/>
      <c r="DG55" s="826"/>
      <c r="DH55" s="826"/>
      <c r="DI55" s="826"/>
      <c r="DJ55" s="826"/>
      <c r="DK55" s="826"/>
      <c r="DL55" s="826"/>
      <c r="DM55" s="826"/>
      <c r="DN55" s="826"/>
      <c r="DO55" s="826"/>
      <c r="DP55" s="826"/>
      <c r="DQ55" s="826"/>
      <c r="DR55" s="826"/>
      <c r="DS55" s="826"/>
      <c r="DT55" s="826"/>
      <c r="DU55" s="826"/>
      <c r="DV55" s="826"/>
      <c r="DW55" s="826"/>
      <c r="DX55" s="826"/>
      <c r="DY55" s="826"/>
      <c r="DZ55" s="826"/>
      <c r="EA55" s="826"/>
      <c r="EB55" s="826"/>
      <c r="EC55" s="826"/>
      <c r="ED55" s="826"/>
      <c r="EE55" s="826"/>
      <c r="EF55" s="826"/>
      <c r="EG55" s="826"/>
      <c r="EH55" s="826"/>
      <c r="EI55" s="826"/>
      <c r="EJ55" s="826"/>
      <c r="EK55" s="826"/>
      <c r="EL55" s="826"/>
      <c r="EM55" s="826"/>
      <c r="EN55" s="826"/>
      <c r="EO55" s="826"/>
      <c r="EP55" s="826"/>
      <c r="EQ55" s="826"/>
      <c r="ER55" s="826"/>
      <c r="ES55" s="826"/>
      <c r="ET55" s="826"/>
      <c r="EU55" s="826"/>
      <c r="EV55" s="826"/>
      <c r="EW55" s="826"/>
      <c r="EX55" s="826"/>
      <c r="EY55" s="826"/>
      <c r="EZ55" s="826"/>
      <c r="FA55" s="826"/>
      <c r="FB55" s="826"/>
      <c r="FC55" s="826"/>
      <c r="FD55" s="826"/>
      <c r="FE55" s="826"/>
      <c r="FF55" s="826"/>
      <c r="FG55" s="826"/>
      <c r="FH55" s="826"/>
      <c r="FI55" s="826"/>
      <c r="FJ55" s="826"/>
      <c r="FK55" s="826"/>
      <c r="FL55" s="826"/>
      <c r="FM55" s="826"/>
      <c r="FN55" s="826"/>
      <c r="FO55" s="826"/>
      <c r="FP55" s="826"/>
      <c r="FQ55" s="826"/>
      <c r="FR55" s="826"/>
      <c r="FS55" s="826"/>
      <c r="FT55" s="826"/>
      <c r="FU55" s="826"/>
      <c r="FV55" s="826"/>
      <c r="FW55" s="826"/>
      <c r="FX55" s="826"/>
      <c r="FY55" s="826"/>
      <c r="FZ55" s="826"/>
      <c r="GA55" s="826"/>
      <c r="GB55" s="826"/>
      <c r="GC55" s="826"/>
      <c r="GD55" s="826"/>
      <c r="GE55" s="826"/>
      <c r="GF55" s="826"/>
      <c r="GG55" s="826"/>
      <c r="GH55" s="826"/>
      <c r="GI55" s="826"/>
      <c r="GJ55" s="826"/>
      <c r="GK55" s="826"/>
      <c r="GL55" s="826"/>
      <c r="GM55" s="826"/>
      <c r="GN55" s="826"/>
      <c r="GO55" s="826"/>
      <c r="GP55" s="826"/>
      <c r="GQ55" s="826"/>
      <c r="GR55" s="826"/>
      <c r="GS55" s="826"/>
      <c r="GT55" s="826"/>
      <c r="GU55" s="826"/>
      <c r="GV55" s="826"/>
      <c r="GW55" s="826"/>
      <c r="GX55" s="826"/>
      <c r="GY55" s="826"/>
      <c r="GZ55" s="826"/>
      <c r="HA55" s="826"/>
      <c r="HB55" s="826"/>
      <c r="HC55" s="826"/>
      <c r="HD55" s="826"/>
      <c r="HE55" s="826"/>
      <c r="HF55" s="826"/>
      <c r="HG55" s="826"/>
      <c r="HH55" s="826"/>
      <c r="HI55" s="826"/>
      <c r="HJ55" s="826"/>
      <c r="HK55" s="826"/>
      <c r="HL55" s="826"/>
      <c r="HM55" s="826"/>
      <c r="HN55" s="826"/>
      <c r="HO55" s="826"/>
      <c r="HP55" s="826"/>
      <c r="HQ55" s="826"/>
      <c r="HR55" s="826"/>
      <c r="HS55" s="826"/>
      <c r="HT55" s="826"/>
      <c r="HU55" s="826"/>
      <c r="HV55" s="826"/>
      <c r="HW55" s="826"/>
      <c r="HX55" s="826"/>
      <c r="HY55" s="826"/>
      <c r="HZ55" s="826"/>
      <c r="IA55" s="826"/>
      <c r="IB55" s="826"/>
      <c r="IC55" s="826"/>
      <c r="ID55" s="826"/>
      <c r="IE55" s="826"/>
      <c r="IF55" s="826"/>
      <c r="IG55" s="826"/>
      <c r="IH55" s="826"/>
      <c r="II55" s="826"/>
      <c r="IJ55" s="826"/>
      <c r="IK55" s="826"/>
      <c r="IL55" s="826"/>
      <c r="IM55" s="826"/>
      <c r="IN55" s="826"/>
      <c r="IO55" s="826"/>
      <c r="IP55" s="826"/>
      <c r="IQ55" s="826"/>
    </row>
    <row r="56" spans="1:251" ht="22.5" customHeight="1">
      <c r="A56" s="825">
        <v>48</v>
      </c>
      <c r="B56" s="839"/>
      <c r="C56" s="840">
        <v>47</v>
      </c>
      <c r="D56" s="466" t="s">
        <v>799</v>
      </c>
      <c r="E56" s="842">
        <f t="shared" si="1"/>
        <v>30075</v>
      </c>
      <c r="F56" s="843"/>
      <c r="G56" s="844"/>
      <c r="H56" s="1160" t="s">
        <v>24</v>
      </c>
      <c r="I56" s="1113"/>
      <c r="J56" s="842">
        <v>30075</v>
      </c>
      <c r="K56" s="842"/>
      <c r="L56" s="856">
        <f t="shared" si="0"/>
        <v>30075</v>
      </c>
      <c r="M56" s="845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6"/>
      <c r="AK56" s="826"/>
      <c r="AL56" s="826"/>
      <c r="AM56" s="826"/>
      <c r="AN56" s="826"/>
      <c r="AO56" s="826"/>
      <c r="AP56" s="826"/>
      <c r="AQ56" s="826"/>
      <c r="AR56" s="826"/>
      <c r="AS56" s="826"/>
      <c r="AT56" s="826"/>
      <c r="AU56" s="826"/>
      <c r="AV56" s="826"/>
      <c r="AW56" s="826"/>
      <c r="AX56" s="826"/>
      <c r="AY56" s="826"/>
      <c r="AZ56" s="826"/>
      <c r="BA56" s="826"/>
      <c r="BB56" s="826"/>
      <c r="BC56" s="826"/>
      <c r="BD56" s="826"/>
      <c r="BE56" s="826"/>
      <c r="BF56" s="826"/>
      <c r="BG56" s="826"/>
      <c r="BH56" s="826"/>
      <c r="BI56" s="826"/>
      <c r="BJ56" s="826"/>
      <c r="BK56" s="826"/>
      <c r="BL56" s="826"/>
      <c r="BM56" s="826"/>
      <c r="BN56" s="826"/>
      <c r="BO56" s="826"/>
      <c r="BP56" s="826"/>
      <c r="BQ56" s="826"/>
      <c r="BR56" s="826"/>
      <c r="BS56" s="826"/>
      <c r="BT56" s="826"/>
      <c r="BU56" s="826"/>
      <c r="BV56" s="826"/>
      <c r="BW56" s="826"/>
      <c r="BX56" s="826"/>
      <c r="BY56" s="826"/>
      <c r="BZ56" s="826"/>
      <c r="CA56" s="826"/>
      <c r="CB56" s="826"/>
      <c r="CC56" s="826"/>
      <c r="CD56" s="826"/>
      <c r="CE56" s="826"/>
      <c r="CF56" s="826"/>
      <c r="CG56" s="826"/>
      <c r="CH56" s="826"/>
      <c r="CI56" s="826"/>
      <c r="CJ56" s="826"/>
      <c r="CK56" s="826"/>
      <c r="CL56" s="826"/>
      <c r="CM56" s="826"/>
      <c r="CN56" s="826"/>
      <c r="CO56" s="826"/>
      <c r="CP56" s="826"/>
      <c r="CQ56" s="826"/>
      <c r="CR56" s="826"/>
      <c r="CS56" s="826"/>
      <c r="CT56" s="826"/>
      <c r="CU56" s="826"/>
      <c r="CV56" s="826"/>
      <c r="CW56" s="826"/>
      <c r="CX56" s="826"/>
      <c r="CY56" s="826"/>
      <c r="CZ56" s="826"/>
      <c r="DA56" s="826"/>
      <c r="DB56" s="826"/>
      <c r="DC56" s="826"/>
      <c r="DD56" s="826"/>
      <c r="DE56" s="826"/>
      <c r="DF56" s="826"/>
      <c r="DG56" s="826"/>
      <c r="DH56" s="826"/>
      <c r="DI56" s="826"/>
      <c r="DJ56" s="826"/>
      <c r="DK56" s="826"/>
      <c r="DL56" s="826"/>
      <c r="DM56" s="826"/>
      <c r="DN56" s="826"/>
      <c r="DO56" s="826"/>
      <c r="DP56" s="826"/>
      <c r="DQ56" s="826"/>
      <c r="DR56" s="826"/>
      <c r="DS56" s="826"/>
      <c r="DT56" s="826"/>
      <c r="DU56" s="826"/>
      <c r="DV56" s="826"/>
      <c r="DW56" s="826"/>
      <c r="DX56" s="826"/>
      <c r="DY56" s="826"/>
      <c r="DZ56" s="826"/>
      <c r="EA56" s="826"/>
      <c r="EB56" s="826"/>
      <c r="EC56" s="826"/>
      <c r="ED56" s="826"/>
      <c r="EE56" s="826"/>
      <c r="EF56" s="826"/>
      <c r="EG56" s="826"/>
      <c r="EH56" s="826"/>
      <c r="EI56" s="826"/>
      <c r="EJ56" s="826"/>
      <c r="EK56" s="826"/>
      <c r="EL56" s="826"/>
      <c r="EM56" s="826"/>
      <c r="EN56" s="826"/>
      <c r="EO56" s="826"/>
      <c r="EP56" s="826"/>
      <c r="EQ56" s="826"/>
      <c r="ER56" s="826"/>
      <c r="ES56" s="826"/>
      <c r="ET56" s="826"/>
      <c r="EU56" s="826"/>
      <c r="EV56" s="826"/>
      <c r="EW56" s="826"/>
      <c r="EX56" s="826"/>
      <c r="EY56" s="826"/>
      <c r="EZ56" s="826"/>
      <c r="FA56" s="826"/>
      <c r="FB56" s="826"/>
      <c r="FC56" s="826"/>
      <c r="FD56" s="826"/>
      <c r="FE56" s="826"/>
      <c r="FF56" s="826"/>
      <c r="FG56" s="826"/>
      <c r="FH56" s="826"/>
      <c r="FI56" s="826"/>
      <c r="FJ56" s="826"/>
      <c r="FK56" s="826"/>
      <c r="FL56" s="826"/>
      <c r="FM56" s="826"/>
      <c r="FN56" s="826"/>
      <c r="FO56" s="826"/>
      <c r="FP56" s="826"/>
      <c r="FQ56" s="826"/>
      <c r="FR56" s="826"/>
      <c r="FS56" s="826"/>
      <c r="FT56" s="826"/>
      <c r="FU56" s="826"/>
      <c r="FV56" s="826"/>
      <c r="FW56" s="826"/>
      <c r="FX56" s="826"/>
      <c r="FY56" s="826"/>
      <c r="FZ56" s="826"/>
      <c r="GA56" s="826"/>
      <c r="GB56" s="826"/>
      <c r="GC56" s="826"/>
      <c r="GD56" s="826"/>
      <c r="GE56" s="826"/>
      <c r="GF56" s="826"/>
      <c r="GG56" s="826"/>
      <c r="GH56" s="826"/>
      <c r="GI56" s="826"/>
      <c r="GJ56" s="826"/>
      <c r="GK56" s="826"/>
      <c r="GL56" s="826"/>
      <c r="GM56" s="826"/>
      <c r="GN56" s="826"/>
      <c r="GO56" s="826"/>
      <c r="GP56" s="826"/>
      <c r="GQ56" s="826"/>
      <c r="GR56" s="826"/>
      <c r="GS56" s="826"/>
      <c r="GT56" s="826"/>
      <c r="GU56" s="826"/>
      <c r="GV56" s="826"/>
      <c r="GW56" s="826"/>
      <c r="GX56" s="826"/>
      <c r="GY56" s="826"/>
      <c r="GZ56" s="826"/>
      <c r="HA56" s="826"/>
      <c r="HB56" s="826"/>
      <c r="HC56" s="826"/>
      <c r="HD56" s="826"/>
      <c r="HE56" s="826"/>
      <c r="HF56" s="826"/>
      <c r="HG56" s="826"/>
      <c r="HH56" s="826"/>
      <c r="HI56" s="826"/>
      <c r="HJ56" s="826"/>
      <c r="HK56" s="826"/>
      <c r="HL56" s="826"/>
      <c r="HM56" s="826"/>
      <c r="HN56" s="826"/>
      <c r="HO56" s="826"/>
      <c r="HP56" s="826"/>
      <c r="HQ56" s="826"/>
      <c r="HR56" s="826"/>
      <c r="HS56" s="826"/>
      <c r="HT56" s="826"/>
      <c r="HU56" s="826"/>
      <c r="HV56" s="826"/>
      <c r="HW56" s="826"/>
      <c r="HX56" s="826"/>
      <c r="HY56" s="826"/>
      <c r="HZ56" s="826"/>
      <c r="IA56" s="826"/>
      <c r="IB56" s="826"/>
      <c r="IC56" s="826"/>
      <c r="ID56" s="826"/>
      <c r="IE56" s="826"/>
      <c r="IF56" s="826"/>
      <c r="IG56" s="826"/>
      <c r="IH56" s="826"/>
      <c r="II56" s="826"/>
      <c r="IJ56" s="826"/>
      <c r="IK56" s="826"/>
      <c r="IL56" s="826"/>
      <c r="IM56" s="826"/>
      <c r="IN56" s="826"/>
      <c r="IO56" s="826"/>
      <c r="IP56" s="826"/>
      <c r="IQ56" s="826"/>
    </row>
    <row r="57" spans="1:251" ht="22.5" customHeight="1">
      <c r="A57" s="825">
        <v>49</v>
      </c>
      <c r="B57" s="839"/>
      <c r="C57" s="840">
        <v>48</v>
      </c>
      <c r="D57" s="1221" t="s">
        <v>800</v>
      </c>
      <c r="E57" s="842">
        <f t="shared" si="1"/>
        <v>7500</v>
      </c>
      <c r="F57" s="843"/>
      <c r="G57" s="844">
        <v>449</v>
      </c>
      <c r="H57" s="1160" t="s">
        <v>24</v>
      </c>
      <c r="I57" s="1113"/>
      <c r="J57" s="842">
        <v>7051</v>
      </c>
      <c r="K57" s="842"/>
      <c r="L57" s="856">
        <f t="shared" si="0"/>
        <v>7051</v>
      </c>
      <c r="M57" s="845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6"/>
      <c r="AK57" s="826"/>
      <c r="AL57" s="826"/>
      <c r="AM57" s="826"/>
      <c r="AN57" s="826"/>
      <c r="AO57" s="826"/>
      <c r="AP57" s="826"/>
      <c r="AQ57" s="826"/>
      <c r="AR57" s="826"/>
      <c r="AS57" s="826"/>
      <c r="AT57" s="826"/>
      <c r="AU57" s="826"/>
      <c r="AV57" s="826"/>
      <c r="AW57" s="826"/>
      <c r="AX57" s="826"/>
      <c r="AY57" s="826"/>
      <c r="AZ57" s="826"/>
      <c r="BA57" s="826"/>
      <c r="BB57" s="826"/>
      <c r="BC57" s="826"/>
      <c r="BD57" s="826"/>
      <c r="BE57" s="826"/>
      <c r="BF57" s="826"/>
      <c r="BG57" s="826"/>
      <c r="BH57" s="826"/>
      <c r="BI57" s="826"/>
      <c r="BJ57" s="826"/>
      <c r="BK57" s="826"/>
      <c r="BL57" s="826"/>
      <c r="BM57" s="826"/>
      <c r="BN57" s="826"/>
      <c r="BO57" s="826"/>
      <c r="BP57" s="826"/>
      <c r="BQ57" s="826"/>
      <c r="BR57" s="826"/>
      <c r="BS57" s="826"/>
      <c r="BT57" s="826"/>
      <c r="BU57" s="826"/>
      <c r="BV57" s="826"/>
      <c r="BW57" s="826"/>
      <c r="BX57" s="826"/>
      <c r="BY57" s="826"/>
      <c r="BZ57" s="826"/>
      <c r="CA57" s="826"/>
      <c r="CB57" s="826"/>
      <c r="CC57" s="826"/>
      <c r="CD57" s="826"/>
      <c r="CE57" s="826"/>
      <c r="CF57" s="826"/>
      <c r="CG57" s="826"/>
      <c r="CH57" s="826"/>
      <c r="CI57" s="826"/>
      <c r="CJ57" s="826"/>
      <c r="CK57" s="826"/>
      <c r="CL57" s="826"/>
      <c r="CM57" s="826"/>
      <c r="CN57" s="826"/>
      <c r="CO57" s="826"/>
      <c r="CP57" s="826"/>
      <c r="CQ57" s="826"/>
      <c r="CR57" s="826"/>
      <c r="CS57" s="826"/>
      <c r="CT57" s="826"/>
      <c r="CU57" s="826"/>
      <c r="CV57" s="826"/>
      <c r="CW57" s="826"/>
      <c r="CX57" s="826"/>
      <c r="CY57" s="826"/>
      <c r="CZ57" s="826"/>
      <c r="DA57" s="826"/>
      <c r="DB57" s="826"/>
      <c r="DC57" s="826"/>
      <c r="DD57" s="826"/>
      <c r="DE57" s="826"/>
      <c r="DF57" s="826"/>
      <c r="DG57" s="826"/>
      <c r="DH57" s="826"/>
      <c r="DI57" s="826"/>
      <c r="DJ57" s="826"/>
      <c r="DK57" s="826"/>
      <c r="DL57" s="826"/>
      <c r="DM57" s="826"/>
      <c r="DN57" s="826"/>
      <c r="DO57" s="826"/>
      <c r="DP57" s="826"/>
      <c r="DQ57" s="826"/>
      <c r="DR57" s="826"/>
      <c r="DS57" s="826"/>
      <c r="DT57" s="826"/>
      <c r="DU57" s="826"/>
      <c r="DV57" s="826"/>
      <c r="DW57" s="826"/>
      <c r="DX57" s="826"/>
      <c r="DY57" s="826"/>
      <c r="DZ57" s="826"/>
      <c r="EA57" s="826"/>
      <c r="EB57" s="826"/>
      <c r="EC57" s="826"/>
      <c r="ED57" s="826"/>
      <c r="EE57" s="826"/>
      <c r="EF57" s="826"/>
      <c r="EG57" s="826"/>
      <c r="EH57" s="826"/>
      <c r="EI57" s="826"/>
      <c r="EJ57" s="826"/>
      <c r="EK57" s="826"/>
      <c r="EL57" s="826"/>
      <c r="EM57" s="826"/>
      <c r="EN57" s="826"/>
      <c r="EO57" s="826"/>
      <c r="EP57" s="826"/>
      <c r="EQ57" s="826"/>
      <c r="ER57" s="826"/>
      <c r="ES57" s="826"/>
      <c r="ET57" s="826"/>
      <c r="EU57" s="826"/>
      <c r="EV57" s="826"/>
      <c r="EW57" s="826"/>
      <c r="EX57" s="826"/>
      <c r="EY57" s="826"/>
      <c r="EZ57" s="826"/>
      <c r="FA57" s="826"/>
      <c r="FB57" s="826"/>
      <c r="FC57" s="826"/>
      <c r="FD57" s="826"/>
      <c r="FE57" s="826"/>
      <c r="FF57" s="826"/>
      <c r="FG57" s="826"/>
      <c r="FH57" s="826"/>
      <c r="FI57" s="826"/>
      <c r="FJ57" s="826"/>
      <c r="FK57" s="826"/>
      <c r="FL57" s="826"/>
      <c r="FM57" s="826"/>
      <c r="FN57" s="826"/>
      <c r="FO57" s="826"/>
      <c r="FP57" s="826"/>
      <c r="FQ57" s="826"/>
      <c r="FR57" s="826"/>
      <c r="FS57" s="826"/>
      <c r="FT57" s="826"/>
      <c r="FU57" s="826"/>
      <c r="FV57" s="826"/>
      <c r="FW57" s="826"/>
      <c r="FX57" s="826"/>
      <c r="FY57" s="826"/>
      <c r="FZ57" s="826"/>
      <c r="GA57" s="826"/>
      <c r="GB57" s="826"/>
      <c r="GC57" s="826"/>
      <c r="GD57" s="826"/>
      <c r="GE57" s="826"/>
      <c r="GF57" s="826"/>
      <c r="GG57" s="826"/>
      <c r="GH57" s="826"/>
      <c r="GI57" s="826"/>
      <c r="GJ57" s="826"/>
      <c r="GK57" s="826"/>
      <c r="GL57" s="826"/>
      <c r="GM57" s="826"/>
      <c r="GN57" s="826"/>
      <c r="GO57" s="826"/>
      <c r="GP57" s="826"/>
      <c r="GQ57" s="826"/>
      <c r="GR57" s="826"/>
      <c r="GS57" s="826"/>
      <c r="GT57" s="826"/>
      <c r="GU57" s="826"/>
      <c r="GV57" s="826"/>
      <c r="GW57" s="826"/>
      <c r="GX57" s="826"/>
      <c r="GY57" s="826"/>
      <c r="GZ57" s="826"/>
      <c r="HA57" s="826"/>
      <c r="HB57" s="826"/>
      <c r="HC57" s="826"/>
      <c r="HD57" s="826"/>
      <c r="HE57" s="826"/>
      <c r="HF57" s="826"/>
      <c r="HG57" s="826"/>
      <c r="HH57" s="826"/>
      <c r="HI57" s="826"/>
      <c r="HJ57" s="826"/>
      <c r="HK57" s="826"/>
      <c r="HL57" s="826"/>
      <c r="HM57" s="826"/>
      <c r="HN57" s="826"/>
      <c r="HO57" s="826"/>
      <c r="HP57" s="826"/>
      <c r="HQ57" s="826"/>
      <c r="HR57" s="826"/>
      <c r="HS57" s="826"/>
      <c r="HT57" s="826"/>
      <c r="HU57" s="826"/>
      <c r="HV57" s="826"/>
      <c r="HW57" s="826"/>
      <c r="HX57" s="826"/>
      <c r="HY57" s="826"/>
      <c r="HZ57" s="826"/>
      <c r="IA57" s="826"/>
      <c r="IB57" s="826"/>
      <c r="IC57" s="826"/>
      <c r="ID57" s="826"/>
      <c r="IE57" s="826"/>
      <c r="IF57" s="826"/>
      <c r="IG57" s="826"/>
      <c r="IH57" s="826"/>
      <c r="II57" s="826"/>
      <c r="IJ57" s="826"/>
      <c r="IK57" s="826"/>
      <c r="IL57" s="826"/>
      <c r="IM57" s="826"/>
      <c r="IN57" s="826"/>
      <c r="IO57" s="826"/>
      <c r="IP57" s="826"/>
      <c r="IQ57" s="826"/>
    </row>
    <row r="58" spans="1:17" ht="22.5" customHeight="1">
      <c r="A58" s="825">
        <v>52</v>
      </c>
      <c r="B58" s="839"/>
      <c r="C58" s="840">
        <v>49</v>
      </c>
      <c r="D58" s="841" t="s">
        <v>824</v>
      </c>
      <c r="E58" s="842">
        <f>F58+G58+L58+M58</f>
        <v>24000</v>
      </c>
      <c r="F58" s="843"/>
      <c r="G58" s="844"/>
      <c r="H58" s="1160" t="s">
        <v>24</v>
      </c>
      <c r="I58" s="1113"/>
      <c r="J58" s="842"/>
      <c r="K58" s="842">
        <v>24000</v>
      </c>
      <c r="L58" s="856">
        <f>SUM(I58:K58)</f>
        <v>24000</v>
      </c>
      <c r="M58" s="845"/>
      <c r="N58" s="826"/>
      <c r="O58" s="826"/>
      <c r="P58" s="826"/>
      <c r="Q58" s="826"/>
    </row>
    <row r="59" spans="1:13" ht="22.5" customHeight="1" thickBot="1">
      <c r="A59" s="825">
        <v>53</v>
      </c>
      <c r="B59" s="839"/>
      <c r="C59" s="840">
        <v>50</v>
      </c>
      <c r="D59" s="841" t="s">
        <v>825</v>
      </c>
      <c r="E59" s="842">
        <f>F59+G59+L59+M59</f>
        <v>480000</v>
      </c>
      <c r="F59" s="843"/>
      <c r="G59" s="844"/>
      <c r="H59" s="1160" t="s">
        <v>23</v>
      </c>
      <c r="I59" s="1113"/>
      <c r="J59" s="842"/>
      <c r="K59" s="842">
        <v>480000</v>
      </c>
      <c r="L59" s="856">
        <f>SUM(I59:K59)</f>
        <v>480000</v>
      </c>
      <c r="M59" s="845"/>
    </row>
    <row r="60" spans="1:13" ht="36" customHeight="1" thickBot="1">
      <c r="A60" s="825">
        <v>54</v>
      </c>
      <c r="B60" s="1670" t="s">
        <v>13</v>
      </c>
      <c r="C60" s="1671"/>
      <c r="D60" s="1671"/>
      <c r="E60" s="1671"/>
      <c r="F60" s="1671"/>
      <c r="G60" s="1672"/>
      <c r="H60" s="1117"/>
      <c r="I60" s="1114">
        <f>SUM(I10:I59)</f>
        <v>10468</v>
      </c>
      <c r="J60" s="1114">
        <f>SUM(J10:J59)</f>
        <v>765891</v>
      </c>
      <c r="K60" s="1114">
        <f>SUM(K10:K59)</f>
        <v>504000</v>
      </c>
      <c r="L60" s="1114">
        <f>SUM(L10:L59)</f>
        <v>1280359</v>
      </c>
      <c r="M60" s="1116"/>
    </row>
    <row r="61" spans="2:12" ht="18" customHeight="1">
      <c r="B61" s="819" t="s">
        <v>27</v>
      </c>
      <c r="C61" s="819"/>
      <c r="D61" s="819"/>
      <c r="E61" s="820"/>
      <c r="F61" s="821"/>
      <c r="G61" s="820"/>
      <c r="H61" s="808"/>
      <c r="I61" s="820"/>
      <c r="J61" s="820"/>
      <c r="K61" s="820"/>
      <c r="L61" s="820"/>
    </row>
    <row r="62" spans="2:12" ht="18" customHeight="1">
      <c r="B62" s="819" t="s">
        <v>28</v>
      </c>
      <c r="C62" s="819"/>
      <c r="D62" s="819"/>
      <c r="E62" s="809"/>
      <c r="F62" s="821"/>
      <c r="G62" s="820"/>
      <c r="H62" s="808"/>
      <c r="I62" s="820"/>
      <c r="J62" s="820"/>
      <c r="K62" s="820"/>
      <c r="L62" s="820"/>
    </row>
    <row r="63" spans="2:12" ht="18" customHeight="1">
      <c r="B63" s="819" t="s">
        <v>29</v>
      </c>
      <c r="C63" s="819"/>
      <c r="D63" s="819"/>
      <c r="E63" s="809"/>
      <c r="F63" s="821"/>
      <c r="G63" s="820"/>
      <c r="H63" s="808"/>
      <c r="I63" s="820"/>
      <c r="J63" s="820"/>
      <c r="K63" s="820"/>
      <c r="L63" s="820"/>
    </row>
  </sheetData>
  <sheetProtection/>
  <mergeCells count="16">
    <mergeCell ref="G6:G8"/>
    <mergeCell ref="F6:F8"/>
    <mergeCell ref="B1:D1"/>
    <mergeCell ref="B60:G60"/>
    <mergeCell ref="I1:M1"/>
    <mergeCell ref="B2:M2"/>
    <mergeCell ref="B3:M3"/>
    <mergeCell ref="I6:L6"/>
    <mergeCell ref="M6:M8"/>
    <mergeCell ref="E6:E8"/>
    <mergeCell ref="B6:B8"/>
    <mergeCell ref="C6:C8"/>
    <mergeCell ref="D6:D8"/>
    <mergeCell ref="J7:K7"/>
    <mergeCell ref="L7:L8"/>
    <mergeCell ref="H6:H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3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view="pageBreakPreview" zoomScaleSheetLayoutView="100" zoomScalePageLayoutView="0" workbookViewId="0" topLeftCell="A1">
      <pane ySplit="8" topLeftCell="A9" activePane="bottomLeft" state="frozen"/>
      <selection pane="topLeft" activeCell="I6" sqref="I6"/>
      <selection pane="bottomLeft" activeCell="B1" sqref="B1:D1"/>
    </sheetView>
  </sheetViews>
  <sheetFormatPr defaultColWidth="9.125" defaultRowHeight="12.75"/>
  <cols>
    <col min="1" max="1" width="3.625" style="824" customWidth="1"/>
    <col min="2" max="2" width="5.75390625" style="812" customWidth="1"/>
    <col min="3" max="3" width="5.75390625" style="813" customWidth="1"/>
    <col min="4" max="4" width="59.75390625" style="814" customWidth="1"/>
    <col min="5" max="7" width="10.75390625" style="810" customWidth="1"/>
    <col min="8" max="8" width="6.75390625" style="815" customWidth="1"/>
    <col min="9" max="10" width="14.875" style="810" customWidth="1"/>
    <col min="11" max="11" width="15.75390625" style="810" customWidth="1"/>
    <col min="12" max="12" width="13.75390625" style="822" customWidth="1"/>
    <col min="13" max="16384" width="9.125" style="811" customWidth="1"/>
  </cols>
  <sheetData>
    <row r="1" spans="1:250" s="461" customFormat="1" ht="18" customHeight="1">
      <c r="A1" s="823"/>
      <c r="B1" s="1669" t="s">
        <v>1013</v>
      </c>
      <c r="C1" s="1669"/>
      <c r="D1" s="1669"/>
      <c r="E1" s="714"/>
      <c r="F1" s="714"/>
      <c r="G1" s="714"/>
      <c r="H1" s="713"/>
      <c r="I1" s="1673"/>
      <c r="J1" s="1673"/>
      <c r="K1" s="1673"/>
      <c r="L1" s="1673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5"/>
      <c r="BC1" s="715"/>
      <c r="BD1" s="715"/>
      <c r="BE1" s="715"/>
      <c r="BF1" s="715"/>
      <c r="BG1" s="715"/>
      <c r="BH1" s="715"/>
      <c r="BI1" s="715"/>
      <c r="BJ1" s="715"/>
      <c r="BK1" s="715"/>
      <c r="BL1" s="715"/>
      <c r="BM1" s="715"/>
      <c r="BN1" s="715"/>
      <c r="BO1" s="715"/>
      <c r="BP1" s="715"/>
      <c r="BQ1" s="715"/>
      <c r="BR1" s="715"/>
      <c r="BS1" s="715"/>
      <c r="BT1" s="715"/>
      <c r="BU1" s="715"/>
      <c r="BV1" s="715"/>
      <c r="BW1" s="715"/>
      <c r="BX1" s="715"/>
      <c r="BY1" s="715"/>
      <c r="BZ1" s="715"/>
      <c r="CA1" s="715"/>
      <c r="CB1" s="715"/>
      <c r="CC1" s="715"/>
      <c r="CD1" s="715"/>
      <c r="CE1" s="715"/>
      <c r="CF1" s="715"/>
      <c r="CG1" s="715"/>
      <c r="CH1" s="715"/>
      <c r="CI1" s="715"/>
      <c r="CJ1" s="715"/>
      <c r="CK1" s="715"/>
      <c r="CL1" s="715"/>
      <c r="CM1" s="715"/>
      <c r="CN1" s="715"/>
      <c r="CO1" s="715"/>
      <c r="CP1" s="715"/>
      <c r="CQ1" s="715"/>
      <c r="CR1" s="715"/>
      <c r="CS1" s="715"/>
      <c r="CT1" s="715"/>
      <c r="CU1" s="715"/>
      <c r="CV1" s="715"/>
      <c r="CW1" s="715"/>
      <c r="CX1" s="715"/>
      <c r="CY1" s="715"/>
      <c r="CZ1" s="715"/>
      <c r="DA1" s="715"/>
      <c r="DB1" s="715"/>
      <c r="DC1" s="715"/>
      <c r="DD1" s="715"/>
      <c r="DE1" s="715"/>
      <c r="DF1" s="715"/>
      <c r="DG1" s="715"/>
      <c r="DH1" s="715"/>
      <c r="DI1" s="715"/>
      <c r="DJ1" s="715"/>
      <c r="DK1" s="715"/>
      <c r="DL1" s="715"/>
      <c r="DM1" s="715"/>
      <c r="DN1" s="715"/>
      <c r="DO1" s="715"/>
      <c r="DP1" s="715"/>
      <c r="DQ1" s="715"/>
      <c r="DR1" s="715"/>
      <c r="DS1" s="715"/>
      <c r="DT1" s="715"/>
      <c r="DU1" s="715"/>
      <c r="DV1" s="715"/>
      <c r="DW1" s="715"/>
      <c r="DX1" s="715"/>
      <c r="DY1" s="715"/>
      <c r="DZ1" s="715"/>
      <c r="EA1" s="715"/>
      <c r="EB1" s="715"/>
      <c r="EC1" s="715"/>
      <c r="ED1" s="715"/>
      <c r="EE1" s="715"/>
      <c r="EF1" s="715"/>
      <c r="EG1" s="715"/>
      <c r="EH1" s="715"/>
      <c r="EI1" s="715"/>
      <c r="EJ1" s="715"/>
      <c r="EK1" s="715"/>
      <c r="EL1" s="715"/>
      <c r="EM1" s="715"/>
      <c r="EN1" s="715"/>
      <c r="EO1" s="715"/>
      <c r="EP1" s="715"/>
      <c r="EQ1" s="715"/>
      <c r="ER1" s="715"/>
      <c r="ES1" s="715"/>
      <c r="ET1" s="715"/>
      <c r="EU1" s="715"/>
      <c r="EV1" s="715"/>
      <c r="EW1" s="715"/>
      <c r="EX1" s="715"/>
      <c r="EY1" s="715"/>
      <c r="EZ1" s="715"/>
      <c r="FA1" s="715"/>
      <c r="FB1" s="715"/>
      <c r="FC1" s="715"/>
      <c r="FD1" s="715"/>
      <c r="FE1" s="715"/>
      <c r="FF1" s="715"/>
      <c r="FG1" s="715"/>
      <c r="FH1" s="715"/>
      <c r="FI1" s="715"/>
      <c r="FJ1" s="715"/>
      <c r="FK1" s="715"/>
      <c r="FL1" s="715"/>
      <c r="FM1" s="715"/>
      <c r="FN1" s="715"/>
      <c r="FO1" s="715"/>
      <c r="FP1" s="715"/>
      <c r="FQ1" s="715"/>
      <c r="FR1" s="715"/>
      <c r="FS1" s="715"/>
      <c r="FT1" s="715"/>
      <c r="FU1" s="715"/>
      <c r="FV1" s="715"/>
      <c r="FW1" s="715"/>
      <c r="FX1" s="715"/>
      <c r="FY1" s="715"/>
      <c r="FZ1" s="715"/>
      <c r="GA1" s="715"/>
      <c r="GB1" s="715"/>
      <c r="GC1" s="715"/>
      <c r="GD1" s="715"/>
      <c r="GE1" s="715"/>
      <c r="GF1" s="715"/>
      <c r="GG1" s="715"/>
      <c r="GH1" s="715"/>
      <c r="GI1" s="715"/>
      <c r="GJ1" s="715"/>
      <c r="GK1" s="715"/>
      <c r="GL1" s="715"/>
      <c r="GM1" s="715"/>
      <c r="GN1" s="715"/>
      <c r="GO1" s="715"/>
      <c r="GP1" s="715"/>
      <c r="GQ1" s="715"/>
      <c r="GR1" s="715"/>
      <c r="GS1" s="715"/>
      <c r="GT1" s="715"/>
      <c r="GU1" s="715"/>
      <c r="GV1" s="715"/>
      <c r="GW1" s="715"/>
      <c r="GX1" s="715"/>
      <c r="GY1" s="715"/>
      <c r="GZ1" s="715"/>
      <c r="HA1" s="715"/>
      <c r="HB1" s="715"/>
      <c r="HC1" s="715"/>
      <c r="HD1" s="715"/>
      <c r="HE1" s="715"/>
      <c r="HF1" s="715"/>
      <c r="HG1" s="715"/>
      <c r="HH1" s="715"/>
      <c r="HI1" s="715"/>
      <c r="HJ1" s="715"/>
      <c r="HK1" s="715"/>
      <c r="HL1" s="715"/>
      <c r="HM1" s="715"/>
      <c r="HN1" s="715"/>
      <c r="HO1" s="715"/>
      <c r="HP1" s="715"/>
      <c r="HQ1" s="715"/>
      <c r="HR1" s="715"/>
      <c r="HS1" s="715"/>
      <c r="HT1" s="715"/>
      <c r="HU1" s="715"/>
      <c r="HV1" s="715"/>
      <c r="HW1" s="715"/>
      <c r="HX1" s="715"/>
      <c r="HY1" s="715"/>
      <c r="HZ1" s="715"/>
      <c r="IA1" s="715"/>
      <c r="IB1" s="715"/>
      <c r="IC1" s="715"/>
      <c r="ID1" s="715"/>
      <c r="IE1" s="715"/>
      <c r="IF1" s="715"/>
      <c r="IG1" s="715"/>
      <c r="IH1" s="715"/>
      <c r="II1" s="715"/>
      <c r="IJ1" s="715"/>
      <c r="IK1" s="715"/>
      <c r="IL1" s="715"/>
      <c r="IM1" s="715"/>
      <c r="IN1" s="715"/>
      <c r="IO1" s="715"/>
      <c r="IP1" s="715"/>
    </row>
    <row r="2" spans="1:12" s="461" customFormat="1" ht="18" customHeight="1">
      <c r="A2" s="824"/>
      <c r="B2" s="1674" t="s">
        <v>14</v>
      </c>
      <c r="C2" s="1674"/>
      <c r="D2" s="1674"/>
      <c r="E2" s="1674"/>
      <c r="F2" s="1674"/>
      <c r="G2" s="1674"/>
      <c r="H2" s="1674"/>
      <c r="I2" s="1674"/>
      <c r="J2" s="1674"/>
      <c r="K2" s="1674"/>
      <c r="L2" s="1674"/>
    </row>
    <row r="3" spans="1:12" s="461" customFormat="1" ht="18" customHeight="1">
      <c r="A3" s="824"/>
      <c r="B3" s="1675" t="s">
        <v>684</v>
      </c>
      <c r="C3" s="1675"/>
      <c r="D3" s="1675"/>
      <c r="E3" s="1675"/>
      <c r="F3" s="1675"/>
      <c r="G3" s="1675"/>
      <c r="H3" s="1675"/>
      <c r="I3" s="1675"/>
      <c r="J3" s="1675"/>
      <c r="K3" s="1675"/>
      <c r="L3" s="1675"/>
    </row>
    <row r="4" ht="18" customHeight="1">
      <c r="L4" s="816" t="s">
        <v>0</v>
      </c>
    </row>
    <row r="5" spans="1:250" s="135" customFormat="1" ht="18" customHeight="1" thickBot="1">
      <c r="A5" s="824"/>
      <c r="B5" s="849" t="s">
        <v>1</v>
      </c>
      <c r="C5" s="850" t="s">
        <v>3</v>
      </c>
      <c r="D5" s="850" t="s">
        <v>2</v>
      </c>
      <c r="E5" s="850" t="s">
        <v>4</v>
      </c>
      <c r="F5" s="850" t="s">
        <v>5</v>
      </c>
      <c r="G5" s="850" t="s">
        <v>15</v>
      </c>
      <c r="H5" s="850" t="s">
        <v>16</v>
      </c>
      <c r="I5" s="850" t="s">
        <v>30</v>
      </c>
      <c r="J5" s="850" t="s">
        <v>23</v>
      </c>
      <c r="K5" s="850" t="s">
        <v>37</v>
      </c>
      <c r="L5" s="850" t="s">
        <v>38</v>
      </c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  <c r="BC5" s="824"/>
      <c r="BD5" s="824"/>
      <c r="BE5" s="824"/>
      <c r="BF5" s="824"/>
      <c r="BG5" s="824"/>
      <c r="BH5" s="824"/>
      <c r="BI5" s="824"/>
      <c r="BJ5" s="824"/>
      <c r="BK5" s="824"/>
      <c r="BL5" s="824"/>
      <c r="BM5" s="824"/>
      <c r="BN5" s="824"/>
      <c r="BO5" s="824"/>
      <c r="BP5" s="824"/>
      <c r="BQ5" s="824"/>
      <c r="BR5" s="824"/>
      <c r="BS5" s="824"/>
      <c r="BT5" s="824"/>
      <c r="BU5" s="824"/>
      <c r="BV5" s="824"/>
      <c r="BW5" s="824"/>
      <c r="BX5" s="824"/>
      <c r="BY5" s="824"/>
      <c r="BZ5" s="824"/>
      <c r="CA5" s="824"/>
      <c r="CB5" s="824"/>
      <c r="CC5" s="824"/>
      <c r="CD5" s="824"/>
      <c r="CE5" s="824"/>
      <c r="CF5" s="824"/>
      <c r="CG5" s="824"/>
      <c r="CH5" s="824"/>
      <c r="CI5" s="824"/>
      <c r="CJ5" s="824"/>
      <c r="CK5" s="824"/>
      <c r="CL5" s="824"/>
      <c r="CM5" s="824"/>
      <c r="CN5" s="824"/>
      <c r="CO5" s="824"/>
      <c r="CP5" s="824"/>
      <c r="CQ5" s="824"/>
      <c r="CR5" s="824"/>
      <c r="CS5" s="824"/>
      <c r="CT5" s="824"/>
      <c r="CU5" s="824"/>
      <c r="CV5" s="824"/>
      <c r="CW5" s="824"/>
      <c r="CX5" s="824"/>
      <c r="CY5" s="824"/>
      <c r="CZ5" s="824"/>
      <c r="DA5" s="824"/>
      <c r="DB5" s="824"/>
      <c r="DC5" s="824"/>
      <c r="DD5" s="824"/>
      <c r="DE5" s="824"/>
      <c r="DF5" s="824"/>
      <c r="DG5" s="824"/>
      <c r="DH5" s="824"/>
      <c r="DI5" s="824"/>
      <c r="DJ5" s="824"/>
      <c r="DK5" s="824"/>
      <c r="DL5" s="824"/>
      <c r="DM5" s="824"/>
      <c r="DN5" s="824"/>
      <c r="DO5" s="824"/>
      <c r="DP5" s="824"/>
      <c r="DQ5" s="824"/>
      <c r="DR5" s="824"/>
      <c r="DS5" s="824"/>
      <c r="DT5" s="824"/>
      <c r="DU5" s="824"/>
      <c r="DV5" s="824"/>
      <c r="DW5" s="824"/>
      <c r="DX5" s="824"/>
      <c r="DY5" s="824"/>
      <c r="DZ5" s="824"/>
      <c r="EA5" s="824"/>
      <c r="EB5" s="824"/>
      <c r="EC5" s="824"/>
      <c r="ED5" s="824"/>
      <c r="EE5" s="824"/>
      <c r="EF5" s="824"/>
      <c r="EG5" s="824"/>
      <c r="EH5" s="824"/>
      <c r="EI5" s="824"/>
      <c r="EJ5" s="824"/>
      <c r="EK5" s="824"/>
      <c r="EL5" s="824"/>
      <c r="EM5" s="824"/>
      <c r="EN5" s="824"/>
      <c r="EO5" s="824"/>
      <c r="EP5" s="824"/>
      <c r="EQ5" s="824"/>
      <c r="ER5" s="824"/>
      <c r="ES5" s="824"/>
      <c r="ET5" s="824"/>
      <c r="EU5" s="824"/>
      <c r="EV5" s="824"/>
      <c r="EW5" s="824"/>
      <c r="EX5" s="824"/>
      <c r="EY5" s="824"/>
      <c r="EZ5" s="824"/>
      <c r="FA5" s="824"/>
      <c r="FB5" s="824"/>
      <c r="FC5" s="824"/>
      <c r="FD5" s="824"/>
      <c r="FE5" s="824"/>
      <c r="FF5" s="824"/>
      <c r="FG5" s="824"/>
      <c r="FH5" s="824"/>
      <c r="FI5" s="824"/>
      <c r="FJ5" s="824"/>
      <c r="FK5" s="824"/>
      <c r="FL5" s="824"/>
      <c r="FM5" s="824"/>
      <c r="FN5" s="824"/>
      <c r="FO5" s="824"/>
      <c r="FP5" s="824"/>
      <c r="FQ5" s="824"/>
      <c r="FR5" s="824"/>
      <c r="FS5" s="824"/>
      <c r="FT5" s="824"/>
      <c r="FU5" s="824"/>
      <c r="FV5" s="824"/>
      <c r="FW5" s="824"/>
      <c r="FX5" s="824"/>
      <c r="FY5" s="824"/>
      <c r="FZ5" s="824"/>
      <c r="GA5" s="824"/>
      <c r="GB5" s="824"/>
      <c r="GC5" s="824"/>
      <c r="GD5" s="824"/>
      <c r="GE5" s="824"/>
      <c r="GF5" s="824"/>
      <c r="GG5" s="824"/>
      <c r="GH5" s="824"/>
      <c r="GI5" s="824"/>
      <c r="GJ5" s="824"/>
      <c r="GK5" s="824"/>
      <c r="GL5" s="824"/>
      <c r="GM5" s="824"/>
      <c r="GN5" s="824"/>
      <c r="GO5" s="824"/>
      <c r="GP5" s="824"/>
      <c r="GQ5" s="824"/>
      <c r="GR5" s="824"/>
      <c r="GS5" s="824"/>
      <c r="GT5" s="824"/>
      <c r="GU5" s="824"/>
      <c r="GV5" s="824"/>
      <c r="GW5" s="824"/>
      <c r="GX5" s="824"/>
      <c r="GY5" s="824"/>
      <c r="GZ5" s="824"/>
      <c r="HA5" s="824"/>
      <c r="HB5" s="824"/>
      <c r="HC5" s="824"/>
      <c r="HD5" s="824"/>
      <c r="HE5" s="824"/>
      <c r="HF5" s="824"/>
      <c r="HG5" s="824"/>
      <c r="HH5" s="824"/>
      <c r="HI5" s="824"/>
      <c r="HJ5" s="824"/>
      <c r="HK5" s="824"/>
      <c r="HL5" s="824"/>
      <c r="HM5" s="824"/>
      <c r="HN5" s="824"/>
      <c r="HO5" s="824"/>
      <c r="HP5" s="824"/>
      <c r="HQ5" s="824"/>
      <c r="HR5" s="824"/>
      <c r="HS5" s="824"/>
      <c r="HT5" s="824"/>
      <c r="HU5" s="824"/>
      <c r="HV5" s="824"/>
      <c r="HW5" s="824"/>
      <c r="HX5" s="824"/>
      <c r="HY5" s="824"/>
      <c r="HZ5" s="824"/>
      <c r="IA5" s="824"/>
      <c r="IB5" s="824"/>
      <c r="IC5" s="824"/>
      <c r="ID5" s="824"/>
      <c r="IE5" s="824"/>
      <c r="IF5" s="824"/>
      <c r="IG5" s="824"/>
      <c r="IH5" s="824"/>
      <c r="II5" s="824"/>
      <c r="IJ5" s="824"/>
      <c r="IK5" s="824"/>
      <c r="IL5" s="824"/>
      <c r="IM5" s="824"/>
      <c r="IN5" s="824"/>
      <c r="IO5" s="824"/>
      <c r="IP5" s="824"/>
    </row>
    <row r="6" spans="2:12" ht="30" customHeight="1">
      <c r="B6" s="1682" t="s">
        <v>18</v>
      </c>
      <c r="C6" s="1685" t="s">
        <v>19</v>
      </c>
      <c r="D6" s="1688" t="s">
        <v>6</v>
      </c>
      <c r="E6" s="1666" t="s">
        <v>21</v>
      </c>
      <c r="F6" s="1666" t="s">
        <v>644</v>
      </c>
      <c r="G6" s="1663" t="s">
        <v>641</v>
      </c>
      <c r="H6" s="1694" t="s">
        <v>303</v>
      </c>
      <c r="I6" s="1697" t="s">
        <v>645</v>
      </c>
      <c r="J6" s="1697"/>
      <c r="K6" s="1698"/>
      <c r="L6" s="1679" t="s">
        <v>656</v>
      </c>
    </row>
    <row r="7" spans="2:12" ht="45" customHeight="1">
      <c r="B7" s="1683"/>
      <c r="C7" s="1686"/>
      <c r="D7" s="1689"/>
      <c r="E7" s="1667"/>
      <c r="F7" s="1667"/>
      <c r="G7" s="1664"/>
      <c r="H7" s="1695"/>
      <c r="I7" s="815" t="s">
        <v>39</v>
      </c>
      <c r="J7" s="1118" t="s">
        <v>163</v>
      </c>
      <c r="K7" s="1692" t="s">
        <v>129</v>
      </c>
      <c r="L7" s="1680"/>
    </row>
    <row r="8" spans="2:12" ht="53.25" customHeight="1" thickBot="1">
      <c r="B8" s="1684"/>
      <c r="C8" s="1687"/>
      <c r="D8" s="1690"/>
      <c r="E8" s="1668"/>
      <c r="F8" s="1668"/>
      <c r="G8" s="1665"/>
      <c r="H8" s="1696"/>
      <c r="I8" s="1110" t="s">
        <v>42</v>
      </c>
      <c r="J8" s="851" t="s">
        <v>232</v>
      </c>
      <c r="K8" s="1693"/>
      <c r="L8" s="1681"/>
    </row>
    <row r="9" spans="1:12" ht="23.25" customHeight="1">
      <c r="A9" s="825">
        <v>1</v>
      </c>
      <c r="B9" s="1109">
        <v>18</v>
      </c>
      <c r="C9" s="1101" t="s">
        <v>22</v>
      </c>
      <c r="D9" s="836"/>
      <c r="E9" s="817"/>
      <c r="F9" s="837"/>
      <c r="G9" s="818"/>
      <c r="H9" s="1159"/>
      <c r="I9" s="1111"/>
      <c r="J9" s="852"/>
      <c r="K9" s="853"/>
      <c r="L9" s="838"/>
    </row>
    <row r="10" spans="1:12" ht="22.5" customHeight="1">
      <c r="A10" s="825">
        <v>2</v>
      </c>
      <c r="B10" s="839"/>
      <c r="C10" s="840">
        <v>1</v>
      </c>
      <c r="D10" s="1226" t="s">
        <v>808</v>
      </c>
      <c r="E10" s="842">
        <f>F10+G10+K10+L10</f>
        <v>24000</v>
      </c>
      <c r="F10" s="843">
        <v>10000</v>
      </c>
      <c r="G10" s="844">
        <v>9000</v>
      </c>
      <c r="H10" s="1160" t="s">
        <v>23</v>
      </c>
      <c r="I10" s="1112"/>
      <c r="J10" s="1227">
        <v>5000</v>
      </c>
      <c r="K10" s="855">
        <f aca="true" t="shared" si="0" ref="K10:K39">SUM(I10:J10)</f>
        <v>5000</v>
      </c>
      <c r="L10" s="845"/>
    </row>
    <row r="11" spans="1:12" ht="22.5" customHeight="1">
      <c r="A11" s="825">
        <v>3</v>
      </c>
      <c r="B11" s="839"/>
      <c r="C11" s="840">
        <v>2</v>
      </c>
      <c r="D11" s="1211" t="s">
        <v>748</v>
      </c>
      <c r="E11" s="842">
        <f aca="true" t="shared" si="1" ref="E11:E45">F11+G11+K11+L11</f>
        <v>415208</v>
      </c>
      <c r="F11" s="843">
        <v>127108</v>
      </c>
      <c r="G11" s="844">
        <v>129978</v>
      </c>
      <c r="H11" s="1160" t="s">
        <v>24</v>
      </c>
      <c r="I11" s="1112"/>
      <c r="J11" s="854">
        <f>58122+100000</f>
        <v>158122</v>
      </c>
      <c r="K11" s="855">
        <f t="shared" si="0"/>
        <v>158122</v>
      </c>
      <c r="L11" s="845"/>
    </row>
    <row r="12" spans="1:16" ht="22.5" customHeight="1">
      <c r="A12" s="825">
        <v>4</v>
      </c>
      <c r="B12" s="839"/>
      <c r="C12" s="840">
        <v>3</v>
      </c>
      <c r="D12" s="1211" t="s">
        <v>749</v>
      </c>
      <c r="E12" s="842">
        <f t="shared" si="1"/>
        <v>50000</v>
      </c>
      <c r="F12" s="843"/>
      <c r="G12" s="844">
        <v>450</v>
      </c>
      <c r="H12" s="1160" t="s">
        <v>23</v>
      </c>
      <c r="I12" s="1112"/>
      <c r="J12" s="854">
        <f>29550+20000</f>
        <v>49550</v>
      </c>
      <c r="K12" s="855">
        <f t="shared" si="0"/>
        <v>49550</v>
      </c>
      <c r="L12" s="845"/>
      <c r="M12" s="826"/>
      <c r="N12" s="826"/>
      <c r="O12" s="826"/>
      <c r="P12" s="826"/>
    </row>
    <row r="13" spans="1:12" ht="22.5" customHeight="1">
      <c r="A13" s="825">
        <v>5</v>
      </c>
      <c r="B13" s="839"/>
      <c r="C13" s="840">
        <v>4</v>
      </c>
      <c r="D13" s="1211" t="s">
        <v>598</v>
      </c>
      <c r="E13" s="842">
        <f t="shared" si="1"/>
        <v>11234</v>
      </c>
      <c r="F13" s="843">
        <v>9999</v>
      </c>
      <c r="G13" s="844"/>
      <c r="H13" s="1160" t="s">
        <v>24</v>
      </c>
      <c r="I13" s="1112"/>
      <c r="J13" s="854">
        <v>1235</v>
      </c>
      <c r="K13" s="855">
        <f t="shared" si="0"/>
        <v>1235</v>
      </c>
      <c r="L13" s="845"/>
    </row>
    <row r="14" spans="1:12" ht="22.5" customHeight="1">
      <c r="A14" s="825">
        <v>6</v>
      </c>
      <c r="B14" s="839"/>
      <c r="C14" s="840">
        <v>5</v>
      </c>
      <c r="D14" s="1211" t="s">
        <v>596</v>
      </c>
      <c r="E14" s="842">
        <f t="shared" si="1"/>
        <v>3180</v>
      </c>
      <c r="F14" s="843">
        <v>2350</v>
      </c>
      <c r="G14" s="844">
        <v>735</v>
      </c>
      <c r="H14" s="1160" t="s">
        <v>24</v>
      </c>
      <c r="I14" s="1112"/>
      <c r="J14" s="854">
        <v>95</v>
      </c>
      <c r="K14" s="855">
        <f t="shared" si="0"/>
        <v>95</v>
      </c>
      <c r="L14" s="845"/>
    </row>
    <row r="15" spans="1:12" ht="22.5" customHeight="1">
      <c r="A15" s="825">
        <v>7</v>
      </c>
      <c r="B15" s="839"/>
      <c r="C15" s="840">
        <v>6</v>
      </c>
      <c r="D15" s="1211" t="s">
        <v>730</v>
      </c>
      <c r="E15" s="842">
        <f t="shared" si="1"/>
        <v>28500</v>
      </c>
      <c r="F15" s="842"/>
      <c r="G15" s="844">
        <v>20000</v>
      </c>
      <c r="H15" s="1160" t="s">
        <v>24</v>
      </c>
      <c r="I15" s="1113"/>
      <c r="J15" s="842">
        <v>8500</v>
      </c>
      <c r="K15" s="856">
        <f t="shared" si="0"/>
        <v>8500</v>
      </c>
      <c r="L15" s="845"/>
    </row>
    <row r="16" spans="1:12" ht="22.5" customHeight="1">
      <c r="A16" s="825">
        <v>8</v>
      </c>
      <c r="B16" s="839"/>
      <c r="C16" s="840">
        <v>7</v>
      </c>
      <c r="D16" s="1211" t="s">
        <v>750</v>
      </c>
      <c r="E16" s="842">
        <f t="shared" si="1"/>
        <v>25833</v>
      </c>
      <c r="F16" s="842">
        <v>330</v>
      </c>
      <c r="G16" s="844"/>
      <c r="H16" s="1160" t="s">
        <v>24</v>
      </c>
      <c r="I16" s="1113"/>
      <c r="J16" s="842">
        <f>503+25000</f>
        <v>25503</v>
      </c>
      <c r="K16" s="856">
        <f t="shared" si="0"/>
        <v>25503</v>
      </c>
      <c r="L16" s="845"/>
    </row>
    <row r="17" spans="1:12" ht="22.5" customHeight="1">
      <c r="A17" s="825">
        <v>9</v>
      </c>
      <c r="B17" s="839"/>
      <c r="C17" s="840">
        <v>8</v>
      </c>
      <c r="D17" s="1211" t="s">
        <v>317</v>
      </c>
      <c r="E17" s="842">
        <f t="shared" si="1"/>
        <v>32400</v>
      </c>
      <c r="F17" s="842"/>
      <c r="G17" s="844">
        <v>6728</v>
      </c>
      <c r="H17" s="1160" t="s">
        <v>23</v>
      </c>
      <c r="I17" s="1113">
        <v>300</v>
      </c>
      <c r="J17" s="842">
        <f>16772+8600</f>
        <v>25372</v>
      </c>
      <c r="K17" s="856">
        <f t="shared" si="0"/>
        <v>25672</v>
      </c>
      <c r="L17" s="845"/>
    </row>
    <row r="18" spans="1:12" ht="22.5" customHeight="1">
      <c r="A18" s="825">
        <v>10</v>
      </c>
      <c r="B18" s="839"/>
      <c r="C18" s="846"/>
      <c r="D18" s="1212" t="s">
        <v>315</v>
      </c>
      <c r="E18" s="842"/>
      <c r="F18" s="843"/>
      <c r="G18" s="844"/>
      <c r="H18" s="1160" t="s">
        <v>23</v>
      </c>
      <c r="I18" s="1112"/>
      <c r="J18" s="854"/>
      <c r="K18" s="855"/>
      <c r="L18" s="845"/>
    </row>
    <row r="19" spans="1:13" ht="22.5" customHeight="1">
      <c r="A19" s="825">
        <v>11</v>
      </c>
      <c r="B19" s="839"/>
      <c r="C19" s="840">
        <v>9</v>
      </c>
      <c r="D19" s="1213" t="s">
        <v>751</v>
      </c>
      <c r="E19" s="842">
        <f t="shared" si="1"/>
        <v>7000</v>
      </c>
      <c r="F19" s="843"/>
      <c r="G19" s="844">
        <v>6789</v>
      </c>
      <c r="H19" s="1160"/>
      <c r="I19" s="1112"/>
      <c r="J19" s="854">
        <v>211</v>
      </c>
      <c r="K19" s="855">
        <f t="shared" si="0"/>
        <v>211</v>
      </c>
      <c r="L19" s="845"/>
      <c r="M19" s="826"/>
    </row>
    <row r="20" spans="1:12" ht="22.5" customHeight="1">
      <c r="A20" s="825">
        <v>12</v>
      </c>
      <c r="B20" s="839"/>
      <c r="C20" s="846"/>
      <c r="D20" s="1214" t="s">
        <v>314</v>
      </c>
      <c r="E20" s="842"/>
      <c r="F20" s="843"/>
      <c r="G20" s="844"/>
      <c r="H20" s="1160" t="s">
        <v>23</v>
      </c>
      <c r="I20" s="1112"/>
      <c r="J20" s="854"/>
      <c r="K20" s="855"/>
      <c r="L20" s="845"/>
    </row>
    <row r="21" spans="1:12" ht="22.5" customHeight="1">
      <c r="A21" s="825">
        <v>13</v>
      </c>
      <c r="B21" s="839"/>
      <c r="C21" s="840">
        <v>10</v>
      </c>
      <c r="D21" s="1213" t="s">
        <v>752</v>
      </c>
      <c r="E21" s="842">
        <f t="shared" si="1"/>
        <v>6300</v>
      </c>
      <c r="F21" s="843"/>
      <c r="G21" s="844"/>
      <c r="H21" s="1160"/>
      <c r="I21" s="1112"/>
      <c r="J21" s="854">
        <v>6300</v>
      </c>
      <c r="K21" s="855">
        <f t="shared" si="0"/>
        <v>6300</v>
      </c>
      <c r="L21" s="845"/>
    </row>
    <row r="22" spans="1:12" ht="22.5" customHeight="1">
      <c r="A22" s="825">
        <v>14</v>
      </c>
      <c r="B22" s="839"/>
      <c r="C22" s="840"/>
      <c r="D22" s="1215" t="s">
        <v>475</v>
      </c>
      <c r="E22" s="842">
        <f t="shared" si="1"/>
        <v>0</v>
      </c>
      <c r="F22" s="843"/>
      <c r="G22" s="844"/>
      <c r="H22" s="1160"/>
      <c r="I22" s="1112"/>
      <c r="J22" s="854"/>
      <c r="K22" s="855"/>
      <c r="L22" s="845"/>
    </row>
    <row r="23" spans="1:14" ht="22.5" customHeight="1">
      <c r="A23" s="825">
        <v>15</v>
      </c>
      <c r="B23" s="839"/>
      <c r="C23" s="840">
        <v>11</v>
      </c>
      <c r="D23" s="1247" t="s">
        <v>753</v>
      </c>
      <c r="E23" s="842">
        <f t="shared" si="1"/>
        <v>9500</v>
      </c>
      <c r="F23" s="843"/>
      <c r="G23" s="844">
        <v>7268</v>
      </c>
      <c r="H23" s="1160"/>
      <c r="I23" s="1112"/>
      <c r="J23" s="854">
        <v>2232</v>
      </c>
      <c r="K23" s="855">
        <f t="shared" si="0"/>
        <v>2232</v>
      </c>
      <c r="L23" s="845"/>
      <c r="M23" s="826"/>
      <c r="N23" s="826"/>
    </row>
    <row r="24" spans="1:14" ht="22.5" customHeight="1">
      <c r="A24" s="825">
        <v>16</v>
      </c>
      <c r="B24" s="839"/>
      <c r="C24" s="846"/>
      <c r="D24" s="1214" t="s">
        <v>267</v>
      </c>
      <c r="E24" s="842"/>
      <c r="F24" s="843"/>
      <c r="G24" s="844"/>
      <c r="H24" s="1160" t="s">
        <v>23</v>
      </c>
      <c r="I24" s="1112"/>
      <c r="J24" s="854"/>
      <c r="K24" s="855"/>
      <c r="L24" s="845"/>
      <c r="M24" s="847"/>
      <c r="N24" s="826"/>
    </row>
    <row r="25" spans="1:14" ht="22.5" customHeight="1">
      <c r="A25" s="825">
        <v>17</v>
      </c>
      <c r="B25" s="839"/>
      <c r="C25" s="840"/>
      <c r="D25" s="1215" t="s">
        <v>754</v>
      </c>
      <c r="E25" s="842"/>
      <c r="F25" s="843"/>
      <c r="G25" s="844"/>
      <c r="H25" s="1160"/>
      <c r="I25" s="1112"/>
      <c r="J25" s="854"/>
      <c r="K25" s="855"/>
      <c r="L25" s="845"/>
      <c r="M25" s="847"/>
      <c r="N25" s="826"/>
    </row>
    <row r="26" spans="1:12" ht="22.5" customHeight="1">
      <c r="A26" s="825">
        <v>18</v>
      </c>
      <c r="B26" s="839"/>
      <c r="C26" s="840">
        <v>12</v>
      </c>
      <c r="D26" s="1213" t="s">
        <v>755</v>
      </c>
      <c r="E26" s="842">
        <f t="shared" si="1"/>
        <v>3500</v>
      </c>
      <c r="F26" s="843"/>
      <c r="G26" s="844"/>
      <c r="H26" s="1160"/>
      <c r="I26" s="1112"/>
      <c r="J26" s="854">
        <v>3500</v>
      </c>
      <c r="K26" s="855">
        <f t="shared" si="0"/>
        <v>3500</v>
      </c>
      <c r="L26" s="845"/>
    </row>
    <row r="27" spans="1:12" ht="22.5" customHeight="1">
      <c r="A27" s="825">
        <v>19</v>
      </c>
      <c r="B27" s="839"/>
      <c r="C27" s="846"/>
      <c r="D27" s="1215" t="s">
        <v>756</v>
      </c>
      <c r="E27" s="842"/>
      <c r="F27" s="843"/>
      <c r="G27" s="844"/>
      <c r="H27" s="1160"/>
      <c r="I27" s="1112"/>
      <c r="J27" s="854"/>
      <c r="K27" s="855"/>
      <c r="L27" s="845"/>
    </row>
    <row r="28" spans="1:12" ht="22.5" customHeight="1">
      <c r="A28" s="825">
        <v>20</v>
      </c>
      <c r="B28" s="839"/>
      <c r="C28" s="840">
        <v>13</v>
      </c>
      <c r="D28" s="1213" t="s">
        <v>755</v>
      </c>
      <c r="E28" s="842">
        <f t="shared" si="1"/>
        <v>9400</v>
      </c>
      <c r="F28" s="843"/>
      <c r="G28" s="844"/>
      <c r="H28" s="1160"/>
      <c r="I28" s="1112"/>
      <c r="J28" s="854">
        <v>9400</v>
      </c>
      <c r="K28" s="855">
        <f t="shared" si="0"/>
        <v>9400</v>
      </c>
      <c r="L28" s="845"/>
    </row>
    <row r="29" spans="1:13" ht="22.5" customHeight="1">
      <c r="A29" s="825">
        <v>21</v>
      </c>
      <c r="B29" s="839"/>
      <c r="C29" s="846"/>
      <c r="D29" s="1214" t="s">
        <v>757</v>
      </c>
      <c r="E29" s="842"/>
      <c r="F29" s="843"/>
      <c r="G29" s="844"/>
      <c r="H29" s="1160" t="s">
        <v>23</v>
      </c>
      <c r="I29" s="1112"/>
      <c r="J29" s="854"/>
      <c r="K29" s="855"/>
      <c r="L29" s="845"/>
      <c r="M29" s="848"/>
    </row>
    <row r="30" spans="1:12" ht="22.5" customHeight="1">
      <c r="A30" s="825">
        <v>22</v>
      </c>
      <c r="B30" s="839"/>
      <c r="C30" s="846"/>
      <c r="D30" s="1215" t="s">
        <v>476</v>
      </c>
      <c r="E30" s="842"/>
      <c r="F30" s="843"/>
      <c r="G30" s="844"/>
      <c r="H30" s="1160"/>
      <c r="I30" s="1112"/>
      <c r="J30" s="854"/>
      <c r="K30" s="855"/>
      <c r="L30" s="845"/>
    </row>
    <row r="31" spans="1:12" ht="22.5" customHeight="1">
      <c r="A31" s="825">
        <v>23</v>
      </c>
      <c r="B31" s="839"/>
      <c r="C31" s="840">
        <v>14</v>
      </c>
      <c r="D31" s="1213" t="s">
        <v>758</v>
      </c>
      <c r="E31" s="842">
        <f t="shared" si="1"/>
        <v>2000</v>
      </c>
      <c r="F31" s="843"/>
      <c r="G31" s="844">
        <v>1231</v>
      </c>
      <c r="H31" s="1160"/>
      <c r="I31" s="1112"/>
      <c r="J31" s="854">
        <v>769</v>
      </c>
      <c r="K31" s="855">
        <f t="shared" si="0"/>
        <v>769</v>
      </c>
      <c r="L31" s="845"/>
    </row>
    <row r="32" spans="1:12" ht="22.5" customHeight="1">
      <c r="A32" s="825">
        <v>24</v>
      </c>
      <c r="B32" s="839"/>
      <c r="C32" s="840">
        <v>15</v>
      </c>
      <c r="D32" s="1213" t="s">
        <v>759</v>
      </c>
      <c r="E32" s="842">
        <f t="shared" si="1"/>
        <v>4800</v>
      </c>
      <c r="F32" s="843"/>
      <c r="G32" s="844">
        <v>4551</v>
      </c>
      <c r="H32" s="1160"/>
      <c r="I32" s="1112"/>
      <c r="J32" s="854">
        <v>249</v>
      </c>
      <c r="K32" s="855">
        <f t="shared" si="0"/>
        <v>249</v>
      </c>
      <c r="L32" s="845"/>
    </row>
    <row r="33" spans="1:22" ht="22.5" customHeight="1">
      <c r="A33" s="825">
        <v>25</v>
      </c>
      <c r="B33" s="839"/>
      <c r="C33" s="846"/>
      <c r="D33" s="1216" t="s">
        <v>760</v>
      </c>
      <c r="E33" s="842"/>
      <c r="F33" s="843"/>
      <c r="G33" s="844"/>
      <c r="H33" s="1160" t="s">
        <v>23</v>
      </c>
      <c r="I33" s="1112"/>
      <c r="J33" s="854"/>
      <c r="K33" s="855"/>
      <c r="L33" s="845"/>
      <c r="M33" s="826"/>
      <c r="N33" s="826"/>
      <c r="O33" s="826"/>
      <c r="P33" s="826"/>
      <c r="Q33" s="826"/>
      <c r="R33" s="826"/>
      <c r="S33" s="826"/>
      <c r="T33" s="826"/>
      <c r="U33" s="826"/>
      <c r="V33" s="826"/>
    </row>
    <row r="34" spans="1:12" ht="22.5" customHeight="1">
      <c r="A34" s="825">
        <v>26</v>
      </c>
      <c r="B34" s="839"/>
      <c r="C34" s="840"/>
      <c r="D34" s="1217" t="s">
        <v>761</v>
      </c>
      <c r="E34" s="842"/>
      <c r="F34" s="843"/>
      <c r="G34" s="844"/>
      <c r="H34" s="1160"/>
      <c r="I34" s="1112"/>
      <c r="J34" s="854"/>
      <c r="K34" s="855"/>
      <c r="L34" s="845"/>
    </row>
    <row r="35" spans="1:12" ht="22.5" customHeight="1">
      <c r="A35" s="825">
        <v>27</v>
      </c>
      <c r="B35" s="839"/>
      <c r="C35" s="840">
        <v>16</v>
      </c>
      <c r="D35" s="1213" t="s">
        <v>762</v>
      </c>
      <c r="E35" s="842">
        <f t="shared" si="1"/>
        <v>1200</v>
      </c>
      <c r="F35" s="843"/>
      <c r="G35" s="844">
        <v>1125</v>
      </c>
      <c r="H35" s="1160"/>
      <c r="I35" s="1112"/>
      <c r="J35" s="854">
        <v>75</v>
      </c>
      <c r="K35" s="855">
        <f t="shared" si="0"/>
        <v>75</v>
      </c>
      <c r="L35" s="845"/>
    </row>
    <row r="36" spans="1:12" ht="22.5" customHeight="1">
      <c r="A36" s="825">
        <v>28</v>
      </c>
      <c r="B36" s="839"/>
      <c r="C36" s="840">
        <v>17</v>
      </c>
      <c r="D36" s="1213" t="s">
        <v>763</v>
      </c>
      <c r="E36" s="842">
        <f t="shared" si="1"/>
        <v>5000</v>
      </c>
      <c r="F36" s="843"/>
      <c r="G36" s="844"/>
      <c r="H36" s="1160"/>
      <c r="I36" s="1112"/>
      <c r="J36" s="854">
        <v>5000</v>
      </c>
      <c r="K36" s="855">
        <f t="shared" si="0"/>
        <v>5000</v>
      </c>
      <c r="L36" s="845"/>
    </row>
    <row r="37" spans="1:12" ht="22.5" customHeight="1">
      <c r="A37" s="825">
        <v>29</v>
      </c>
      <c r="B37" s="839"/>
      <c r="C37" s="840"/>
      <c r="D37" s="1218" t="s">
        <v>764</v>
      </c>
      <c r="E37" s="842"/>
      <c r="F37" s="843"/>
      <c r="G37" s="844"/>
      <c r="H37" s="1160" t="s">
        <v>23</v>
      </c>
      <c r="I37" s="1112"/>
      <c r="J37" s="854"/>
      <c r="K37" s="855"/>
      <c r="L37" s="845"/>
    </row>
    <row r="38" spans="1:12" ht="22.5" customHeight="1">
      <c r="A38" s="825">
        <v>30</v>
      </c>
      <c r="B38" s="839"/>
      <c r="C38" s="846"/>
      <c r="D38" s="1215" t="s">
        <v>480</v>
      </c>
      <c r="E38" s="842"/>
      <c r="F38" s="843"/>
      <c r="G38" s="844"/>
      <c r="H38" s="1160"/>
      <c r="I38" s="1112"/>
      <c r="J38" s="854"/>
      <c r="K38" s="855"/>
      <c r="L38" s="845"/>
    </row>
    <row r="39" spans="1:12" ht="22.5" customHeight="1">
      <c r="A39" s="825">
        <v>31</v>
      </c>
      <c r="B39" s="839"/>
      <c r="C39" s="840">
        <v>18</v>
      </c>
      <c r="D39" s="1213" t="s">
        <v>765</v>
      </c>
      <c r="E39" s="842">
        <f t="shared" si="1"/>
        <v>9200</v>
      </c>
      <c r="F39" s="842"/>
      <c r="G39" s="844"/>
      <c r="H39" s="1160"/>
      <c r="I39" s="1113"/>
      <c r="J39" s="842">
        <v>9200</v>
      </c>
      <c r="K39" s="856">
        <f t="shared" si="0"/>
        <v>9200</v>
      </c>
      <c r="L39" s="845"/>
    </row>
    <row r="40" spans="1:12" ht="22.5" customHeight="1">
      <c r="A40" s="825">
        <v>32</v>
      </c>
      <c r="B40" s="839"/>
      <c r="C40" s="840"/>
      <c r="D40" s="767" t="s">
        <v>533</v>
      </c>
      <c r="E40" s="842"/>
      <c r="F40" s="842"/>
      <c r="G40" s="844"/>
      <c r="H40" s="1160" t="s">
        <v>23</v>
      </c>
      <c r="I40" s="1113"/>
      <c r="J40" s="842"/>
      <c r="K40" s="856"/>
      <c r="L40" s="845"/>
    </row>
    <row r="41" spans="1:12" ht="22.5" customHeight="1">
      <c r="A41" s="825">
        <v>33</v>
      </c>
      <c r="B41" s="839"/>
      <c r="C41" s="846"/>
      <c r="D41" s="1215" t="s">
        <v>766</v>
      </c>
      <c r="E41" s="842"/>
      <c r="F41" s="842"/>
      <c r="G41" s="844"/>
      <c r="H41" s="1160"/>
      <c r="I41" s="1113"/>
      <c r="J41" s="842"/>
      <c r="K41" s="856"/>
      <c r="L41" s="845"/>
    </row>
    <row r="42" spans="1:12" ht="22.5" customHeight="1">
      <c r="A42" s="825">
        <v>34</v>
      </c>
      <c r="B42" s="839"/>
      <c r="C42" s="840">
        <v>19</v>
      </c>
      <c r="D42" s="1213" t="s">
        <v>767</v>
      </c>
      <c r="E42" s="842">
        <f t="shared" si="1"/>
        <v>2500</v>
      </c>
      <c r="F42" s="842"/>
      <c r="G42" s="844">
        <v>2394</v>
      </c>
      <c r="H42" s="1160"/>
      <c r="I42" s="1113"/>
      <c r="J42" s="842">
        <v>106</v>
      </c>
      <c r="K42" s="856">
        <f>SUM(I42:J42)</f>
        <v>106</v>
      </c>
      <c r="L42" s="845"/>
    </row>
    <row r="43" spans="1:12" ht="22.5" customHeight="1">
      <c r="A43" s="825">
        <v>35</v>
      </c>
      <c r="B43" s="839"/>
      <c r="C43" s="840"/>
      <c r="D43" s="1216" t="s">
        <v>25</v>
      </c>
      <c r="E43" s="842"/>
      <c r="F43" s="842"/>
      <c r="G43" s="844"/>
      <c r="H43" s="1160" t="s">
        <v>23</v>
      </c>
      <c r="I43" s="1113"/>
      <c r="J43" s="842"/>
      <c r="K43" s="856"/>
      <c r="L43" s="845"/>
    </row>
    <row r="44" spans="1:12" ht="22.5" customHeight="1">
      <c r="A44" s="825">
        <v>36</v>
      </c>
      <c r="B44" s="839"/>
      <c r="C44" s="840">
        <v>20</v>
      </c>
      <c r="D44" s="1213" t="s">
        <v>987</v>
      </c>
      <c r="E44" s="842">
        <f t="shared" si="1"/>
        <v>8020</v>
      </c>
      <c r="F44" s="843"/>
      <c r="G44" s="844"/>
      <c r="H44" s="1161"/>
      <c r="I44" s="1113"/>
      <c r="J44" s="842">
        <v>8020</v>
      </c>
      <c r="K44" s="856">
        <f>SUM(I44:J44)</f>
        <v>8020</v>
      </c>
      <c r="L44" s="845"/>
    </row>
    <row r="45" spans="1:12" ht="22.5" customHeight="1" thickBot="1">
      <c r="A45" s="825">
        <v>37</v>
      </c>
      <c r="B45" s="839"/>
      <c r="C45" s="840">
        <v>21</v>
      </c>
      <c r="D45" s="1213" t="s">
        <v>768</v>
      </c>
      <c r="E45" s="842">
        <f t="shared" si="1"/>
        <v>1500</v>
      </c>
      <c r="F45" s="843"/>
      <c r="G45" s="844"/>
      <c r="H45" s="1161"/>
      <c r="I45" s="1113"/>
      <c r="J45" s="842">
        <v>1500</v>
      </c>
      <c r="K45" s="856">
        <f>SUM(I45:J45)</f>
        <v>1500</v>
      </c>
      <c r="L45" s="845"/>
    </row>
    <row r="46" spans="1:12" ht="36" customHeight="1" thickBot="1">
      <c r="A46" s="825">
        <v>38</v>
      </c>
      <c r="B46" s="1670" t="s">
        <v>13</v>
      </c>
      <c r="C46" s="1671"/>
      <c r="D46" s="1671"/>
      <c r="E46" s="1671"/>
      <c r="F46" s="1671"/>
      <c r="G46" s="1672"/>
      <c r="H46" s="1117"/>
      <c r="I46" s="1114">
        <f>SUM(I10:I45)</f>
        <v>300</v>
      </c>
      <c r="J46" s="1114">
        <f>SUM(J10:J45)</f>
        <v>319939</v>
      </c>
      <c r="K46" s="1115">
        <f>SUM(I46:J46)</f>
        <v>320239</v>
      </c>
      <c r="L46" s="1116"/>
    </row>
    <row r="47" spans="2:11" ht="18" customHeight="1">
      <c r="B47" s="819" t="s">
        <v>27</v>
      </c>
      <c r="C47" s="819"/>
      <c r="D47" s="819"/>
      <c r="E47" s="820"/>
      <c r="F47" s="821"/>
      <c r="G47" s="820"/>
      <c r="H47" s="808"/>
      <c r="I47" s="820"/>
      <c r="J47" s="820"/>
      <c r="K47" s="820"/>
    </row>
    <row r="48" spans="2:11" ht="18" customHeight="1">
      <c r="B48" s="819" t="s">
        <v>28</v>
      </c>
      <c r="C48" s="819"/>
      <c r="D48" s="819"/>
      <c r="E48" s="809"/>
      <c r="F48" s="821"/>
      <c r="G48" s="820"/>
      <c r="H48" s="808"/>
      <c r="I48" s="820"/>
      <c r="J48" s="820"/>
      <c r="K48" s="820"/>
    </row>
    <row r="49" spans="2:11" ht="18" customHeight="1">
      <c r="B49" s="819" t="s">
        <v>29</v>
      </c>
      <c r="C49" s="819"/>
      <c r="D49" s="819"/>
      <c r="E49" s="809"/>
      <c r="F49" s="821"/>
      <c r="G49" s="820"/>
      <c r="H49" s="808"/>
      <c r="I49" s="820"/>
      <c r="J49" s="820"/>
      <c r="K49" s="820"/>
    </row>
    <row r="50" spans="1:252" s="810" customFormat="1" ht="15">
      <c r="A50" s="824"/>
      <c r="B50" s="812"/>
      <c r="C50" s="813"/>
      <c r="D50" s="814"/>
      <c r="H50" s="815"/>
      <c r="L50" s="822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11"/>
      <c r="Z50" s="811"/>
      <c r="AA50" s="811"/>
      <c r="AB50" s="811"/>
      <c r="AC50" s="811"/>
      <c r="AD50" s="811"/>
      <c r="AE50" s="811"/>
      <c r="AF50" s="811"/>
      <c r="AG50" s="811"/>
      <c r="AH50" s="811"/>
      <c r="AI50" s="811"/>
      <c r="AJ50" s="811"/>
      <c r="AK50" s="811"/>
      <c r="AL50" s="811"/>
      <c r="AM50" s="811"/>
      <c r="AN50" s="811"/>
      <c r="AO50" s="811"/>
      <c r="AP50" s="811"/>
      <c r="AQ50" s="811"/>
      <c r="AR50" s="811"/>
      <c r="AS50" s="811"/>
      <c r="AT50" s="811"/>
      <c r="AU50" s="811"/>
      <c r="AV50" s="811"/>
      <c r="AW50" s="811"/>
      <c r="AX50" s="811"/>
      <c r="AY50" s="811"/>
      <c r="AZ50" s="811"/>
      <c r="BA50" s="811"/>
      <c r="BB50" s="811"/>
      <c r="BC50" s="811"/>
      <c r="BD50" s="811"/>
      <c r="BE50" s="811"/>
      <c r="BF50" s="811"/>
      <c r="BG50" s="811"/>
      <c r="BH50" s="811"/>
      <c r="BI50" s="811"/>
      <c r="BJ50" s="811"/>
      <c r="BK50" s="811"/>
      <c r="BL50" s="811"/>
      <c r="BM50" s="811"/>
      <c r="BN50" s="811"/>
      <c r="BO50" s="811"/>
      <c r="BP50" s="811"/>
      <c r="BQ50" s="811"/>
      <c r="BR50" s="811"/>
      <c r="BS50" s="811"/>
      <c r="BT50" s="811"/>
      <c r="BU50" s="811"/>
      <c r="BV50" s="811"/>
      <c r="BW50" s="811"/>
      <c r="BX50" s="811"/>
      <c r="BY50" s="811"/>
      <c r="BZ50" s="811"/>
      <c r="CA50" s="811"/>
      <c r="CB50" s="811"/>
      <c r="CC50" s="811"/>
      <c r="CD50" s="811"/>
      <c r="CE50" s="811"/>
      <c r="CF50" s="811"/>
      <c r="CG50" s="811"/>
      <c r="CH50" s="811"/>
      <c r="CI50" s="811"/>
      <c r="CJ50" s="811"/>
      <c r="CK50" s="811"/>
      <c r="CL50" s="811"/>
      <c r="CM50" s="811"/>
      <c r="CN50" s="811"/>
      <c r="CO50" s="811"/>
      <c r="CP50" s="811"/>
      <c r="CQ50" s="811"/>
      <c r="CR50" s="811"/>
      <c r="CS50" s="811"/>
      <c r="CT50" s="811"/>
      <c r="CU50" s="811"/>
      <c r="CV50" s="811"/>
      <c r="CW50" s="811"/>
      <c r="CX50" s="811"/>
      <c r="CY50" s="811"/>
      <c r="CZ50" s="811"/>
      <c r="DA50" s="811"/>
      <c r="DB50" s="811"/>
      <c r="DC50" s="811"/>
      <c r="DD50" s="811"/>
      <c r="DE50" s="811"/>
      <c r="DF50" s="811"/>
      <c r="DG50" s="811"/>
      <c r="DH50" s="811"/>
      <c r="DI50" s="811"/>
      <c r="DJ50" s="811"/>
      <c r="DK50" s="811"/>
      <c r="DL50" s="811"/>
      <c r="DM50" s="811"/>
      <c r="DN50" s="811"/>
      <c r="DO50" s="811"/>
      <c r="DP50" s="811"/>
      <c r="DQ50" s="811"/>
      <c r="DR50" s="811"/>
      <c r="DS50" s="811"/>
      <c r="DT50" s="811"/>
      <c r="DU50" s="811"/>
      <c r="DV50" s="811"/>
      <c r="DW50" s="811"/>
      <c r="DX50" s="811"/>
      <c r="DY50" s="811"/>
      <c r="DZ50" s="811"/>
      <c r="EA50" s="811"/>
      <c r="EB50" s="811"/>
      <c r="EC50" s="811"/>
      <c r="ED50" s="811"/>
      <c r="EE50" s="811"/>
      <c r="EF50" s="811"/>
      <c r="EG50" s="811"/>
      <c r="EH50" s="811"/>
      <c r="EI50" s="811"/>
      <c r="EJ50" s="811"/>
      <c r="EK50" s="811"/>
      <c r="EL50" s="811"/>
      <c r="EM50" s="811"/>
      <c r="EN50" s="811"/>
      <c r="EO50" s="811"/>
      <c r="EP50" s="811"/>
      <c r="EQ50" s="811"/>
      <c r="ER50" s="811"/>
      <c r="ES50" s="811"/>
      <c r="ET50" s="811"/>
      <c r="EU50" s="811"/>
      <c r="EV50" s="811"/>
      <c r="EW50" s="811"/>
      <c r="EX50" s="811"/>
      <c r="EY50" s="811"/>
      <c r="EZ50" s="811"/>
      <c r="FA50" s="811"/>
      <c r="FB50" s="811"/>
      <c r="FC50" s="811"/>
      <c r="FD50" s="811"/>
      <c r="FE50" s="811"/>
      <c r="FF50" s="811"/>
      <c r="FG50" s="811"/>
      <c r="FH50" s="811"/>
      <c r="FI50" s="811"/>
      <c r="FJ50" s="811"/>
      <c r="FK50" s="811"/>
      <c r="FL50" s="811"/>
      <c r="FM50" s="811"/>
      <c r="FN50" s="811"/>
      <c r="FO50" s="811"/>
      <c r="FP50" s="811"/>
      <c r="FQ50" s="811"/>
      <c r="FR50" s="811"/>
      <c r="FS50" s="811"/>
      <c r="FT50" s="811"/>
      <c r="FU50" s="811"/>
      <c r="FV50" s="811"/>
      <c r="FW50" s="811"/>
      <c r="FX50" s="811"/>
      <c r="FY50" s="811"/>
      <c r="FZ50" s="811"/>
      <c r="GA50" s="811"/>
      <c r="GB50" s="811"/>
      <c r="GC50" s="811"/>
      <c r="GD50" s="811"/>
      <c r="GE50" s="811"/>
      <c r="GF50" s="811"/>
      <c r="GG50" s="811"/>
      <c r="GH50" s="811"/>
      <c r="GI50" s="811"/>
      <c r="GJ50" s="811"/>
      <c r="GK50" s="811"/>
      <c r="GL50" s="811"/>
      <c r="GM50" s="811"/>
      <c r="GN50" s="811"/>
      <c r="GO50" s="811"/>
      <c r="GP50" s="811"/>
      <c r="GQ50" s="811"/>
      <c r="GR50" s="811"/>
      <c r="GS50" s="811"/>
      <c r="GT50" s="811"/>
      <c r="GU50" s="811"/>
      <c r="GV50" s="811"/>
      <c r="GW50" s="811"/>
      <c r="GX50" s="811"/>
      <c r="GY50" s="811"/>
      <c r="GZ50" s="811"/>
      <c r="HA50" s="811"/>
      <c r="HB50" s="811"/>
      <c r="HC50" s="811"/>
      <c r="HD50" s="811"/>
      <c r="HE50" s="811"/>
      <c r="HF50" s="811"/>
      <c r="HG50" s="811"/>
      <c r="HH50" s="811"/>
      <c r="HI50" s="811"/>
      <c r="HJ50" s="811"/>
      <c r="HK50" s="811"/>
      <c r="HL50" s="811"/>
      <c r="HM50" s="811"/>
      <c r="HN50" s="811"/>
      <c r="HO50" s="811"/>
      <c r="HP50" s="811"/>
      <c r="HQ50" s="811"/>
      <c r="HR50" s="811"/>
      <c r="HS50" s="811"/>
      <c r="HT50" s="811"/>
      <c r="HU50" s="811"/>
      <c r="HV50" s="811"/>
      <c r="HW50" s="811"/>
      <c r="HX50" s="811"/>
      <c r="HY50" s="811"/>
      <c r="HZ50" s="811"/>
      <c r="IA50" s="811"/>
      <c r="IB50" s="811"/>
      <c r="IC50" s="811"/>
      <c r="ID50" s="811"/>
      <c r="IE50" s="811"/>
      <c r="IF50" s="811"/>
      <c r="IG50" s="811"/>
      <c r="IH50" s="811"/>
      <c r="II50" s="811"/>
      <c r="IJ50" s="811"/>
      <c r="IK50" s="811"/>
      <c r="IL50" s="811"/>
      <c r="IM50" s="811"/>
      <c r="IN50" s="811"/>
      <c r="IO50" s="811"/>
      <c r="IP50" s="811"/>
      <c r="IQ50" s="811"/>
      <c r="IR50" s="811"/>
    </row>
  </sheetData>
  <sheetProtection/>
  <mergeCells count="15">
    <mergeCell ref="B46:G46"/>
    <mergeCell ref="B1:D1"/>
    <mergeCell ref="I1:L1"/>
    <mergeCell ref="B2:L2"/>
    <mergeCell ref="B3:L3"/>
    <mergeCell ref="B6:B8"/>
    <mergeCell ref="C6:C8"/>
    <mergeCell ref="D6:D8"/>
    <mergeCell ref="E6:E8"/>
    <mergeCell ref="F6:F8"/>
    <mergeCell ref="G6:G8"/>
    <mergeCell ref="I6:K6"/>
    <mergeCell ref="H6:H8"/>
    <mergeCell ref="L6:L8"/>
    <mergeCell ref="K7:K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8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25" defaultRowHeight="12.75"/>
  <cols>
    <col min="1" max="1" width="3.75390625" style="857" customWidth="1"/>
    <col min="2" max="3" width="5.75390625" style="1044" customWidth="1"/>
    <col min="4" max="4" width="62.75390625" style="463" customWidth="1"/>
    <col min="5" max="5" width="12.75390625" style="1207" customWidth="1"/>
    <col min="6" max="7" width="10.75390625" style="1043" customWidth="1"/>
    <col min="8" max="8" width="6.75390625" style="860" customWidth="1"/>
    <col min="9" max="14" width="14.875" style="1043" customWidth="1"/>
    <col min="15" max="15" width="15.75390625" style="881" customWidth="1"/>
    <col min="16" max="16" width="13.875" style="1043" customWidth="1"/>
    <col min="17" max="16384" width="9.125" style="463" customWidth="1"/>
  </cols>
  <sheetData>
    <row r="1" spans="1:250" ht="18" customHeight="1">
      <c r="A1" s="1715" t="s">
        <v>1014</v>
      </c>
      <c r="B1" s="1715"/>
      <c r="C1" s="1715"/>
      <c r="D1" s="1715"/>
      <c r="E1" s="714"/>
      <c r="F1" s="714"/>
      <c r="G1" s="714"/>
      <c r="H1" s="858"/>
      <c r="I1" s="1673"/>
      <c r="J1" s="1673"/>
      <c r="K1" s="1673"/>
      <c r="L1" s="1673"/>
      <c r="M1" s="1673"/>
      <c r="N1" s="1673"/>
      <c r="O1" s="1673"/>
      <c r="P1" s="1673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59"/>
      <c r="DE1" s="859"/>
      <c r="DF1" s="859"/>
      <c r="DG1" s="859"/>
      <c r="DH1" s="859"/>
      <c r="DI1" s="859"/>
      <c r="DJ1" s="859"/>
      <c r="DK1" s="859"/>
      <c r="DL1" s="859"/>
      <c r="DM1" s="859"/>
      <c r="DN1" s="859"/>
      <c r="DO1" s="859"/>
      <c r="DP1" s="859"/>
      <c r="DQ1" s="859"/>
      <c r="DR1" s="859"/>
      <c r="DS1" s="859"/>
      <c r="DT1" s="859"/>
      <c r="DU1" s="859"/>
      <c r="DV1" s="859"/>
      <c r="DW1" s="859"/>
      <c r="DX1" s="859"/>
      <c r="DY1" s="859"/>
      <c r="DZ1" s="859"/>
      <c r="EA1" s="859"/>
      <c r="EB1" s="859"/>
      <c r="EC1" s="859"/>
      <c r="ED1" s="859"/>
      <c r="EE1" s="859"/>
      <c r="EF1" s="859"/>
      <c r="EG1" s="859"/>
      <c r="EH1" s="859"/>
      <c r="EI1" s="859"/>
      <c r="EJ1" s="859"/>
      <c r="EK1" s="859"/>
      <c r="EL1" s="859"/>
      <c r="EM1" s="859"/>
      <c r="EN1" s="859"/>
      <c r="EO1" s="859"/>
      <c r="EP1" s="859"/>
      <c r="EQ1" s="859"/>
      <c r="ER1" s="859"/>
      <c r="ES1" s="859"/>
      <c r="ET1" s="859"/>
      <c r="EU1" s="859"/>
      <c r="EV1" s="859"/>
      <c r="EW1" s="859"/>
      <c r="EX1" s="859"/>
      <c r="EY1" s="859"/>
      <c r="EZ1" s="859"/>
      <c r="FA1" s="859"/>
      <c r="FB1" s="859"/>
      <c r="FC1" s="859"/>
      <c r="FD1" s="859"/>
      <c r="FE1" s="859"/>
      <c r="FF1" s="859"/>
      <c r="FG1" s="859"/>
      <c r="FH1" s="859"/>
      <c r="FI1" s="859"/>
      <c r="FJ1" s="859"/>
      <c r="FK1" s="859"/>
      <c r="FL1" s="859"/>
      <c r="FM1" s="859"/>
      <c r="FN1" s="859"/>
      <c r="FO1" s="859"/>
      <c r="FP1" s="859"/>
      <c r="FQ1" s="859"/>
      <c r="FR1" s="859"/>
      <c r="FS1" s="859"/>
      <c r="FT1" s="859"/>
      <c r="FU1" s="859"/>
      <c r="FV1" s="859"/>
      <c r="FW1" s="859"/>
      <c r="FX1" s="859"/>
      <c r="FY1" s="859"/>
      <c r="FZ1" s="859"/>
      <c r="GA1" s="859"/>
      <c r="GB1" s="859"/>
      <c r="GC1" s="859"/>
      <c r="GD1" s="859"/>
      <c r="GE1" s="859"/>
      <c r="GF1" s="859"/>
      <c r="GG1" s="859"/>
      <c r="GH1" s="859"/>
      <c r="GI1" s="859"/>
      <c r="GJ1" s="859"/>
      <c r="GK1" s="859"/>
      <c r="GL1" s="859"/>
      <c r="GM1" s="859"/>
      <c r="GN1" s="859"/>
      <c r="GO1" s="859"/>
      <c r="GP1" s="859"/>
      <c r="GQ1" s="859"/>
      <c r="GR1" s="859"/>
      <c r="GS1" s="859"/>
      <c r="GT1" s="859"/>
      <c r="GU1" s="859"/>
      <c r="GV1" s="859"/>
      <c r="GW1" s="859"/>
      <c r="GX1" s="859"/>
      <c r="GY1" s="859"/>
      <c r="GZ1" s="859"/>
      <c r="HA1" s="859"/>
      <c r="HB1" s="859"/>
      <c r="HC1" s="859"/>
      <c r="HD1" s="859"/>
      <c r="HE1" s="859"/>
      <c r="HF1" s="859"/>
      <c r="HG1" s="859"/>
      <c r="HH1" s="859"/>
      <c r="HI1" s="859"/>
      <c r="HJ1" s="859"/>
      <c r="HK1" s="859"/>
      <c r="HL1" s="859"/>
      <c r="HM1" s="859"/>
      <c r="HN1" s="859"/>
      <c r="HO1" s="859"/>
      <c r="HP1" s="859"/>
      <c r="HQ1" s="859"/>
      <c r="HR1" s="859"/>
      <c r="HS1" s="859"/>
      <c r="HT1" s="859"/>
      <c r="HU1" s="859"/>
      <c r="HV1" s="859"/>
      <c r="HW1" s="859"/>
      <c r="HX1" s="859"/>
      <c r="HY1" s="859"/>
      <c r="HZ1" s="859"/>
      <c r="IA1" s="859"/>
      <c r="IB1" s="859"/>
      <c r="IC1" s="859"/>
      <c r="ID1" s="859"/>
      <c r="IE1" s="859"/>
      <c r="IF1" s="859"/>
      <c r="IG1" s="859"/>
      <c r="IH1" s="859"/>
      <c r="II1" s="859"/>
      <c r="IJ1" s="859"/>
      <c r="IK1" s="859"/>
      <c r="IL1" s="859"/>
      <c r="IM1" s="859"/>
      <c r="IN1" s="859"/>
      <c r="IO1" s="859"/>
      <c r="IP1" s="859"/>
    </row>
    <row r="2" spans="1:16" ht="24.75" customHeight="1">
      <c r="A2" s="1674" t="s">
        <v>14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</row>
    <row r="3" spans="1:16" ht="24.75" customHeight="1">
      <c r="A3" s="1716" t="s">
        <v>666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</row>
    <row r="4" spans="1:16" s="1152" customFormat="1" ht="18" customHeight="1">
      <c r="A4" s="857"/>
      <c r="B4" s="857"/>
      <c r="C4" s="857"/>
      <c r="E4" s="810"/>
      <c r="F4" s="810"/>
      <c r="G4" s="810"/>
      <c r="H4" s="1153"/>
      <c r="I4" s="810"/>
      <c r="J4" s="810"/>
      <c r="K4" s="810"/>
      <c r="L4" s="810"/>
      <c r="M4" s="810"/>
      <c r="N4" s="810"/>
      <c r="O4" s="1154"/>
      <c r="P4" s="816" t="s">
        <v>0</v>
      </c>
    </row>
    <row r="5" spans="1:250" s="1158" customFormat="1" ht="18" customHeight="1" thickBot="1">
      <c r="A5" s="1155"/>
      <c r="B5" s="1156" t="s">
        <v>1</v>
      </c>
      <c r="C5" s="1157" t="s">
        <v>3</v>
      </c>
      <c r="D5" s="1157" t="s">
        <v>2</v>
      </c>
      <c r="E5" s="1157" t="s">
        <v>4</v>
      </c>
      <c r="F5" s="1157" t="s">
        <v>5</v>
      </c>
      <c r="G5" s="1157" t="s">
        <v>15</v>
      </c>
      <c r="H5" s="1157" t="s">
        <v>16</v>
      </c>
      <c r="I5" s="1157" t="s">
        <v>17</v>
      </c>
      <c r="J5" s="1157" t="s">
        <v>36</v>
      </c>
      <c r="K5" s="1157" t="s">
        <v>30</v>
      </c>
      <c r="L5" s="1157" t="s">
        <v>23</v>
      </c>
      <c r="M5" s="1157" t="s">
        <v>37</v>
      </c>
      <c r="N5" s="1157" t="s">
        <v>38</v>
      </c>
      <c r="O5" s="1157" t="s">
        <v>160</v>
      </c>
      <c r="P5" s="1157" t="s">
        <v>161</v>
      </c>
      <c r="Q5" s="1155"/>
      <c r="R5" s="1155"/>
      <c r="S5" s="1155"/>
      <c r="T5" s="1155"/>
      <c r="U5" s="1155"/>
      <c r="V5" s="1155"/>
      <c r="W5" s="1155"/>
      <c r="X5" s="1155"/>
      <c r="Y5" s="1155"/>
      <c r="Z5" s="1155"/>
      <c r="AA5" s="1155"/>
      <c r="AB5" s="1155"/>
      <c r="AC5" s="1155"/>
      <c r="AD5" s="1155"/>
      <c r="AE5" s="1155"/>
      <c r="AF5" s="1155"/>
      <c r="AG5" s="1155"/>
      <c r="AH5" s="1155"/>
      <c r="AI5" s="1155"/>
      <c r="AJ5" s="1155"/>
      <c r="AK5" s="1155"/>
      <c r="AL5" s="1155"/>
      <c r="AM5" s="1155"/>
      <c r="AN5" s="1155"/>
      <c r="AO5" s="1155"/>
      <c r="AP5" s="1155"/>
      <c r="AQ5" s="1155"/>
      <c r="AR5" s="1155"/>
      <c r="AS5" s="1155"/>
      <c r="AT5" s="1155"/>
      <c r="AU5" s="1155"/>
      <c r="AV5" s="1155"/>
      <c r="AW5" s="1155"/>
      <c r="AX5" s="1155"/>
      <c r="AY5" s="1155"/>
      <c r="AZ5" s="1155"/>
      <c r="BA5" s="1155"/>
      <c r="BB5" s="1155"/>
      <c r="BC5" s="1155"/>
      <c r="BD5" s="1155"/>
      <c r="BE5" s="1155"/>
      <c r="BF5" s="1155"/>
      <c r="BG5" s="1155"/>
      <c r="BH5" s="1155"/>
      <c r="BI5" s="1155"/>
      <c r="BJ5" s="1155"/>
      <c r="BK5" s="1155"/>
      <c r="BL5" s="1155"/>
      <c r="BM5" s="1155"/>
      <c r="BN5" s="1155"/>
      <c r="BO5" s="1155"/>
      <c r="BP5" s="1155"/>
      <c r="BQ5" s="1155"/>
      <c r="BR5" s="1155"/>
      <c r="BS5" s="1155"/>
      <c r="BT5" s="1155"/>
      <c r="BU5" s="1155"/>
      <c r="BV5" s="1155"/>
      <c r="BW5" s="1155"/>
      <c r="BX5" s="1155"/>
      <c r="BY5" s="1155"/>
      <c r="BZ5" s="1155"/>
      <c r="CA5" s="1155"/>
      <c r="CB5" s="1155"/>
      <c r="CC5" s="1155"/>
      <c r="CD5" s="1155"/>
      <c r="CE5" s="1155"/>
      <c r="CF5" s="1155"/>
      <c r="CG5" s="1155"/>
      <c r="CH5" s="1155"/>
      <c r="CI5" s="1155"/>
      <c r="CJ5" s="1155"/>
      <c r="CK5" s="1155"/>
      <c r="CL5" s="1155"/>
      <c r="CM5" s="1155"/>
      <c r="CN5" s="1155"/>
      <c r="CO5" s="1155"/>
      <c r="CP5" s="1155"/>
      <c r="CQ5" s="1155"/>
      <c r="CR5" s="1155"/>
      <c r="CS5" s="1155"/>
      <c r="CT5" s="1155"/>
      <c r="CU5" s="1155"/>
      <c r="CV5" s="1155"/>
      <c r="CW5" s="1155"/>
      <c r="CX5" s="1155"/>
      <c r="CY5" s="1155"/>
      <c r="CZ5" s="1155"/>
      <c r="DA5" s="1155"/>
      <c r="DB5" s="1155"/>
      <c r="DC5" s="1155"/>
      <c r="DD5" s="1155"/>
      <c r="DE5" s="1155"/>
      <c r="DF5" s="1155"/>
      <c r="DG5" s="1155"/>
      <c r="DH5" s="1155"/>
      <c r="DI5" s="1155"/>
      <c r="DJ5" s="1155"/>
      <c r="DK5" s="1155"/>
      <c r="DL5" s="1155"/>
      <c r="DM5" s="1155"/>
      <c r="DN5" s="1155"/>
      <c r="DO5" s="1155"/>
      <c r="DP5" s="1155"/>
      <c r="DQ5" s="1155"/>
      <c r="DR5" s="1155"/>
      <c r="DS5" s="1155"/>
      <c r="DT5" s="1155"/>
      <c r="DU5" s="1155"/>
      <c r="DV5" s="1155"/>
      <c r="DW5" s="1155"/>
      <c r="DX5" s="1155"/>
      <c r="DY5" s="1155"/>
      <c r="DZ5" s="1155"/>
      <c r="EA5" s="1155"/>
      <c r="EB5" s="1155"/>
      <c r="EC5" s="1155"/>
      <c r="ED5" s="1155"/>
      <c r="EE5" s="1155"/>
      <c r="EF5" s="1155"/>
      <c r="EG5" s="1155"/>
      <c r="EH5" s="1155"/>
      <c r="EI5" s="1155"/>
      <c r="EJ5" s="1155"/>
      <c r="EK5" s="1155"/>
      <c r="EL5" s="1155"/>
      <c r="EM5" s="1155"/>
      <c r="EN5" s="1155"/>
      <c r="EO5" s="1155"/>
      <c r="EP5" s="1155"/>
      <c r="EQ5" s="1155"/>
      <c r="ER5" s="1155"/>
      <c r="ES5" s="1155"/>
      <c r="ET5" s="1155"/>
      <c r="EU5" s="1155"/>
      <c r="EV5" s="1155"/>
      <c r="EW5" s="1155"/>
      <c r="EX5" s="1155"/>
      <c r="EY5" s="1155"/>
      <c r="EZ5" s="1155"/>
      <c r="FA5" s="1155"/>
      <c r="FB5" s="1155"/>
      <c r="FC5" s="1155"/>
      <c r="FD5" s="1155"/>
      <c r="FE5" s="1155"/>
      <c r="FF5" s="1155"/>
      <c r="FG5" s="1155"/>
      <c r="FH5" s="1155"/>
      <c r="FI5" s="1155"/>
      <c r="FJ5" s="1155"/>
      <c r="FK5" s="1155"/>
      <c r="FL5" s="1155"/>
      <c r="FM5" s="1155"/>
      <c r="FN5" s="1155"/>
      <c r="FO5" s="1155"/>
      <c r="FP5" s="1155"/>
      <c r="FQ5" s="1155"/>
      <c r="FR5" s="1155"/>
      <c r="FS5" s="1155"/>
      <c r="FT5" s="1155"/>
      <c r="FU5" s="1155"/>
      <c r="FV5" s="1155"/>
      <c r="FW5" s="1155"/>
      <c r="FX5" s="1155"/>
      <c r="FY5" s="1155"/>
      <c r="FZ5" s="1155"/>
      <c r="GA5" s="1155"/>
      <c r="GB5" s="1155"/>
      <c r="GC5" s="1155"/>
      <c r="GD5" s="1155"/>
      <c r="GE5" s="1155"/>
      <c r="GF5" s="1155"/>
      <c r="GG5" s="1155"/>
      <c r="GH5" s="1155"/>
      <c r="GI5" s="1155"/>
      <c r="GJ5" s="1155"/>
      <c r="GK5" s="1155"/>
      <c r="GL5" s="1155"/>
      <c r="GM5" s="1155"/>
      <c r="GN5" s="1155"/>
      <c r="GO5" s="1155"/>
      <c r="GP5" s="1155"/>
      <c r="GQ5" s="1155"/>
      <c r="GR5" s="1155"/>
      <c r="GS5" s="1155"/>
      <c r="GT5" s="1155"/>
      <c r="GU5" s="1155"/>
      <c r="GV5" s="1155"/>
      <c r="GW5" s="1155"/>
      <c r="GX5" s="1155"/>
      <c r="GY5" s="1155"/>
      <c r="GZ5" s="1155"/>
      <c r="HA5" s="1155"/>
      <c r="HB5" s="1155"/>
      <c r="HC5" s="1155"/>
      <c r="HD5" s="1155"/>
      <c r="HE5" s="1155"/>
      <c r="HF5" s="1155"/>
      <c r="HG5" s="1155"/>
      <c r="HH5" s="1155"/>
      <c r="HI5" s="1155"/>
      <c r="HJ5" s="1155"/>
      <c r="HK5" s="1155"/>
      <c r="HL5" s="1155"/>
      <c r="HM5" s="1155"/>
      <c r="HN5" s="1155"/>
      <c r="HO5" s="1155"/>
      <c r="HP5" s="1155"/>
      <c r="HQ5" s="1155"/>
      <c r="HR5" s="1155"/>
      <c r="HS5" s="1155"/>
      <c r="HT5" s="1155"/>
      <c r="HU5" s="1155"/>
      <c r="HV5" s="1155"/>
      <c r="HW5" s="1155"/>
      <c r="HX5" s="1155"/>
      <c r="HY5" s="1155"/>
      <c r="HZ5" s="1155"/>
      <c r="IA5" s="1155"/>
      <c r="IB5" s="1155"/>
      <c r="IC5" s="1155"/>
      <c r="ID5" s="1155"/>
      <c r="IE5" s="1155"/>
      <c r="IF5" s="1155"/>
      <c r="IG5" s="1155"/>
      <c r="IH5" s="1155"/>
      <c r="II5" s="1155"/>
      <c r="IJ5" s="1155"/>
      <c r="IK5" s="1155"/>
      <c r="IL5" s="1155"/>
      <c r="IM5" s="1155"/>
      <c r="IN5" s="1155"/>
      <c r="IO5" s="1155"/>
      <c r="IP5" s="1155"/>
    </row>
    <row r="6" spans="2:18" ht="22.5" customHeight="1">
      <c r="B6" s="1709" t="s">
        <v>18</v>
      </c>
      <c r="C6" s="1705" t="s">
        <v>19</v>
      </c>
      <c r="D6" s="1717" t="s">
        <v>6</v>
      </c>
      <c r="E6" s="1712" t="s">
        <v>660</v>
      </c>
      <c r="F6" s="1712" t="s">
        <v>667</v>
      </c>
      <c r="G6" s="1720" t="s">
        <v>892</v>
      </c>
      <c r="H6" s="1694" t="s">
        <v>20</v>
      </c>
      <c r="I6" s="1723" t="s">
        <v>645</v>
      </c>
      <c r="J6" s="1712"/>
      <c r="K6" s="1712"/>
      <c r="L6" s="1712"/>
      <c r="M6" s="1712"/>
      <c r="N6" s="1712"/>
      <c r="O6" s="1724"/>
      <c r="P6" s="1725" t="s">
        <v>656</v>
      </c>
      <c r="Q6" s="1708"/>
      <c r="R6" s="1708"/>
    </row>
    <row r="7" spans="2:16" ht="33" customHeight="1">
      <c r="B7" s="1710"/>
      <c r="C7" s="1706"/>
      <c r="D7" s="1718"/>
      <c r="E7" s="1713"/>
      <c r="F7" s="1713"/>
      <c r="G7" s="1721"/>
      <c r="H7" s="1695"/>
      <c r="I7" s="1728" t="s">
        <v>662</v>
      </c>
      <c r="J7" s="1729"/>
      <c r="K7" s="1730"/>
      <c r="L7" s="1730"/>
      <c r="M7" s="1699" t="s">
        <v>163</v>
      </c>
      <c r="N7" s="1699"/>
      <c r="O7" s="1700" t="s">
        <v>129</v>
      </c>
      <c r="P7" s="1726"/>
    </row>
    <row r="8" spans="2:16" ht="53.25" customHeight="1" thickBot="1">
      <c r="B8" s="1711"/>
      <c r="C8" s="1707"/>
      <c r="D8" s="1719"/>
      <c r="E8" s="1714"/>
      <c r="F8" s="1714"/>
      <c r="G8" s="1722"/>
      <c r="H8" s="1696"/>
      <c r="I8" s="1177" t="s">
        <v>40</v>
      </c>
      <c r="J8" s="861" t="s">
        <v>657</v>
      </c>
      <c r="K8" s="862" t="s">
        <v>42</v>
      </c>
      <c r="L8" s="862" t="s">
        <v>659</v>
      </c>
      <c r="M8" s="861" t="s">
        <v>231</v>
      </c>
      <c r="N8" s="861" t="s">
        <v>164</v>
      </c>
      <c r="O8" s="1701"/>
      <c r="P8" s="1727"/>
    </row>
    <row r="9" spans="1:256" s="865" customFormat="1" ht="22.5" customHeight="1">
      <c r="A9" s="880">
        <v>1</v>
      </c>
      <c r="B9" s="863">
        <v>18</v>
      </c>
      <c r="C9" s="875" t="s">
        <v>14</v>
      </c>
      <c r="D9" s="1165"/>
      <c r="E9" s="472"/>
      <c r="F9" s="470"/>
      <c r="G9" s="471"/>
      <c r="H9" s="1182"/>
      <c r="I9" s="1198"/>
      <c r="J9" s="1199"/>
      <c r="K9" s="1199"/>
      <c r="L9" s="1199"/>
      <c r="M9" s="1199"/>
      <c r="N9" s="1199"/>
      <c r="O9" s="1200"/>
      <c r="P9" s="867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256" s="865" customFormat="1" ht="22.5" customHeight="1">
      <c r="A10" s="880">
        <v>2</v>
      </c>
      <c r="B10" s="873"/>
      <c r="C10" s="517">
        <v>1</v>
      </c>
      <c r="D10" s="868" t="s">
        <v>615</v>
      </c>
      <c r="E10" s="475"/>
      <c r="F10" s="869"/>
      <c r="G10" s="476"/>
      <c r="H10" s="1183" t="s">
        <v>24</v>
      </c>
      <c r="I10" s="1201"/>
      <c r="J10" s="1197"/>
      <c r="K10" s="1197"/>
      <c r="L10" s="1197"/>
      <c r="M10" s="1197"/>
      <c r="N10" s="1197"/>
      <c r="O10" s="1166"/>
      <c r="P10" s="870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3"/>
      <c r="FE10" s="463"/>
      <c r="FF10" s="463"/>
      <c r="FG10" s="463"/>
      <c r="FH10" s="463"/>
      <c r="FI10" s="463"/>
      <c r="FJ10" s="463"/>
      <c r="FK10" s="463"/>
      <c r="FL10" s="463"/>
      <c r="FM10" s="463"/>
      <c r="FN10" s="463"/>
      <c r="FO10" s="463"/>
      <c r="FP10" s="463"/>
      <c r="FQ10" s="463"/>
      <c r="FR10" s="463"/>
      <c r="FS10" s="463"/>
      <c r="FT10" s="463"/>
      <c r="FU10" s="463"/>
      <c r="FV10" s="463"/>
      <c r="FW10" s="463"/>
      <c r="FX10" s="463"/>
      <c r="FY10" s="463"/>
      <c r="FZ10" s="463"/>
      <c r="GA10" s="463"/>
      <c r="GB10" s="463"/>
      <c r="GC10" s="463"/>
      <c r="GD10" s="463"/>
      <c r="GE10" s="463"/>
      <c r="GF10" s="463"/>
      <c r="GG10" s="463"/>
      <c r="GH10" s="463"/>
      <c r="GI10" s="463"/>
      <c r="GJ10" s="463"/>
      <c r="GK10" s="463"/>
      <c r="GL10" s="463"/>
      <c r="GM10" s="463"/>
      <c r="GN10" s="463"/>
      <c r="GO10" s="463"/>
      <c r="GP10" s="463"/>
      <c r="GQ10" s="463"/>
      <c r="GR10" s="463"/>
      <c r="GS10" s="463"/>
      <c r="GT10" s="463"/>
      <c r="GU10" s="463"/>
      <c r="GV10" s="463"/>
      <c r="GW10" s="463"/>
      <c r="GX10" s="463"/>
      <c r="GY10" s="463"/>
      <c r="GZ10" s="463"/>
      <c r="HA10" s="463"/>
      <c r="HB10" s="463"/>
      <c r="HC10" s="463"/>
      <c r="HD10" s="463"/>
      <c r="HE10" s="463"/>
      <c r="HF10" s="463"/>
      <c r="HG10" s="463"/>
      <c r="HH10" s="463"/>
      <c r="HI10" s="463"/>
      <c r="HJ10" s="463"/>
      <c r="HK10" s="463"/>
      <c r="HL10" s="463"/>
      <c r="HM10" s="463"/>
      <c r="HN10" s="463"/>
      <c r="HO10" s="463"/>
      <c r="HP10" s="463"/>
      <c r="HQ10" s="463"/>
      <c r="HR10" s="463"/>
      <c r="HS10" s="463"/>
      <c r="HT10" s="463"/>
      <c r="HU10" s="463"/>
      <c r="HV10" s="463"/>
      <c r="HW10" s="463"/>
      <c r="HX10" s="463"/>
      <c r="HY10" s="463"/>
      <c r="HZ10" s="463"/>
      <c r="IA10" s="463"/>
      <c r="IB10" s="463"/>
      <c r="IC10" s="463"/>
      <c r="ID10" s="463"/>
      <c r="IE10" s="463"/>
      <c r="IF10" s="463"/>
      <c r="IG10" s="463"/>
      <c r="IH10" s="463"/>
      <c r="II10" s="463"/>
      <c r="IJ10" s="463"/>
      <c r="IK10" s="463"/>
      <c r="IL10" s="463"/>
      <c r="IM10" s="463"/>
      <c r="IN10" s="463"/>
      <c r="IO10" s="463"/>
      <c r="IP10" s="463"/>
      <c r="IQ10" s="463"/>
      <c r="IR10" s="463"/>
      <c r="IS10" s="463"/>
      <c r="IT10" s="463"/>
      <c r="IU10" s="463"/>
      <c r="IV10" s="463"/>
    </row>
    <row r="11" spans="1:16" s="1175" customFormat="1" ht="18" customHeight="1">
      <c r="A11" s="880">
        <v>3</v>
      </c>
      <c r="B11" s="1167"/>
      <c r="C11" s="1168"/>
      <c r="D11" s="1169" t="s">
        <v>312</v>
      </c>
      <c r="E11" s="475">
        <f>F11+G11+O11+P11</f>
        <v>1119735</v>
      </c>
      <c r="F11" s="869"/>
      <c r="G11" s="476">
        <v>237</v>
      </c>
      <c r="H11" s="1183"/>
      <c r="I11" s="1180"/>
      <c r="J11" s="1173"/>
      <c r="K11" s="1197">
        <v>1398</v>
      </c>
      <c r="L11" s="1173"/>
      <c r="M11" s="1197">
        <f>201554+916546</f>
        <v>1118100</v>
      </c>
      <c r="N11" s="1173"/>
      <c r="O11" s="1166">
        <f>SUM(I11:N11)</f>
        <v>1119498</v>
      </c>
      <c r="P11" s="1174"/>
    </row>
    <row r="12" spans="1:256" s="865" customFormat="1" ht="22.5" customHeight="1">
      <c r="A12" s="880">
        <v>4</v>
      </c>
      <c r="B12" s="873"/>
      <c r="C12" s="517">
        <v>2</v>
      </c>
      <c r="D12" s="876" t="s">
        <v>511</v>
      </c>
      <c r="E12" s="475"/>
      <c r="F12" s="869"/>
      <c r="G12" s="476"/>
      <c r="H12" s="1183" t="s">
        <v>24</v>
      </c>
      <c r="I12" s="1201"/>
      <c r="J12" s="1197"/>
      <c r="K12" s="1197"/>
      <c r="L12" s="1197"/>
      <c r="M12" s="1197"/>
      <c r="N12" s="1197"/>
      <c r="O12" s="1166"/>
      <c r="P12" s="870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3"/>
      <c r="DB12" s="463"/>
      <c r="DC12" s="463"/>
      <c r="DD12" s="463"/>
      <c r="DE12" s="463"/>
      <c r="DF12" s="463"/>
      <c r="DG12" s="463"/>
      <c r="DH12" s="463"/>
      <c r="DI12" s="463"/>
      <c r="DJ12" s="463"/>
      <c r="DK12" s="463"/>
      <c r="DL12" s="463"/>
      <c r="DM12" s="463"/>
      <c r="DN12" s="463"/>
      <c r="DO12" s="463"/>
      <c r="DP12" s="463"/>
      <c r="DQ12" s="463"/>
      <c r="DR12" s="463"/>
      <c r="DS12" s="463"/>
      <c r="DT12" s="463"/>
      <c r="DU12" s="463"/>
      <c r="DV12" s="463"/>
      <c r="DW12" s="463"/>
      <c r="DX12" s="463"/>
      <c r="DY12" s="463"/>
      <c r="DZ12" s="463"/>
      <c r="EA12" s="463"/>
      <c r="EB12" s="463"/>
      <c r="EC12" s="463"/>
      <c r="ED12" s="463"/>
      <c r="EE12" s="463"/>
      <c r="EF12" s="463"/>
      <c r="EG12" s="463"/>
      <c r="EH12" s="463"/>
      <c r="EI12" s="463"/>
      <c r="EJ12" s="463"/>
      <c r="EK12" s="463"/>
      <c r="EL12" s="463"/>
      <c r="EM12" s="463"/>
      <c r="EN12" s="463"/>
      <c r="EO12" s="463"/>
      <c r="EP12" s="463"/>
      <c r="EQ12" s="463"/>
      <c r="ER12" s="463"/>
      <c r="ES12" s="463"/>
      <c r="ET12" s="463"/>
      <c r="EU12" s="463"/>
      <c r="EV12" s="463"/>
      <c r="EW12" s="463"/>
      <c r="EX12" s="463"/>
      <c r="EY12" s="463"/>
      <c r="EZ12" s="463"/>
      <c r="FA12" s="463"/>
      <c r="FB12" s="463"/>
      <c r="FC12" s="463"/>
      <c r="FD12" s="463"/>
      <c r="FE12" s="463"/>
      <c r="FF12" s="463"/>
      <c r="FG12" s="463"/>
      <c r="FH12" s="463"/>
      <c r="FI12" s="463"/>
      <c r="FJ12" s="463"/>
      <c r="FK12" s="463"/>
      <c r="FL12" s="463"/>
      <c r="FM12" s="463"/>
      <c r="FN12" s="463"/>
      <c r="FO12" s="463"/>
      <c r="FP12" s="463"/>
      <c r="FQ12" s="463"/>
      <c r="FR12" s="463"/>
      <c r="FS12" s="463"/>
      <c r="FT12" s="463"/>
      <c r="FU12" s="463"/>
      <c r="FV12" s="463"/>
      <c r="FW12" s="463"/>
      <c r="FX12" s="463"/>
      <c r="FY12" s="463"/>
      <c r="FZ12" s="463"/>
      <c r="GA12" s="463"/>
      <c r="GB12" s="463"/>
      <c r="GC12" s="463"/>
      <c r="GD12" s="463"/>
      <c r="GE12" s="463"/>
      <c r="GF12" s="463"/>
      <c r="GG12" s="463"/>
      <c r="GH12" s="463"/>
      <c r="GI12" s="463"/>
      <c r="GJ12" s="463"/>
      <c r="GK12" s="463"/>
      <c r="GL12" s="463"/>
      <c r="GM12" s="463"/>
      <c r="GN12" s="463"/>
      <c r="GO12" s="463"/>
      <c r="GP12" s="463"/>
      <c r="GQ12" s="463"/>
      <c r="GR12" s="463"/>
      <c r="GS12" s="463"/>
      <c r="GT12" s="463"/>
      <c r="GU12" s="463"/>
      <c r="GV12" s="463"/>
      <c r="GW12" s="463"/>
      <c r="GX12" s="463"/>
      <c r="GY12" s="463"/>
      <c r="GZ12" s="463"/>
      <c r="HA12" s="463"/>
      <c r="HB12" s="463"/>
      <c r="HC12" s="463"/>
      <c r="HD12" s="463"/>
      <c r="HE12" s="463"/>
      <c r="HF12" s="463"/>
      <c r="HG12" s="463"/>
      <c r="HH12" s="463"/>
      <c r="HI12" s="463"/>
      <c r="HJ12" s="463"/>
      <c r="HK12" s="463"/>
      <c r="HL12" s="463"/>
      <c r="HM12" s="463"/>
      <c r="HN12" s="463"/>
      <c r="HO12" s="463"/>
      <c r="HP12" s="463"/>
      <c r="HQ12" s="463"/>
      <c r="HR12" s="463"/>
      <c r="HS12" s="463"/>
      <c r="HT12" s="463"/>
      <c r="HU12" s="463"/>
      <c r="HV12" s="463"/>
      <c r="HW12" s="463"/>
      <c r="HX12" s="463"/>
      <c r="HY12" s="463"/>
      <c r="HZ12" s="463"/>
      <c r="IA12" s="463"/>
      <c r="IB12" s="463"/>
      <c r="IC12" s="463"/>
      <c r="ID12" s="463"/>
      <c r="IE12" s="463"/>
      <c r="IF12" s="463"/>
      <c r="IG12" s="463"/>
      <c r="IH12" s="463"/>
      <c r="II12" s="463"/>
      <c r="IJ12" s="463"/>
      <c r="IK12" s="463"/>
      <c r="IL12" s="463"/>
      <c r="IM12" s="463"/>
      <c r="IN12" s="463"/>
      <c r="IO12" s="463"/>
      <c r="IP12" s="463"/>
      <c r="IQ12" s="463"/>
      <c r="IR12" s="463"/>
      <c r="IS12" s="463"/>
      <c r="IT12" s="463"/>
      <c r="IU12" s="463"/>
      <c r="IV12" s="463"/>
    </row>
    <row r="13" spans="1:16" s="1175" customFormat="1" ht="18" customHeight="1">
      <c r="A13" s="880">
        <v>5</v>
      </c>
      <c r="B13" s="1167"/>
      <c r="C13" s="1168"/>
      <c r="D13" s="1169" t="s">
        <v>312</v>
      </c>
      <c r="E13" s="475">
        <f>F13+G13+O13+P13+482</f>
        <v>25975</v>
      </c>
      <c r="F13" s="869">
        <f>6208+6205</f>
        <v>12413</v>
      </c>
      <c r="G13" s="476">
        <f>2345+10080</f>
        <v>12425</v>
      </c>
      <c r="H13" s="1183"/>
      <c r="I13" s="1201">
        <v>73</v>
      </c>
      <c r="J13" s="1197">
        <v>73</v>
      </c>
      <c r="K13" s="1197">
        <v>509</v>
      </c>
      <c r="L13" s="1173"/>
      <c r="M13" s="1173"/>
      <c r="N13" s="1173"/>
      <c r="O13" s="1166">
        <f>SUM(I13:N13)</f>
        <v>655</v>
      </c>
      <c r="P13" s="1174"/>
    </row>
    <row r="14" spans="1:256" s="865" customFormat="1" ht="36" customHeight="1">
      <c r="A14" s="880">
        <v>6</v>
      </c>
      <c r="B14" s="873"/>
      <c r="C14" s="465">
        <v>3</v>
      </c>
      <c r="D14" s="1204" t="s">
        <v>699</v>
      </c>
      <c r="E14" s="475"/>
      <c r="F14" s="869"/>
      <c r="G14" s="476"/>
      <c r="H14" s="1209" t="s">
        <v>24</v>
      </c>
      <c r="I14" s="1201"/>
      <c r="J14" s="1197"/>
      <c r="K14" s="1197"/>
      <c r="L14" s="1197"/>
      <c r="M14" s="1197"/>
      <c r="N14" s="1197"/>
      <c r="O14" s="1166"/>
      <c r="P14" s="870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3"/>
      <c r="DX14" s="463"/>
      <c r="DY14" s="463"/>
      <c r="DZ14" s="463"/>
      <c r="EA14" s="463"/>
      <c r="EB14" s="463"/>
      <c r="EC14" s="463"/>
      <c r="ED14" s="463"/>
      <c r="EE14" s="463"/>
      <c r="EF14" s="463"/>
      <c r="EG14" s="463"/>
      <c r="EH14" s="463"/>
      <c r="EI14" s="463"/>
      <c r="EJ14" s="463"/>
      <c r="EK14" s="463"/>
      <c r="EL14" s="463"/>
      <c r="EM14" s="463"/>
      <c r="EN14" s="463"/>
      <c r="EO14" s="463"/>
      <c r="EP14" s="463"/>
      <c r="EQ14" s="463"/>
      <c r="ER14" s="463"/>
      <c r="ES14" s="463"/>
      <c r="ET14" s="463"/>
      <c r="EU14" s="463"/>
      <c r="EV14" s="463"/>
      <c r="EW14" s="463"/>
      <c r="EX14" s="463"/>
      <c r="EY14" s="463"/>
      <c r="EZ14" s="463"/>
      <c r="FA14" s="463"/>
      <c r="FB14" s="463"/>
      <c r="FC14" s="463"/>
      <c r="FD14" s="463"/>
      <c r="FE14" s="463"/>
      <c r="FF14" s="463"/>
      <c r="FG14" s="463"/>
      <c r="FH14" s="463"/>
      <c r="FI14" s="463"/>
      <c r="FJ14" s="463"/>
      <c r="FK14" s="463"/>
      <c r="FL14" s="463"/>
      <c r="FM14" s="463"/>
      <c r="FN14" s="463"/>
      <c r="FO14" s="463"/>
      <c r="FP14" s="463"/>
      <c r="FQ14" s="463"/>
      <c r="FR14" s="463"/>
      <c r="FS14" s="463"/>
      <c r="FT14" s="463"/>
      <c r="FU14" s="463"/>
      <c r="FV14" s="463"/>
      <c r="FW14" s="463"/>
      <c r="FX14" s="463"/>
      <c r="FY14" s="463"/>
      <c r="FZ14" s="463"/>
      <c r="GA14" s="463"/>
      <c r="GB14" s="463"/>
      <c r="GC14" s="463"/>
      <c r="GD14" s="463"/>
      <c r="GE14" s="463"/>
      <c r="GF14" s="463"/>
      <c r="GG14" s="463"/>
      <c r="GH14" s="463"/>
      <c r="GI14" s="463"/>
      <c r="GJ14" s="463"/>
      <c r="GK14" s="463"/>
      <c r="GL14" s="463"/>
      <c r="GM14" s="463"/>
      <c r="GN14" s="463"/>
      <c r="GO14" s="463"/>
      <c r="GP14" s="463"/>
      <c r="GQ14" s="463"/>
      <c r="GR14" s="463"/>
      <c r="GS14" s="463"/>
      <c r="GT14" s="463"/>
      <c r="GU14" s="463"/>
      <c r="GV14" s="463"/>
      <c r="GW14" s="463"/>
      <c r="GX14" s="463"/>
      <c r="GY14" s="463"/>
      <c r="GZ14" s="463"/>
      <c r="HA14" s="463"/>
      <c r="HB14" s="463"/>
      <c r="HC14" s="463"/>
      <c r="HD14" s="463"/>
      <c r="HE14" s="463"/>
      <c r="HF14" s="463"/>
      <c r="HG14" s="463"/>
      <c r="HH14" s="463"/>
      <c r="HI14" s="463"/>
      <c r="HJ14" s="463"/>
      <c r="HK14" s="463"/>
      <c r="HL14" s="463"/>
      <c r="HM14" s="463"/>
      <c r="HN14" s="463"/>
      <c r="HO14" s="463"/>
      <c r="HP14" s="463"/>
      <c r="HQ14" s="463"/>
      <c r="HR14" s="463"/>
      <c r="HS14" s="463"/>
      <c r="HT14" s="463"/>
      <c r="HU14" s="463"/>
      <c r="HV14" s="463"/>
      <c r="HW14" s="463"/>
      <c r="HX14" s="463"/>
      <c r="HY14" s="463"/>
      <c r="HZ14" s="463"/>
      <c r="IA14" s="463"/>
      <c r="IB14" s="463"/>
      <c r="IC14" s="463"/>
      <c r="ID14" s="463"/>
      <c r="IE14" s="463"/>
      <c r="IF14" s="463"/>
      <c r="IG14" s="463"/>
      <c r="IH14" s="463"/>
      <c r="II14" s="463"/>
      <c r="IJ14" s="463"/>
      <c r="IK14" s="463"/>
      <c r="IL14" s="463"/>
      <c r="IM14" s="463"/>
      <c r="IN14" s="463"/>
      <c r="IO14" s="463"/>
      <c r="IP14" s="463"/>
      <c r="IQ14" s="463"/>
      <c r="IR14" s="463"/>
      <c r="IS14" s="463"/>
      <c r="IT14" s="463"/>
      <c r="IU14" s="463"/>
      <c r="IV14" s="463"/>
    </row>
    <row r="15" spans="1:16" s="1175" customFormat="1" ht="18" customHeight="1">
      <c r="A15" s="880">
        <v>7</v>
      </c>
      <c r="B15" s="1167"/>
      <c r="C15" s="1168"/>
      <c r="D15" s="1169" t="s">
        <v>312</v>
      </c>
      <c r="E15" s="475">
        <f>F15+G15+O15+P15</f>
        <v>282576</v>
      </c>
      <c r="F15" s="869">
        <v>6699</v>
      </c>
      <c r="G15" s="476"/>
      <c r="H15" s="1183"/>
      <c r="I15" s="1180"/>
      <c r="J15" s="1173"/>
      <c r="K15" s="1197">
        <v>278</v>
      </c>
      <c r="L15" s="1173"/>
      <c r="M15" s="1197">
        <f>52777+222822</f>
        <v>275599</v>
      </c>
      <c r="N15" s="1173"/>
      <c r="O15" s="1166">
        <f>SUM(I15:N15)</f>
        <v>275877</v>
      </c>
      <c r="P15" s="1174"/>
    </row>
    <row r="16" spans="1:256" s="865" customFormat="1" ht="22.5" customHeight="1">
      <c r="A16" s="880">
        <v>8</v>
      </c>
      <c r="B16" s="873"/>
      <c r="C16" s="517">
        <v>4</v>
      </c>
      <c r="D16" s="868" t="s">
        <v>700</v>
      </c>
      <c r="E16" s="475"/>
      <c r="F16" s="869"/>
      <c r="G16" s="476"/>
      <c r="H16" s="1183" t="s">
        <v>24</v>
      </c>
      <c r="I16" s="1201"/>
      <c r="J16" s="1197"/>
      <c r="K16" s="1197"/>
      <c r="L16" s="1197"/>
      <c r="M16" s="1197"/>
      <c r="N16" s="1197"/>
      <c r="O16" s="1166"/>
      <c r="P16" s="870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3"/>
      <c r="DS16" s="463"/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3"/>
      <c r="EL16" s="463"/>
      <c r="EM16" s="463"/>
      <c r="EN16" s="463"/>
      <c r="EO16" s="463"/>
      <c r="EP16" s="463"/>
      <c r="EQ16" s="463"/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3"/>
      <c r="FL16" s="463"/>
      <c r="FM16" s="463"/>
      <c r="FN16" s="463"/>
      <c r="FO16" s="463"/>
      <c r="FP16" s="463"/>
      <c r="FQ16" s="463"/>
      <c r="FR16" s="463"/>
      <c r="FS16" s="463"/>
      <c r="FT16" s="463"/>
      <c r="FU16" s="463"/>
      <c r="FV16" s="463"/>
      <c r="FW16" s="463"/>
      <c r="FX16" s="463"/>
      <c r="FY16" s="463"/>
      <c r="FZ16" s="463"/>
      <c r="GA16" s="463"/>
      <c r="GB16" s="463"/>
      <c r="GC16" s="463"/>
      <c r="GD16" s="463"/>
      <c r="GE16" s="463"/>
      <c r="GF16" s="463"/>
      <c r="GG16" s="463"/>
      <c r="GH16" s="463"/>
      <c r="GI16" s="463"/>
      <c r="GJ16" s="463"/>
      <c r="GK16" s="463"/>
      <c r="GL16" s="463"/>
      <c r="GM16" s="463"/>
      <c r="GN16" s="463"/>
      <c r="GO16" s="463"/>
      <c r="GP16" s="463"/>
      <c r="GQ16" s="463"/>
      <c r="GR16" s="463"/>
      <c r="GS16" s="463"/>
      <c r="GT16" s="463"/>
      <c r="GU16" s="463"/>
      <c r="GV16" s="463"/>
      <c r="GW16" s="463"/>
      <c r="GX16" s="463"/>
      <c r="GY16" s="463"/>
      <c r="GZ16" s="463"/>
      <c r="HA16" s="463"/>
      <c r="HB16" s="463"/>
      <c r="HC16" s="463"/>
      <c r="HD16" s="463"/>
      <c r="HE16" s="463"/>
      <c r="HF16" s="463"/>
      <c r="HG16" s="463"/>
      <c r="HH16" s="463"/>
      <c r="HI16" s="463"/>
      <c r="HJ16" s="463"/>
      <c r="HK16" s="463"/>
      <c r="HL16" s="463"/>
      <c r="HM16" s="463"/>
      <c r="HN16" s="463"/>
      <c r="HO16" s="463"/>
      <c r="HP16" s="463"/>
      <c r="HQ16" s="463"/>
      <c r="HR16" s="463"/>
      <c r="HS16" s="463"/>
      <c r="HT16" s="463"/>
      <c r="HU16" s="463"/>
      <c r="HV16" s="463"/>
      <c r="HW16" s="463"/>
      <c r="HX16" s="463"/>
      <c r="HY16" s="463"/>
      <c r="HZ16" s="463"/>
      <c r="IA16" s="463"/>
      <c r="IB16" s="463"/>
      <c r="IC16" s="463"/>
      <c r="ID16" s="463"/>
      <c r="IE16" s="463"/>
      <c r="IF16" s="463"/>
      <c r="IG16" s="463"/>
      <c r="IH16" s="463"/>
      <c r="II16" s="463"/>
      <c r="IJ16" s="463"/>
      <c r="IK16" s="463"/>
      <c r="IL16" s="463"/>
      <c r="IM16" s="463"/>
      <c r="IN16" s="463"/>
      <c r="IO16" s="463"/>
      <c r="IP16" s="463"/>
      <c r="IQ16" s="463"/>
      <c r="IR16" s="463"/>
      <c r="IS16" s="463"/>
      <c r="IT16" s="463"/>
      <c r="IU16" s="463"/>
      <c r="IV16" s="463"/>
    </row>
    <row r="17" spans="1:16" s="1175" customFormat="1" ht="18" customHeight="1">
      <c r="A17" s="880">
        <v>9</v>
      </c>
      <c r="B17" s="1167"/>
      <c r="C17" s="1168"/>
      <c r="D17" s="1176" t="s">
        <v>312</v>
      </c>
      <c r="E17" s="475">
        <f>F17+G17+O17+P17</f>
        <v>66636</v>
      </c>
      <c r="F17" s="869">
        <v>143</v>
      </c>
      <c r="G17" s="476">
        <f>196+62988+1540</f>
        <v>64724</v>
      </c>
      <c r="H17" s="1183"/>
      <c r="I17" s="1180"/>
      <c r="J17" s="1173"/>
      <c r="K17" s="1197">
        <v>61</v>
      </c>
      <c r="L17" s="1173"/>
      <c r="M17" s="1197">
        <v>1708</v>
      </c>
      <c r="N17" s="1173"/>
      <c r="O17" s="1166">
        <f>SUM(I17:N17)</f>
        <v>1769</v>
      </c>
      <c r="P17" s="1174"/>
    </row>
    <row r="18" spans="1:256" s="865" customFormat="1" ht="38.25" customHeight="1">
      <c r="A18" s="880">
        <v>10</v>
      </c>
      <c r="B18" s="873"/>
      <c r="C18" s="465">
        <v>5</v>
      </c>
      <c r="D18" s="467" t="s">
        <v>623</v>
      </c>
      <c r="E18" s="475"/>
      <c r="F18" s="475"/>
      <c r="G18" s="476"/>
      <c r="H18" s="1209" t="s">
        <v>24</v>
      </c>
      <c r="I18" s="1202"/>
      <c r="J18" s="1196"/>
      <c r="K18" s="1196"/>
      <c r="L18" s="1196"/>
      <c r="M18" s="1196"/>
      <c r="N18" s="1196"/>
      <c r="O18" s="1203"/>
      <c r="P18" s="870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  <c r="FL18" s="463"/>
      <c r="FM18" s="463"/>
      <c r="FN18" s="463"/>
      <c r="FO18" s="463"/>
      <c r="FP18" s="463"/>
      <c r="FQ18" s="463"/>
      <c r="FR18" s="463"/>
      <c r="FS18" s="463"/>
      <c r="FT18" s="463"/>
      <c r="FU18" s="463"/>
      <c r="FV18" s="463"/>
      <c r="FW18" s="463"/>
      <c r="FX18" s="463"/>
      <c r="FY18" s="463"/>
      <c r="FZ18" s="463"/>
      <c r="GA18" s="463"/>
      <c r="GB18" s="463"/>
      <c r="GC18" s="463"/>
      <c r="GD18" s="463"/>
      <c r="GE18" s="463"/>
      <c r="GF18" s="463"/>
      <c r="GG18" s="463"/>
      <c r="GH18" s="463"/>
      <c r="GI18" s="463"/>
      <c r="GJ18" s="463"/>
      <c r="GK18" s="463"/>
      <c r="GL18" s="463"/>
      <c r="GM18" s="463"/>
      <c r="GN18" s="463"/>
      <c r="GO18" s="463"/>
      <c r="GP18" s="463"/>
      <c r="GQ18" s="463"/>
      <c r="GR18" s="463"/>
      <c r="GS18" s="463"/>
      <c r="GT18" s="463"/>
      <c r="GU18" s="463"/>
      <c r="GV18" s="463"/>
      <c r="GW18" s="463"/>
      <c r="GX18" s="463"/>
      <c r="GY18" s="463"/>
      <c r="GZ18" s="463"/>
      <c r="HA18" s="463"/>
      <c r="HB18" s="463"/>
      <c r="HC18" s="463"/>
      <c r="HD18" s="463"/>
      <c r="HE18" s="463"/>
      <c r="HF18" s="463"/>
      <c r="HG18" s="463"/>
      <c r="HH18" s="463"/>
      <c r="HI18" s="463"/>
      <c r="HJ18" s="463"/>
      <c r="HK18" s="463"/>
      <c r="HL18" s="463"/>
      <c r="HM18" s="463"/>
      <c r="HN18" s="463"/>
      <c r="HO18" s="463"/>
      <c r="HP18" s="463"/>
      <c r="HQ18" s="463"/>
      <c r="HR18" s="463"/>
      <c r="HS18" s="463"/>
      <c r="HT18" s="463"/>
      <c r="HU18" s="463"/>
      <c r="HV18" s="463"/>
      <c r="HW18" s="463"/>
      <c r="HX18" s="463"/>
      <c r="HY18" s="463"/>
      <c r="HZ18" s="463"/>
      <c r="IA18" s="463"/>
      <c r="IB18" s="463"/>
      <c r="IC18" s="463"/>
      <c r="ID18" s="463"/>
      <c r="IE18" s="463"/>
      <c r="IF18" s="463"/>
      <c r="IG18" s="463"/>
      <c r="IH18" s="463"/>
      <c r="II18" s="463"/>
      <c r="IJ18" s="463"/>
      <c r="IK18" s="463"/>
      <c r="IL18" s="463"/>
      <c r="IM18" s="463"/>
      <c r="IN18" s="463"/>
      <c r="IO18" s="463"/>
      <c r="IP18" s="463"/>
      <c r="IQ18" s="463"/>
      <c r="IR18" s="463"/>
      <c r="IS18" s="463"/>
      <c r="IT18" s="463"/>
      <c r="IU18" s="463"/>
      <c r="IV18" s="463"/>
    </row>
    <row r="19" spans="1:16" ht="18" customHeight="1">
      <c r="A19" s="880">
        <v>11</v>
      </c>
      <c r="B19" s="694"/>
      <c r="C19" s="517"/>
      <c r="D19" s="1176" t="s">
        <v>312</v>
      </c>
      <c r="E19" s="475">
        <f>F19+G19+O19+P19+3250</f>
        <v>175747</v>
      </c>
      <c r="F19" s="475">
        <v>6541</v>
      </c>
      <c r="G19" s="476"/>
      <c r="H19" s="1183"/>
      <c r="I19" s="1202"/>
      <c r="J19" s="1196"/>
      <c r="K19" s="1196">
        <v>382</v>
      </c>
      <c r="L19" s="1196"/>
      <c r="M19" s="1196">
        <f>34933+130641</f>
        <v>165574</v>
      </c>
      <c r="N19" s="1196"/>
      <c r="O19" s="1166">
        <f>SUM(I19:N19)</f>
        <v>165956</v>
      </c>
      <c r="P19" s="870"/>
    </row>
    <row r="20" spans="1:16" ht="33">
      <c r="A20" s="880">
        <v>12</v>
      </c>
      <c r="B20" s="694"/>
      <c r="C20" s="465">
        <v>6</v>
      </c>
      <c r="D20" s="1164" t="s">
        <v>702</v>
      </c>
      <c r="E20" s="475"/>
      <c r="F20" s="475"/>
      <c r="G20" s="476"/>
      <c r="H20" s="1183" t="s">
        <v>24</v>
      </c>
      <c r="I20" s="1202"/>
      <c r="J20" s="1196"/>
      <c r="K20" s="1196"/>
      <c r="L20" s="1196"/>
      <c r="M20" s="1196"/>
      <c r="N20" s="1196"/>
      <c r="O20" s="1166"/>
      <c r="P20" s="870"/>
    </row>
    <row r="21" spans="1:16" ht="18" customHeight="1">
      <c r="A21" s="880">
        <v>13</v>
      </c>
      <c r="B21" s="694"/>
      <c r="C21" s="517"/>
      <c r="D21" s="1176" t="s">
        <v>312</v>
      </c>
      <c r="E21" s="475">
        <f>F21+G21+O21+P21</f>
        <v>50792</v>
      </c>
      <c r="F21" s="475">
        <v>1956</v>
      </c>
      <c r="G21" s="476"/>
      <c r="H21" s="1183"/>
      <c r="I21" s="1202"/>
      <c r="J21" s="1196"/>
      <c r="K21" s="1196">
        <v>270</v>
      </c>
      <c r="L21" s="1196"/>
      <c r="M21" s="1196">
        <f>7068+41498</f>
        <v>48566</v>
      </c>
      <c r="N21" s="1196"/>
      <c r="O21" s="1166">
        <f>SUM(I21:N21)</f>
        <v>48836</v>
      </c>
      <c r="P21" s="870"/>
    </row>
    <row r="22" spans="1:16" ht="33">
      <c r="A22" s="880">
        <v>14</v>
      </c>
      <c r="B22" s="694"/>
      <c r="C22" s="465">
        <v>7</v>
      </c>
      <c r="D22" s="1163" t="s">
        <v>703</v>
      </c>
      <c r="E22" s="475"/>
      <c r="F22" s="475"/>
      <c r="G22" s="476"/>
      <c r="H22" s="1183" t="s">
        <v>24</v>
      </c>
      <c r="I22" s="1202"/>
      <c r="J22" s="1196"/>
      <c r="K22" s="1196"/>
      <c r="L22" s="1196"/>
      <c r="M22" s="1196"/>
      <c r="N22" s="1196"/>
      <c r="O22" s="1166"/>
      <c r="P22" s="870"/>
    </row>
    <row r="23" spans="1:16" ht="18" customHeight="1">
      <c r="A23" s="880">
        <v>15</v>
      </c>
      <c r="B23" s="694"/>
      <c r="C23" s="517"/>
      <c r="D23" s="1176" t="s">
        <v>312</v>
      </c>
      <c r="E23" s="475">
        <f>F23+G23+O23+P23</f>
        <v>93009</v>
      </c>
      <c r="F23" s="475">
        <v>2459</v>
      </c>
      <c r="G23" s="476"/>
      <c r="H23" s="1183"/>
      <c r="I23" s="1202"/>
      <c r="J23" s="1196"/>
      <c r="K23" s="1196">
        <v>270</v>
      </c>
      <c r="L23" s="1196"/>
      <c r="M23" s="1196">
        <f>37058+53222</f>
        <v>90280</v>
      </c>
      <c r="N23" s="1196"/>
      <c r="O23" s="1166">
        <f>SUM(I23:N23)</f>
        <v>90550</v>
      </c>
      <c r="P23" s="870"/>
    </row>
    <row r="24" spans="1:16" ht="22.5" customHeight="1">
      <c r="A24" s="880">
        <v>16</v>
      </c>
      <c r="B24" s="694"/>
      <c r="C24" s="517">
        <v>8</v>
      </c>
      <c r="D24" s="1478" t="s">
        <v>582</v>
      </c>
      <c r="E24" s="475"/>
      <c r="F24" s="475"/>
      <c r="G24" s="476"/>
      <c r="H24" s="1183" t="s">
        <v>24</v>
      </c>
      <c r="I24" s="1202"/>
      <c r="J24" s="1196"/>
      <c r="K24" s="1196"/>
      <c r="L24" s="1196"/>
      <c r="M24" s="1196"/>
      <c r="N24" s="1196"/>
      <c r="O24" s="1166"/>
      <c r="P24" s="870"/>
    </row>
    <row r="25" spans="1:16" ht="18" customHeight="1">
      <c r="A25" s="880">
        <v>17</v>
      </c>
      <c r="B25" s="694"/>
      <c r="C25" s="517"/>
      <c r="D25" s="1176" t="s">
        <v>312</v>
      </c>
      <c r="E25" s="475">
        <f>F25+G25+O25+P25</f>
        <v>72672</v>
      </c>
      <c r="F25" s="475">
        <v>4926</v>
      </c>
      <c r="G25" s="476">
        <f>120+67252+329</f>
        <v>67701</v>
      </c>
      <c r="H25" s="1183"/>
      <c r="I25" s="1202"/>
      <c r="J25" s="1196"/>
      <c r="K25" s="1196">
        <v>45</v>
      </c>
      <c r="L25" s="1196"/>
      <c r="M25" s="1196"/>
      <c r="N25" s="1196"/>
      <c r="O25" s="1166">
        <f>SUM(I25:N25)</f>
        <v>45</v>
      </c>
      <c r="P25" s="870"/>
    </row>
    <row r="26" spans="1:256" s="865" customFormat="1" ht="54.75" customHeight="1">
      <c r="A26" s="880">
        <v>18</v>
      </c>
      <c r="B26" s="873"/>
      <c r="C26" s="465">
        <v>9</v>
      </c>
      <c r="D26" s="1162" t="s">
        <v>624</v>
      </c>
      <c r="E26" s="475"/>
      <c r="F26" s="869"/>
      <c r="G26" s="476"/>
      <c r="H26" s="1209" t="s">
        <v>24</v>
      </c>
      <c r="I26" s="1201"/>
      <c r="J26" s="1197"/>
      <c r="K26" s="1197"/>
      <c r="L26" s="1197"/>
      <c r="M26" s="1197"/>
      <c r="N26" s="1197"/>
      <c r="O26" s="1166"/>
      <c r="P26" s="870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  <c r="CW26" s="463"/>
      <c r="CX26" s="463"/>
      <c r="CY26" s="463"/>
      <c r="CZ26" s="463"/>
      <c r="DA26" s="463"/>
      <c r="DB26" s="463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3"/>
      <c r="FL26" s="463"/>
      <c r="FM26" s="463"/>
      <c r="FN26" s="463"/>
      <c r="FO26" s="463"/>
      <c r="FP26" s="463"/>
      <c r="FQ26" s="463"/>
      <c r="FR26" s="463"/>
      <c r="FS26" s="463"/>
      <c r="FT26" s="463"/>
      <c r="FU26" s="463"/>
      <c r="FV26" s="463"/>
      <c r="FW26" s="463"/>
      <c r="FX26" s="463"/>
      <c r="FY26" s="463"/>
      <c r="FZ26" s="463"/>
      <c r="GA26" s="463"/>
      <c r="GB26" s="463"/>
      <c r="GC26" s="463"/>
      <c r="GD26" s="463"/>
      <c r="GE26" s="463"/>
      <c r="GF26" s="463"/>
      <c r="GG26" s="463"/>
      <c r="GH26" s="463"/>
      <c r="GI26" s="463"/>
      <c r="GJ26" s="463"/>
      <c r="GK26" s="463"/>
      <c r="GL26" s="463"/>
      <c r="GM26" s="463"/>
      <c r="GN26" s="463"/>
      <c r="GO26" s="463"/>
      <c r="GP26" s="463"/>
      <c r="GQ26" s="463"/>
      <c r="GR26" s="463"/>
      <c r="GS26" s="463"/>
      <c r="GT26" s="463"/>
      <c r="GU26" s="463"/>
      <c r="GV26" s="463"/>
      <c r="GW26" s="463"/>
      <c r="GX26" s="463"/>
      <c r="GY26" s="463"/>
      <c r="GZ26" s="463"/>
      <c r="HA26" s="463"/>
      <c r="HB26" s="463"/>
      <c r="HC26" s="463"/>
      <c r="HD26" s="463"/>
      <c r="HE26" s="463"/>
      <c r="HF26" s="463"/>
      <c r="HG26" s="463"/>
      <c r="HH26" s="463"/>
      <c r="HI26" s="463"/>
      <c r="HJ26" s="463"/>
      <c r="HK26" s="463"/>
      <c r="HL26" s="463"/>
      <c r="HM26" s="463"/>
      <c r="HN26" s="463"/>
      <c r="HO26" s="463"/>
      <c r="HP26" s="463"/>
      <c r="HQ26" s="463"/>
      <c r="HR26" s="463"/>
      <c r="HS26" s="463"/>
      <c r="HT26" s="463"/>
      <c r="HU26" s="463"/>
      <c r="HV26" s="463"/>
      <c r="HW26" s="463"/>
      <c r="HX26" s="463"/>
      <c r="HY26" s="463"/>
      <c r="HZ26" s="463"/>
      <c r="IA26" s="463"/>
      <c r="IB26" s="463"/>
      <c r="IC26" s="463"/>
      <c r="ID26" s="463"/>
      <c r="IE26" s="463"/>
      <c r="IF26" s="463"/>
      <c r="IG26" s="463"/>
      <c r="IH26" s="463"/>
      <c r="II26" s="463"/>
      <c r="IJ26" s="463"/>
      <c r="IK26" s="463"/>
      <c r="IL26" s="463"/>
      <c r="IM26" s="463"/>
      <c r="IN26" s="463"/>
      <c r="IO26" s="463"/>
      <c r="IP26" s="463"/>
      <c r="IQ26" s="463"/>
      <c r="IR26" s="463"/>
      <c r="IS26" s="463"/>
      <c r="IT26" s="463"/>
      <c r="IU26" s="463"/>
      <c r="IV26" s="463"/>
    </row>
    <row r="27" spans="1:16" ht="18" customHeight="1">
      <c r="A27" s="880">
        <v>19</v>
      </c>
      <c r="B27" s="694"/>
      <c r="C27" s="517"/>
      <c r="D27" s="1176" t="s">
        <v>312</v>
      </c>
      <c r="E27" s="475">
        <f>F27+G27+O27+P27</f>
        <v>200646</v>
      </c>
      <c r="F27" s="869">
        <v>4834</v>
      </c>
      <c r="G27" s="476">
        <v>40</v>
      </c>
      <c r="H27" s="1183"/>
      <c r="I27" s="1201"/>
      <c r="J27" s="1197"/>
      <c r="K27" s="1197">
        <v>395</v>
      </c>
      <c r="L27" s="1197"/>
      <c r="M27" s="1197">
        <f>760+194617</f>
        <v>195377</v>
      </c>
      <c r="N27" s="1197"/>
      <c r="O27" s="1166">
        <f>SUM(I27:N27)</f>
        <v>195772</v>
      </c>
      <c r="P27" s="870"/>
    </row>
    <row r="28" spans="1:256" s="865" customFormat="1" ht="33">
      <c r="A28" s="880">
        <v>20</v>
      </c>
      <c r="B28" s="873"/>
      <c r="C28" s="465">
        <v>10</v>
      </c>
      <c r="D28" s="467" t="s">
        <v>701</v>
      </c>
      <c r="E28" s="475"/>
      <c r="F28" s="869"/>
      <c r="G28" s="476"/>
      <c r="H28" s="1209" t="s">
        <v>24</v>
      </c>
      <c r="I28" s="1201"/>
      <c r="J28" s="1197"/>
      <c r="K28" s="1197"/>
      <c r="L28" s="1197"/>
      <c r="M28" s="1197"/>
      <c r="N28" s="1197"/>
      <c r="O28" s="1166"/>
      <c r="P28" s="870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3"/>
      <c r="FL28" s="463"/>
      <c r="FM28" s="463"/>
      <c r="FN28" s="463"/>
      <c r="FO28" s="463"/>
      <c r="FP28" s="463"/>
      <c r="FQ28" s="463"/>
      <c r="FR28" s="463"/>
      <c r="FS28" s="463"/>
      <c r="FT28" s="463"/>
      <c r="FU28" s="463"/>
      <c r="FV28" s="463"/>
      <c r="FW28" s="463"/>
      <c r="FX28" s="463"/>
      <c r="FY28" s="463"/>
      <c r="FZ28" s="463"/>
      <c r="GA28" s="463"/>
      <c r="GB28" s="463"/>
      <c r="GC28" s="463"/>
      <c r="GD28" s="463"/>
      <c r="GE28" s="463"/>
      <c r="GF28" s="463"/>
      <c r="GG28" s="463"/>
      <c r="GH28" s="463"/>
      <c r="GI28" s="463"/>
      <c r="GJ28" s="463"/>
      <c r="GK28" s="463"/>
      <c r="GL28" s="463"/>
      <c r="GM28" s="463"/>
      <c r="GN28" s="463"/>
      <c r="GO28" s="463"/>
      <c r="GP28" s="463"/>
      <c r="GQ28" s="463"/>
      <c r="GR28" s="463"/>
      <c r="GS28" s="463"/>
      <c r="GT28" s="463"/>
      <c r="GU28" s="463"/>
      <c r="GV28" s="463"/>
      <c r="GW28" s="463"/>
      <c r="GX28" s="463"/>
      <c r="GY28" s="463"/>
      <c r="GZ28" s="463"/>
      <c r="HA28" s="463"/>
      <c r="HB28" s="463"/>
      <c r="HC28" s="463"/>
      <c r="HD28" s="463"/>
      <c r="HE28" s="463"/>
      <c r="HF28" s="463"/>
      <c r="HG28" s="463"/>
      <c r="HH28" s="463"/>
      <c r="HI28" s="463"/>
      <c r="HJ28" s="463"/>
      <c r="HK28" s="463"/>
      <c r="HL28" s="463"/>
      <c r="HM28" s="463"/>
      <c r="HN28" s="463"/>
      <c r="HO28" s="463"/>
      <c r="HP28" s="463"/>
      <c r="HQ28" s="463"/>
      <c r="HR28" s="463"/>
      <c r="HS28" s="463"/>
      <c r="HT28" s="463"/>
      <c r="HU28" s="463"/>
      <c r="HV28" s="463"/>
      <c r="HW28" s="463"/>
      <c r="HX28" s="463"/>
      <c r="HY28" s="463"/>
      <c r="HZ28" s="463"/>
      <c r="IA28" s="463"/>
      <c r="IB28" s="463"/>
      <c r="IC28" s="463"/>
      <c r="ID28" s="463"/>
      <c r="IE28" s="463"/>
      <c r="IF28" s="463"/>
      <c r="IG28" s="463"/>
      <c r="IH28" s="463"/>
      <c r="II28" s="463"/>
      <c r="IJ28" s="463"/>
      <c r="IK28" s="463"/>
      <c r="IL28" s="463"/>
      <c r="IM28" s="463"/>
      <c r="IN28" s="463"/>
      <c r="IO28" s="463"/>
      <c r="IP28" s="463"/>
      <c r="IQ28" s="463"/>
      <c r="IR28" s="463"/>
      <c r="IS28" s="463"/>
      <c r="IT28" s="463"/>
      <c r="IU28" s="463"/>
      <c r="IV28" s="463"/>
    </row>
    <row r="29" spans="1:16" ht="18" customHeight="1">
      <c r="A29" s="880">
        <v>21</v>
      </c>
      <c r="B29" s="694"/>
      <c r="C29" s="517"/>
      <c r="D29" s="1176" t="s">
        <v>312</v>
      </c>
      <c r="E29" s="475">
        <f>F29+G29+O29+P29</f>
        <v>334981</v>
      </c>
      <c r="F29" s="869">
        <v>6401</v>
      </c>
      <c r="G29" s="476">
        <v>100</v>
      </c>
      <c r="H29" s="1183"/>
      <c r="I29" s="1201"/>
      <c r="J29" s="1197"/>
      <c r="K29" s="1197">
        <v>278</v>
      </c>
      <c r="L29" s="1197"/>
      <c r="M29" s="1197">
        <f>29875+298327</f>
        <v>328202</v>
      </c>
      <c r="N29" s="1197"/>
      <c r="O29" s="1166">
        <f>SUM(I29:N29)</f>
        <v>328480</v>
      </c>
      <c r="P29" s="870"/>
    </row>
    <row r="30" spans="1:16" ht="33">
      <c r="A30" s="880">
        <v>22</v>
      </c>
      <c r="B30" s="694"/>
      <c r="C30" s="465">
        <v>11</v>
      </c>
      <c r="D30" s="467" t="s">
        <v>704</v>
      </c>
      <c r="E30" s="475"/>
      <c r="F30" s="869"/>
      <c r="G30" s="476"/>
      <c r="H30" s="1183" t="s">
        <v>24</v>
      </c>
      <c r="I30" s="1201"/>
      <c r="J30" s="1197"/>
      <c r="K30" s="1197"/>
      <c r="L30" s="1197"/>
      <c r="M30" s="1197"/>
      <c r="N30" s="1197"/>
      <c r="O30" s="1166"/>
      <c r="P30" s="870"/>
    </row>
    <row r="31" spans="1:256" s="865" customFormat="1" ht="18" customHeight="1">
      <c r="A31" s="880">
        <v>23</v>
      </c>
      <c r="B31" s="873"/>
      <c r="C31" s="465"/>
      <c r="D31" s="1176" t="s">
        <v>312</v>
      </c>
      <c r="E31" s="475">
        <f>F31+G31+O31+P31</f>
        <v>3597000</v>
      </c>
      <c r="F31" s="869">
        <v>450951</v>
      </c>
      <c r="G31" s="476">
        <f>1230725+544</f>
        <v>1231269</v>
      </c>
      <c r="H31" s="1183"/>
      <c r="I31" s="1201"/>
      <c r="J31" s="1197"/>
      <c r="K31" s="1197">
        <v>1422</v>
      </c>
      <c r="L31" s="1197"/>
      <c r="M31" s="1197">
        <f>294000+1619358</f>
        <v>1913358</v>
      </c>
      <c r="N31" s="1197"/>
      <c r="O31" s="1166">
        <f>SUM(I31:N31)</f>
        <v>1914780</v>
      </c>
      <c r="P31" s="870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  <c r="CW31" s="463"/>
      <c r="CX31" s="463"/>
      <c r="CY31" s="463"/>
      <c r="CZ31" s="463"/>
      <c r="DA31" s="463"/>
      <c r="DB31" s="463"/>
      <c r="DC31" s="463"/>
      <c r="DD31" s="463"/>
      <c r="DE31" s="463"/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3"/>
      <c r="FL31" s="463"/>
      <c r="FM31" s="463"/>
      <c r="FN31" s="463"/>
      <c r="FO31" s="463"/>
      <c r="FP31" s="463"/>
      <c r="FQ31" s="463"/>
      <c r="FR31" s="463"/>
      <c r="FS31" s="463"/>
      <c r="FT31" s="463"/>
      <c r="FU31" s="463"/>
      <c r="FV31" s="463"/>
      <c r="FW31" s="463"/>
      <c r="FX31" s="463"/>
      <c r="FY31" s="463"/>
      <c r="FZ31" s="463"/>
      <c r="GA31" s="463"/>
      <c r="GB31" s="463"/>
      <c r="GC31" s="463"/>
      <c r="GD31" s="463"/>
      <c r="GE31" s="463"/>
      <c r="GF31" s="463"/>
      <c r="GG31" s="463"/>
      <c r="GH31" s="463"/>
      <c r="GI31" s="463"/>
      <c r="GJ31" s="463"/>
      <c r="GK31" s="463"/>
      <c r="GL31" s="463"/>
      <c r="GM31" s="463"/>
      <c r="GN31" s="463"/>
      <c r="GO31" s="463"/>
      <c r="GP31" s="463"/>
      <c r="GQ31" s="463"/>
      <c r="GR31" s="463"/>
      <c r="GS31" s="463"/>
      <c r="GT31" s="463"/>
      <c r="GU31" s="463"/>
      <c r="GV31" s="463"/>
      <c r="GW31" s="463"/>
      <c r="GX31" s="463"/>
      <c r="GY31" s="463"/>
      <c r="GZ31" s="463"/>
      <c r="HA31" s="463"/>
      <c r="HB31" s="463"/>
      <c r="HC31" s="463"/>
      <c r="HD31" s="463"/>
      <c r="HE31" s="463"/>
      <c r="HF31" s="463"/>
      <c r="HG31" s="463"/>
      <c r="HH31" s="463"/>
      <c r="HI31" s="463"/>
      <c r="HJ31" s="463"/>
      <c r="HK31" s="463"/>
      <c r="HL31" s="463"/>
      <c r="HM31" s="463"/>
      <c r="HN31" s="463"/>
      <c r="HO31" s="463"/>
      <c r="HP31" s="463"/>
      <c r="HQ31" s="463"/>
      <c r="HR31" s="463"/>
      <c r="HS31" s="463"/>
      <c r="HT31" s="463"/>
      <c r="HU31" s="463"/>
      <c r="HV31" s="463"/>
      <c r="HW31" s="463"/>
      <c r="HX31" s="463"/>
      <c r="HY31" s="463"/>
      <c r="HZ31" s="463"/>
      <c r="IA31" s="463"/>
      <c r="IB31" s="463"/>
      <c r="IC31" s="463"/>
      <c r="ID31" s="463"/>
      <c r="IE31" s="463"/>
      <c r="IF31" s="463"/>
      <c r="IG31" s="463"/>
      <c r="IH31" s="463"/>
      <c r="II31" s="463"/>
      <c r="IJ31" s="463"/>
      <c r="IK31" s="463"/>
      <c r="IL31" s="463"/>
      <c r="IM31" s="463"/>
      <c r="IN31" s="463"/>
      <c r="IO31" s="463"/>
      <c r="IP31" s="463"/>
      <c r="IQ31" s="463"/>
      <c r="IR31" s="463"/>
      <c r="IS31" s="463"/>
      <c r="IT31" s="463"/>
      <c r="IU31" s="463"/>
      <c r="IV31" s="463"/>
    </row>
    <row r="32" spans="1:16" ht="33">
      <c r="A32" s="880">
        <v>24</v>
      </c>
      <c r="B32" s="694"/>
      <c r="C32" s="465">
        <v>12</v>
      </c>
      <c r="D32" s="467" t="s">
        <v>540</v>
      </c>
      <c r="E32" s="475"/>
      <c r="F32" s="869"/>
      <c r="G32" s="476"/>
      <c r="H32" s="1183" t="s">
        <v>24</v>
      </c>
      <c r="I32" s="1201"/>
      <c r="J32" s="1197"/>
      <c r="K32" s="1197"/>
      <c r="L32" s="1197"/>
      <c r="M32" s="1197"/>
      <c r="N32" s="1197"/>
      <c r="O32" s="1166"/>
      <c r="P32" s="870"/>
    </row>
    <row r="33" spans="1:256" s="865" customFormat="1" ht="18" customHeight="1">
      <c r="A33" s="880">
        <v>25</v>
      </c>
      <c r="B33" s="873"/>
      <c r="C33" s="517"/>
      <c r="D33" s="1176" t="s">
        <v>312</v>
      </c>
      <c r="E33" s="475">
        <f>F33+G33+O33+P33+6000</f>
        <v>240000</v>
      </c>
      <c r="F33" s="869">
        <v>9749</v>
      </c>
      <c r="G33" s="476">
        <f>2883+952</f>
        <v>3835</v>
      </c>
      <c r="H33" s="1183"/>
      <c r="I33" s="1201"/>
      <c r="J33" s="1197"/>
      <c r="K33" s="1197">
        <v>3015</v>
      </c>
      <c r="L33" s="1197"/>
      <c r="M33" s="1197">
        <f>12000+205401</f>
        <v>217401</v>
      </c>
      <c r="N33" s="1197"/>
      <c r="O33" s="1166">
        <f>SUM(I33:N33)</f>
        <v>220416</v>
      </c>
      <c r="P33" s="870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3"/>
      <c r="DV33" s="463"/>
      <c r="DW33" s="463"/>
      <c r="DX33" s="463"/>
      <c r="DY33" s="463"/>
      <c r="DZ33" s="463"/>
      <c r="EA33" s="463"/>
      <c r="EB33" s="463"/>
      <c r="EC33" s="463"/>
      <c r="ED33" s="463"/>
      <c r="EE33" s="463"/>
      <c r="EF33" s="463"/>
      <c r="EG33" s="463"/>
      <c r="EH33" s="463"/>
      <c r="EI33" s="463"/>
      <c r="EJ33" s="463"/>
      <c r="EK33" s="463"/>
      <c r="EL33" s="463"/>
      <c r="EM33" s="463"/>
      <c r="EN33" s="463"/>
      <c r="EO33" s="463"/>
      <c r="EP33" s="463"/>
      <c r="EQ33" s="463"/>
      <c r="ER33" s="463"/>
      <c r="ES33" s="463"/>
      <c r="ET33" s="463"/>
      <c r="EU33" s="463"/>
      <c r="EV33" s="463"/>
      <c r="EW33" s="463"/>
      <c r="EX33" s="463"/>
      <c r="EY33" s="463"/>
      <c r="EZ33" s="463"/>
      <c r="FA33" s="463"/>
      <c r="FB33" s="463"/>
      <c r="FC33" s="463"/>
      <c r="FD33" s="463"/>
      <c r="FE33" s="463"/>
      <c r="FF33" s="463"/>
      <c r="FG33" s="463"/>
      <c r="FH33" s="463"/>
      <c r="FI33" s="463"/>
      <c r="FJ33" s="463"/>
      <c r="FK33" s="463"/>
      <c r="FL33" s="463"/>
      <c r="FM33" s="463"/>
      <c r="FN33" s="463"/>
      <c r="FO33" s="463"/>
      <c r="FP33" s="463"/>
      <c r="FQ33" s="463"/>
      <c r="FR33" s="463"/>
      <c r="FS33" s="463"/>
      <c r="FT33" s="463"/>
      <c r="FU33" s="463"/>
      <c r="FV33" s="463"/>
      <c r="FW33" s="463"/>
      <c r="FX33" s="463"/>
      <c r="FY33" s="463"/>
      <c r="FZ33" s="463"/>
      <c r="GA33" s="463"/>
      <c r="GB33" s="463"/>
      <c r="GC33" s="463"/>
      <c r="GD33" s="463"/>
      <c r="GE33" s="463"/>
      <c r="GF33" s="463"/>
      <c r="GG33" s="463"/>
      <c r="GH33" s="463"/>
      <c r="GI33" s="463"/>
      <c r="GJ33" s="463"/>
      <c r="GK33" s="463"/>
      <c r="GL33" s="463"/>
      <c r="GM33" s="463"/>
      <c r="GN33" s="463"/>
      <c r="GO33" s="463"/>
      <c r="GP33" s="463"/>
      <c r="GQ33" s="463"/>
      <c r="GR33" s="463"/>
      <c r="GS33" s="463"/>
      <c r="GT33" s="463"/>
      <c r="GU33" s="463"/>
      <c r="GV33" s="463"/>
      <c r="GW33" s="463"/>
      <c r="GX33" s="463"/>
      <c r="GY33" s="463"/>
      <c r="GZ33" s="463"/>
      <c r="HA33" s="463"/>
      <c r="HB33" s="463"/>
      <c r="HC33" s="463"/>
      <c r="HD33" s="463"/>
      <c r="HE33" s="463"/>
      <c r="HF33" s="463"/>
      <c r="HG33" s="463"/>
      <c r="HH33" s="463"/>
      <c r="HI33" s="463"/>
      <c r="HJ33" s="463"/>
      <c r="HK33" s="463"/>
      <c r="HL33" s="463"/>
      <c r="HM33" s="463"/>
      <c r="HN33" s="463"/>
      <c r="HO33" s="463"/>
      <c r="HP33" s="463"/>
      <c r="HQ33" s="463"/>
      <c r="HR33" s="463"/>
      <c r="HS33" s="463"/>
      <c r="HT33" s="463"/>
      <c r="HU33" s="463"/>
      <c r="HV33" s="463"/>
      <c r="HW33" s="463"/>
      <c r="HX33" s="463"/>
      <c r="HY33" s="463"/>
      <c r="HZ33" s="463"/>
      <c r="IA33" s="463"/>
      <c r="IB33" s="463"/>
      <c r="IC33" s="463"/>
      <c r="ID33" s="463"/>
      <c r="IE33" s="463"/>
      <c r="IF33" s="463"/>
      <c r="IG33" s="463"/>
      <c r="IH33" s="463"/>
      <c r="II33" s="463"/>
      <c r="IJ33" s="463"/>
      <c r="IK33" s="463"/>
      <c r="IL33" s="463"/>
      <c r="IM33" s="463"/>
      <c r="IN33" s="463"/>
      <c r="IO33" s="463"/>
      <c r="IP33" s="463"/>
      <c r="IQ33" s="463"/>
      <c r="IR33" s="463"/>
      <c r="IS33" s="463"/>
      <c r="IT33" s="463"/>
      <c r="IU33" s="463"/>
      <c r="IV33" s="463"/>
    </row>
    <row r="34" spans="1:16" ht="33">
      <c r="A34" s="880">
        <v>26</v>
      </c>
      <c r="B34" s="694"/>
      <c r="C34" s="465">
        <v>13</v>
      </c>
      <c r="D34" s="467" t="s">
        <v>705</v>
      </c>
      <c r="E34" s="475"/>
      <c r="F34" s="869"/>
      <c r="G34" s="476"/>
      <c r="H34" s="1183" t="s">
        <v>24</v>
      </c>
      <c r="I34" s="1201"/>
      <c r="J34" s="1197"/>
      <c r="K34" s="1197"/>
      <c r="L34" s="1197"/>
      <c r="M34" s="1197"/>
      <c r="N34" s="1197"/>
      <c r="O34" s="1166"/>
      <c r="P34" s="870"/>
    </row>
    <row r="35" spans="1:256" s="865" customFormat="1" ht="18" customHeight="1">
      <c r="A35" s="880">
        <v>27</v>
      </c>
      <c r="B35" s="873"/>
      <c r="C35" s="465"/>
      <c r="D35" s="1176" t="s">
        <v>312</v>
      </c>
      <c r="E35" s="475">
        <f>F35+G35+O35+P35+12000</f>
        <v>501600</v>
      </c>
      <c r="F35" s="869">
        <v>326</v>
      </c>
      <c r="G35" s="476">
        <f>16713+414</f>
        <v>17127</v>
      </c>
      <c r="H35" s="1183"/>
      <c r="I35" s="1201"/>
      <c r="J35" s="1197"/>
      <c r="K35" s="1197">
        <v>9860</v>
      </c>
      <c r="L35" s="1197"/>
      <c r="M35" s="1197">
        <v>462287</v>
      </c>
      <c r="N35" s="1197"/>
      <c r="O35" s="1166">
        <f>SUM(I35:N35)</f>
        <v>472147</v>
      </c>
      <c r="P35" s="870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3"/>
      <c r="FL35" s="463"/>
      <c r="FM35" s="463"/>
      <c r="FN35" s="463"/>
      <c r="FO35" s="463"/>
      <c r="FP35" s="463"/>
      <c r="FQ35" s="463"/>
      <c r="FR35" s="463"/>
      <c r="FS35" s="463"/>
      <c r="FT35" s="463"/>
      <c r="FU35" s="463"/>
      <c r="FV35" s="463"/>
      <c r="FW35" s="463"/>
      <c r="FX35" s="463"/>
      <c r="FY35" s="463"/>
      <c r="FZ35" s="463"/>
      <c r="GA35" s="463"/>
      <c r="GB35" s="463"/>
      <c r="GC35" s="463"/>
      <c r="GD35" s="463"/>
      <c r="GE35" s="463"/>
      <c r="GF35" s="463"/>
      <c r="GG35" s="463"/>
      <c r="GH35" s="463"/>
      <c r="GI35" s="463"/>
      <c r="GJ35" s="463"/>
      <c r="GK35" s="463"/>
      <c r="GL35" s="463"/>
      <c r="GM35" s="463"/>
      <c r="GN35" s="463"/>
      <c r="GO35" s="463"/>
      <c r="GP35" s="463"/>
      <c r="GQ35" s="463"/>
      <c r="GR35" s="463"/>
      <c r="GS35" s="463"/>
      <c r="GT35" s="463"/>
      <c r="GU35" s="463"/>
      <c r="GV35" s="463"/>
      <c r="GW35" s="463"/>
      <c r="GX35" s="463"/>
      <c r="GY35" s="463"/>
      <c r="GZ35" s="463"/>
      <c r="HA35" s="463"/>
      <c r="HB35" s="463"/>
      <c r="HC35" s="463"/>
      <c r="HD35" s="463"/>
      <c r="HE35" s="463"/>
      <c r="HF35" s="463"/>
      <c r="HG35" s="463"/>
      <c r="HH35" s="463"/>
      <c r="HI35" s="463"/>
      <c r="HJ35" s="463"/>
      <c r="HK35" s="463"/>
      <c r="HL35" s="463"/>
      <c r="HM35" s="463"/>
      <c r="HN35" s="463"/>
      <c r="HO35" s="463"/>
      <c r="HP35" s="463"/>
      <c r="HQ35" s="463"/>
      <c r="HR35" s="463"/>
      <c r="HS35" s="463"/>
      <c r="HT35" s="463"/>
      <c r="HU35" s="463"/>
      <c r="HV35" s="463"/>
      <c r="HW35" s="463"/>
      <c r="HX35" s="463"/>
      <c r="HY35" s="463"/>
      <c r="HZ35" s="463"/>
      <c r="IA35" s="463"/>
      <c r="IB35" s="463"/>
      <c r="IC35" s="463"/>
      <c r="ID35" s="463"/>
      <c r="IE35" s="463"/>
      <c r="IF35" s="463"/>
      <c r="IG35" s="463"/>
      <c r="IH35" s="463"/>
      <c r="II35" s="463"/>
      <c r="IJ35" s="463"/>
      <c r="IK35" s="463"/>
      <c r="IL35" s="463"/>
      <c r="IM35" s="463"/>
      <c r="IN35" s="463"/>
      <c r="IO35" s="463"/>
      <c r="IP35" s="463"/>
      <c r="IQ35" s="463"/>
      <c r="IR35" s="463"/>
      <c r="IS35" s="463"/>
      <c r="IT35" s="463"/>
      <c r="IU35" s="463"/>
      <c r="IV35" s="463"/>
    </row>
    <row r="36" spans="1:256" s="865" customFormat="1" ht="49.5">
      <c r="A36" s="880">
        <v>28</v>
      </c>
      <c r="B36" s="873"/>
      <c r="C36" s="465">
        <v>14</v>
      </c>
      <c r="D36" s="467" t="s">
        <v>462</v>
      </c>
      <c r="E36" s="475"/>
      <c r="F36" s="869"/>
      <c r="G36" s="476"/>
      <c r="H36" s="1209" t="s">
        <v>24</v>
      </c>
      <c r="I36" s="1201"/>
      <c r="J36" s="1197"/>
      <c r="K36" s="1197"/>
      <c r="L36" s="1197"/>
      <c r="M36" s="1197"/>
      <c r="N36" s="1197"/>
      <c r="O36" s="1166"/>
      <c r="P36" s="870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3"/>
      <c r="EH36" s="463"/>
      <c r="EI36" s="463"/>
      <c r="EJ36" s="463"/>
      <c r="EK36" s="463"/>
      <c r="EL36" s="463"/>
      <c r="EM36" s="463"/>
      <c r="EN36" s="463"/>
      <c r="EO36" s="463"/>
      <c r="EP36" s="463"/>
      <c r="EQ36" s="463"/>
      <c r="ER36" s="463"/>
      <c r="ES36" s="463"/>
      <c r="ET36" s="463"/>
      <c r="EU36" s="463"/>
      <c r="EV36" s="463"/>
      <c r="EW36" s="463"/>
      <c r="EX36" s="463"/>
      <c r="EY36" s="463"/>
      <c r="EZ36" s="463"/>
      <c r="FA36" s="463"/>
      <c r="FB36" s="463"/>
      <c r="FC36" s="463"/>
      <c r="FD36" s="463"/>
      <c r="FE36" s="463"/>
      <c r="FF36" s="463"/>
      <c r="FG36" s="463"/>
      <c r="FH36" s="463"/>
      <c r="FI36" s="463"/>
      <c r="FJ36" s="463"/>
      <c r="FK36" s="463"/>
      <c r="FL36" s="463"/>
      <c r="FM36" s="463"/>
      <c r="FN36" s="463"/>
      <c r="FO36" s="463"/>
      <c r="FP36" s="463"/>
      <c r="FQ36" s="463"/>
      <c r="FR36" s="463"/>
      <c r="FS36" s="463"/>
      <c r="FT36" s="463"/>
      <c r="FU36" s="463"/>
      <c r="FV36" s="463"/>
      <c r="FW36" s="463"/>
      <c r="FX36" s="463"/>
      <c r="FY36" s="463"/>
      <c r="FZ36" s="463"/>
      <c r="GA36" s="463"/>
      <c r="GB36" s="463"/>
      <c r="GC36" s="463"/>
      <c r="GD36" s="463"/>
      <c r="GE36" s="463"/>
      <c r="GF36" s="463"/>
      <c r="GG36" s="463"/>
      <c r="GH36" s="463"/>
      <c r="GI36" s="463"/>
      <c r="GJ36" s="463"/>
      <c r="GK36" s="463"/>
      <c r="GL36" s="463"/>
      <c r="GM36" s="463"/>
      <c r="GN36" s="463"/>
      <c r="GO36" s="463"/>
      <c r="GP36" s="463"/>
      <c r="GQ36" s="463"/>
      <c r="GR36" s="463"/>
      <c r="GS36" s="463"/>
      <c r="GT36" s="463"/>
      <c r="GU36" s="463"/>
      <c r="GV36" s="463"/>
      <c r="GW36" s="463"/>
      <c r="GX36" s="463"/>
      <c r="GY36" s="463"/>
      <c r="GZ36" s="463"/>
      <c r="HA36" s="463"/>
      <c r="HB36" s="463"/>
      <c r="HC36" s="463"/>
      <c r="HD36" s="463"/>
      <c r="HE36" s="463"/>
      <c r="HF36" s="463"/>
      <c r="HG36" s="463"/>
      <c r="HH36" s="463"/>
      <c r="HI36" s="463"/>
      <c r="HJ36" s="463"/>
      <c r="HK36" s="463"/>
      <c r="HL36" s="463"/>
      <c r="HM36" s="463"/>
      <c r="HN36" s="463"/>
      <c r="HO36" s="463"/>
      <c r="HP36" s="463"/>
      <c r="HQ36" s="463"/>
      <c r="HR36" s="463"/>
      <c r="HS36" s="463"/>
      <c r="HT36" s="463"/>
      <c r="HU36" s="463"/>
      <c r="HV36" s="463"/>
      <c r="HW36" s="463"/>
      <c r="HX36" s="463"/>
      <c r="HY36" s="463"/>
      <c r="HZ36" s="463"/>
      <c r="IA36" s="463"/>
      <c r="IB36" s="463"/>
      <c r="IC36" s="463"/>
      <c r="ID36" s="463"/>
      <c r="IE36" s="463"/>
      <c r="IF36" s="463"/>
      <c r="IG36" s="463"/>
      <c r="IH36" s="463"/>
      <c r="II36" s="463"/>
      <c r="IJ36" s="463"/>
      <c r="IK36" s="463"/>
      <c r="IL36" s="463"/>
      <c r="IM36" s="463"/>
      <c r="IN36" s="463"/>
      <c r="IO36" s="463"/>
      <c r="IP36" s="463"/>
      <c r="IQ36" s="463"/>
      <c r="IR36" s="463"/>
      <c r="IS36" s="463"/>
      <c r="IT36" s="463"/>
      <c r="IU36" s="463"/>
      <c r="IV36" s="463"/>
    </row>
    <row r="37" spans="1:256" s="865" customFormat="1" ht="18" customHeight="1">
      <c r="A37" s="880">
        <v>29</v>
      </c>
      <c r="B37" s="873"/>
      <c r="C37" s="465"/>
      <c r="D37" s="1176" t="s">
        <v>312</v>
      </c>
      <c r="E37" s="475">
        <f>F37+G37+O37+P37</f>
        <v>1147680</v>
      </c>
      <c r="F37" s="869">
        <f>25062+32060+393153</f>
        <v>450275</v>
      </c>
      <c r="G37" s="476">
        <f>682686+5740+11</f>
        <v>688437</v>
      </c>
      <c r="H37" s="1183"/>
      <c r="I37" s="1201"/>
      <c r="J37" s="1197"/>
      <c r="K37" s="1197">
        <v>8968</v>
      </c>
      <c r="L37" s="1197"/>
      <c r="M37" s="1197"/>
      <c r="N37" s="1197"/>
      <c r="O37" s="1166">
        <f>SUM(I37:N37)</f>
        <v>8968</v>
      </c>
      <c r="P37" s="870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3"/>
      <c r="DI37" s="463"/>
      <c r="DJ37" s="463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3"/>
      <c r="EL37" s="463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3"/>
      <c r="FL37" s="463"/>
      <c r="FM37" s="463"/>
      <c r="FN37" s="463"/>
      <c r="FO37" s="463"/>
      <c r="FP37" s="463"/>
      <c r="FQ37" s="463"/>
      <c r="FR37" s="463"/>
      <c r="FS37" s="463"/>
      <c r="FT37" s="463"/>
      <c r="FU37" s="463"/>
      <c r="FV37" s="463"/>
      <c r="FW37" s="463"/>
      <c r="FX37" s="463"/>
      <c r="FY37" s="463"/>
      <c r="FZ37" s="463"/>
      <c r="GA37" s="463"/>
      <c r="GB37" s="463"/>
      <c r="GC37" s="463"/>
      <c r="GD37" s="463"/>
      <c r="GE37" s="463"/>
      <c r="GF37" s="463"/>
      <c r="GG37" s="463"/>
      <c r="GH37" s="463"/>
      <c r="GI37" s="463"/>
      <c r="GJ37" s="463"/>
      <c r="GK37" s="463"/>
      <c r="GL37" s="463"/>
      <c r="GM37" s="463"/>
      <c r="GN37" s="463"/>
      <c r="GO37" s="463"/>
      <c r="GP37" s="463"/>
      <c r="GQ37" s="463"/>
      <c r="GR37" s="463"/>
      <c r="GS37" s="463"/>
      <c r="GT37" s="463"/>
      <c r="GU37" s="463"/>
      <c r="GV37" s="463"/>
      <c r="GW37" s="463"/>
      <c r="GX37" s="463"/>
      <c r="GY37" s="463"/>
      <c r="GZ37" s="463"/>
      <c r="HA37" s="463"/>
      <c r="HB37" s="463"/>
      <c r="HC37" s="463"/>
      <c r="HD37" s="463"/>
      <c r="HE37" s="463"/>
      <c r="HF37" s="463"/>
      <c r="HG37" s="463"/>
      <c r="HH37" s="463"/>
      <c r="HI37" s="463"/>
      <c r="HJ37" s="463"/>
      <c r="HK37" s="463"/>
      <c r="HL37" s="463"/>
      <c r="HM37" s="463"/>
      <c r="HN37" s="463"/>
      <c r="HO37" s="463"/>
      <c r="HP37" s="463"/>
      <c r="HQ37" s="463"/>
      <c r="HR37" s="463"/>
      <c r="HS37" s="463"/>
      <c r="HT37" s="463"/>
      <c r="HU37" s="463"/>
      <c r="HV37" s="463"/>
      <c r="HW37" s="463"/>
      <c r="HX37" s="463"/>
      <c r="HY37" s="463"/>
      <c r="HZ37" s="463"/>
      <c r="IA37" s="463"/>
      <c r="IB37" s="463"/>
      <c r="IC37" s="463"/>
      <c r="ID37" s="463"/>
      <c r="IE37" s="463"/>
      <c r="IF37" s="463"/>
      <c r="IG37" s="463"/>
      <c r="IH37" s="463"/>
      <c r="II37" s="463"/>
      <c r="IJ37" s="463"/>
      <c r="IK37" s="463"/>
      <c r="IL37" s="463"/>
      <c r="IM37" s="463"/>
      <c r="IN37" s="463"/>
      <c r="IO37" s="463"/>
      <c r="IP37" s="463"/>
      <c r="IQ37" s="463"/>
      <c r="IR37" s="463"/>
      <c r="IS37" s="463"/>
      <c r="IT37" s="463"/>
      <c r="IU37" s="463"/>
      <c r="IV37" s="463"/>
    </row>
    <row r="38" spans="1:16" ht="33.75">
      <c r="A38" s="880">
        <v>30</v>
      </c>
      <c r="B38" s="694"/>
      <c r="C38" s="465">
        <v>15</v>
      </c>
      <c r="D38" s="466" t="s">
        <v>706</v>
      </c>
      <c r="E38" s="475"/>
      <c r="F38" s="869"/>
      <c r="G38" s="476"/>
      <c r="H38" s="1183" t="s">
        <v>24</v>
      </c>
      <c r="I38" s="1201"/>
      <c r="J38" s="1197"/>
      <c r="K38" s="1197"/>
      <c r="L38" s="1197"/>
      <c r="M38" s="1197"/>
      <c r="N38" s="1197"/>
      <c r="O38" s="1166"/>
      <c r="P38" s="870"/>
    </row>
    <row r="39" spans="1:256" s="865" customFormat="1" ht="18" customHeight="1">
      <c r="A39" s="880">
        <v>31</v>
      </c>
      <c r="B39" s="873"/>
      <c r="C39" s="465"/>
      <c r="D39" s="1176" t="s">
        <v>312</v>
      </c>
      <c r="E39" s="475">
        <f>F39+G39+O39+P39</f>
        <v>906000</v>
      </c>
      <c r="F39" s="869"/>
      <c r="G39" s="476"/>
      <c r="H39" s="1183"/>
      <c r="I39" s="1201"/>
      <c r="J39" s="1197"/>
      <c r="K39" s="1197"/>
      <c r="L39" s="1197"/>
      <c r="M39" s="1197">
        <v>906000</v>
      </c>
      <c r="N39" s="1197"/>
      <c r="O39" s="1166">
        <f>SUM(I39:N39)</f>
        <v>906000</v>
      </c>
      <c r="P39" s="870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3"/>
      <c r="FK39" s="463"/>
      <c r="FL39" s="463"/>
      <c r="FM39" s="463"/>
      <c r="FN39" s="463"/>
      <c r="FO39" s="463"/>
      <c r="FP39" s="463"/>
      <c r="FQ39" s="463"/>
      <c r="FR39" s="463"/>
      <c r="FS39" s="463"/>
      <c r="FT39" s="463"/>
      <c r="FU39" s="463"/>
      <c r="FV39" s="463"/>
      <c r="FW39" s="463"/>
      <c r="FX39" s="463"/>
      <c r="FY39" s="463"/>
      <c r="FZ39" s="463"/>
      <c r="GA39" s="463"/>
      <c r="GB39" s="463"/>
      <c r="GC39" s="463"/>
      <c r="GD39" s="463"/>
      <c r="GE39" s="463"/>
      <c r="GF39" s="463"/>
      <c r="GG39" s="463"/>
      <c r="GH39" s="463"/>
      <c r="GI39" s="463"/>
      <c r="GJ39" s="463"/>
      <c r="GK39" s="463"/>
      <c r="GL39" s="463"/>
      <c r="GM39" s="463"/>
      <c r="GN39" s="463"/>
      <c r="GO39" s="463"/>
      <c r="GP39" s="463"/>
      <c r="GQ39" s="463"/>
      <c r="GR39" s="463"/>
      <c r="GS39" s="463"/>
      <c r="GT39" s="463"/>
      <c r="GU39" s="463"/>
      <c r="GV39" s="463"/>
      <c r="GW39" s="463"/>
      <c r="GX39" s="463"/>
      <c r="GY39" s="463"/>
      <c r="GZ39" s="463"/>
      <c r="HA39" s="463"/>
      <c r="HB39" s="463"/>
      <c r="HC39" s="463"/>
      <c r="HD39" s="463"/>
      <c r="HE39" s="463"/>
      <c r="HF39" s="463"/>
      <c r="HG39" s="463"/>
      <c r="HH39" s="463"/>
      <c r="HI39" s="463"/>
      <c r="HJ39" s="463"/>
      <c r="HK39" s="463"/>
      <c r="HL39" s="463"/>
      <c r="HM39" s="463"/>
      <c r="HN39" s="463"/>
      <c r="HO39" s="463"/>
      <c r="HP39" s="463"/>
      <c r="HQ39" s="463"/>
      <c r="HR39" s="463"/>
      <c r="HS39" s="463"/>
      <c r="HT39" s="463"/>
      <c r="HU39" s="463"/>
      <c r="HV39" s="463"/>
      <c r="HW39" s="463"/>
      <c r="HX39" s="463"/>
      <c r="HY39" s="463"/>
      <c r="HZ39" s="463"/>
      <c r="IA39" s="463"/>
      <c r="IB39" s="463"/>
      <c r="IC39" s="463"/>
      <c r="ID39" s="463"/>
      <c r="IE39" s="463"/>
      <c r="IF39" s="463"/>
      <c r="IG39" s="463"/>
      <c r="IH39" s="463"/>
      <c r="II39" s="463"/>
      <c r="IJ39" s="463"/>
      <c r="IK39" s="463"/>
      <c r="IL39" s="463"/>
      <c r="IM39" s="463"/>
      <c r="IN39" s="463"/>
      <c r="IO39" s="463"/>
      <c r="IP39" s="463"/>
      <c r="IQ39" s="463"/>
      <c r="IR39" s="463"/>
      <c r="IS39" s="463"/>
      <c r="IT39" s="463"/>
      <c r="IU39" s="463"/>
      <c r="IV39" s="463"/>
    </row>
    <row r="40" spans="1:16" ht="33">
      <c r="A40" s="880">
        <v>32</v>
      </c>
      <c r="B40" s="694"/>
      <c r="C40" s="465">
        <v>16</v>
      </c>
      <c r="D40" s="467" t="s">
        <v>508</v>
      </c>
      <c r="E40" s="475"/>
      <c r="F40" s="869"/>
      <c r="G40" s="476"/>
      <c r="H40" s="1183" t="s">
        <v>24</v>
      </c>
      <c r="I40" s="1201"/>
      <c r="J40" s="1197"/>
      <c r="K40" s="1197"/>
      <c r="L40" s="1197"/>
      <c r="M40" s="1197"/>
      <c r="N40" s="1197"/>
      <c r="O40" s="1166"/>
      <c r="P40" s="870"/>
    </row>
    <row r="41" spans="1:256" s="865" customFormat="1" ht="18" customHeight="1">
      <c r="A41" s="880">
        <v>33</v>
      </c>
      <c r="B41" s="873"/>
      <c r="C41" s="465"/>
      <c r="D41" s="1176" t="s">
        <v>312</v>
      </c>
      <c r="E41" s="475">
        <f>F41+G41+O41+P41+5962</f>
        <v>300876</v>
      </c>
      <c r="F41" s="869">
        <v>4460</v>
      </c>
      <c r="G41" s="476">
        <f>264851+2602</f>
        <v>267453</v>
      </c>
      <c r="H41" s="1183"/>
      <c r="I41" s="1201"/>
      <c r="J41" s="1197"/>
      <c r="K41" s="1197">
        <v>1087</v>
      </c>
      <c r="L41" s="1197"/>
      <c r="M41" s="1197">
        <v>21914</v>
      </c>
      <c r="N41" s="1197"/>
      <c r="O41" s="1166">
        <f>SUM(I41:N41)</f>
        <v>23001</v>
      </c>
      <c r="P41" s="870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3"/>
      <c r="DS41" s="463"/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3"/>
      <c r="EL41" s="463"/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3"/>
      <c r="FL41" s="463"/>
      <c r="FM41" s="463"/>
      <c r="FN41" s="463"/>
      <c r="FO41" s="463"/>
      <c r="FP41" s="463"/>
      <c r="FQ41" s="463"/>
      <c r="FR41" s="463"/>
      <c r="FS41" s="463"/>
      <c r="FT41" s="463"/>
      <c r="FU41" s="463"/>
      <c r="FV41" s="463"/>
      <c r="FW41" s="463"/>
      <c r="FX41" s="463"/>
      <c r="FY41" s="463"/>
      <c r="FZ41" s="463"/>
      <c r="GA41" s="463"/>
      <c r="GB41" s="463"/>
      <c r="GC41" s="463"/>
      <c r="GD41" s="463"/>
      <c r="GE41" s="463"/>
      <c r="GF41" s="463"/>
      <c r="GG41" s="463"/>
      <c r="GH41" s="463"/>
      <c r="GI41" s="463"/>
      <c r="GJ41" s="463"/>
      <c r="GK41" s="463"/>
      <c r="GL41" s="463"/>
      <c r="GM41" s="463"/>
      <c r="GN41" s="463"/>
      <c r="GO41" s="463"/>
      <c r="GP41" s="463"/>
      <c r="GQ41" s="463"/>
      <c r="GR41" s="463"/>
      <c r="GS41" s="463"/>
      <c r="GT41" s="463"/>
      <c r="GU41" s="463"/>
      <c r="GV41" s="463"/>
      <c r="GW41" s="463"/>
      <c r="GX41" s="463"/>
      <c r="GY41" s="463"/>
      <c r="GZ41" s="463"/>
      <c r="HA41" s="463"/>
      <c r="HB41" s="463"/>
      <c r="HC41" s="463"/>
      <c r="HD41" s="463"/>
      <c r="HE41" s="463"/>
      <c r="HF41" s="463"/>
      <c r="HG41" s="463"/>
      <c r="HH41" s="463"/>
      <c r="HI41" s="463"/>
      <c r="HJ41" s="463"/>
      <c r="HK41" s="463"/>
      <c r="HL41" s="463"/>
      <c r="HM41" s="463"/>
      <c r="HN41" s="463"/>
      <c r="HO41" s="463"/>
      <c r="HP41" s="463"/>
      <c r="HQ41" s="463"/>
      <c r="HR41" s="463"/>
      <c r="HS41" s="463"/>
      <c r="HT41" s="463"/>
      <c r="HU41" s="463"/>
      <c r="HV41" s="463"/>
      <c r="HW41" s="463"/>
      <c r="HX41" s="463"/>
      <c r="HY41" s="463"/>
      <c r="HZ41" s="463"/>
      <c r="IA41" s="463"/>
      <c r="IB41" s="463"/>
      <c r="IC41" s="463"/>
      <c r="ID41" s="463"/>
      <c r="IE41" s="463"/>
      <c r="IF41" s="463"/>
      <c r="IG41" s="463"/>
      <c r="IH41" s="463"/>
      <c r="II41" s="463"/>
      <c r="IJ41" s="463"/>
      <c r="IK41" s="463"/>
      <c r="IL41" s="463"/>
      <c r="IM41" s="463"/>
      <c r="IN41" s="463"/>
      <c r="IO41" s="463"/>
      <c r="IP41" s="463"/>
      <c r="IQ41" s="463"/>
      <c r="IR41" s="463"/>
      <c r="IS41" s="463"/>
      <c r="IT41" s="463"/>
      <c r="IU41" s="463"/>
      <c r="IV41" s="463"/>
    </row>
    <row r="42" spans="1:16" ht="33">
      <c r="A42" s="880">
        <v>34</v>
      </c>
      <c r="B42" s="694"/>
      <c r="C42" s="465">
        <v>17</v>
      </c>
      <c r="D42" s="467" t="s">
        <v>622</v>
      </c>
      <c r="E42" s="475"/>
      <c r="F42" s="869"/>
      <c r="G42" s="476"/>
      <c r="H42" s="1183" t="s">
        <v>24</v>
      </c>
      <c r="I42" s="1201"/>
      <c r="J42" s="1197"/>
      <c r="K42" s="1197"/>
      <c r="L42" s="1197"/>
      <c r="M42" s="1197"/>
      <c r="N42" s="1197"/>
      <c r="O42" s="1166"/>
      <c r="P42" s="870"/>
    </row>
    <row r="43" spans="1:256" s="865" customFormat="1" ht="18" customHeight="1">
      <c r="A43" s="880">
        <v>35</v>
      </c>
      <c r="B43" s="873"/>
      <c r="C43" s="465"/>
      <c r="D43" s="1176" t="s">
        <v>312</v>
      </c>
      <c r="E43" s="475">
        <f>F43+G43+O43+P43+13852</f>
        <v>829515</v>
      </c>
      <c r="F43" s="869">
        <v>6414</v>
      </c>
      <c r="G43" s="476">
        <f>26646</f>
        <v>26646</v>
      </c>
      <c r="H43" s="1183"/>
      <c r="I43" s="1201"/>
      <c r="J43" s="1197"/>
      <c r="K43" s="1197">
        <v>10750</v>
      </c>
      <c r="L43" s="1197"/>
      <c r="M43" s="1197">
        <f>41400+730453</f>
        <v>771853</v>
      </c>
      <c r="N43" s="1197"/>
      <c r="O43" s="1166">
        <f>SUM(I43:N43)</f>
        <v>782603</v>
      </c>
      <c r="P43" s="870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  <c r="CW43" s="463"/>
      <c r="CX43" s="463"/>
      <c r="CY43" s="463"/>
      <c r="CZ43" s="463"/>
      <c r="DA43" s="463"/>
      <c r="DB43" s="463"/>
      <c r="DC43" s="463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3"/>
      <c r="DQ43" s="463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3"/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3"/>
      <c r="EN43" s="463"/>
      <c r="EO43" s="463"/>
      <c r="EP43" s="463"/>
      <c r="EQ43" s="463"/>
      <c r="ER43" s="463"/>
      <c r="ES43" s="463"/>
      <c r="ET43" s="463"/>
      <c r="EU43" s="463"/>
      <c r="EV43" s="463"/>
      <c r="EW43" s="463"/>
      <c r="EX43" s="463"/>
      <c r="EY43" s="463"/>
      <c r="EZ43" s="463"/>
      <c r="FA43" s="463"/>
      <c r="FB43" s="463"/>
      <c r="FC43" s="463"/>
      <c r="FD43" s="463"/>
      <c r="FE43" s="463"/>
      <c r="FF43" s="463"/>
      <c r="FG43" s="463"/>
      <c r="FH43" s="463"/>
      <c r="FI43" s="463"/>
      <c r="FJ43" s="463"/>
      <c r="FK43" s="463"/>
      <c r="FL43" s="463"/>
      <c r="FM43" s="463"/>
      <c r="FN43" s="463"/>
      <c r="FO43" s="463"/>
      <c r="FP43" s="463"/>
      <c r="FQ43" s="463"/>
      <c r="FR43" s="463"/>
      <c r="FS43" s="463"/>
      <c r="FT43" s="463"/>
      <c r="FU43" s="463"/>
      <c r="FV43" s="463"/>
      <c r="FW43" s="463"/>
      <c r="FX43" s="463"/>
      <c r="FY43" s="463"/>
      <c r="FZ43" s="463"/>
      <c r="GA43" s="463"/>
      <c r="GB43" s="463"/>
      <c r="GC43" s="463"/>
      <c r="GD43" s="463"/>
      <c r="GE43" s="463"/>
      <c r="GF43" s="463"/>
      <c r="GG43" s="463"/>
      <c r="GH43" s="463"/>
      <c r="GI43" s="463"/>
      <c r="GJ43" s="463"/>
      <c r="GK43" s="463"/>
      <c r="GL43" s="463"/>
      <c r="GM43" s="463"/>
      <c r="GN43" s="463"/>
      <c r="GO43" s="463"/>
      <c r="GP43" s="463"/>
      <c r="GQ43" s="463"/>
      <c r="GR43" s="463"/>
      <c r="GS43" s="463"/>
      <c r="GT43" s="463"/>
      <c r="GU43" s="463"/>
      <c r="GV43" s="463"/>
      <c r="GW43" s="463"/>
      <c r="GX43" s="463"/>
      <c r="GY43" s="463"/>
      <c r="GZ43" s="463"/>
      <c r="HA43" s="463"/>
      <c r="HB43" s="463"/>
      <c r="HC43" s="463"/>
      <c r="HD43" s="463"/>
      <c r="HE43" s="463"/>
      <c r="HF43" s="463"/>
      <c r="HG43" s="463"/>
      <c r="HH43" s="463"/>
      <c r="HI43" s="463"/>
      <c r="HJ43" s="463"/>
      <c r="HK43" s="463"/>
      <c r="HL43" s="463"/>
      <c r="HM43" s="463"/>
      <c r="HN43" s="463"/>
      <c r="HO43" s="463"/>
      <c r="HP43" s="463"/>
      <c r="HQ43" s="463"/>
      <c r="HR43" s="463"/>
      <c r="HS43" s="463"/>
      <c r="HT43" s="463"/>
      <c r="HU43" s="463"/>
      <c r="HV43" s="463"/>
      <c r="HW43" s="463"/>
      <c r="HX43" s="463"/>
      <c r="HY43" s="463"/>
      <c r="HZ43" s="463"/>
      <c r="IA43" s="463"/>
      <c r="IB43" s="463"/>
      <c r="IC43" s="463"/>
      <c r="ID43" s="463"/>
      <c r="IE43" s="463"/>
      <c r="IF43" s="463"/>
      <c r="IG43" s="463"/>
      <c r="IH43" s="463"/>
      <c r="II43" s="463"/>
      <c r="IJ43" s="463"/>
      <c r="IK43" s="463"/>
      <c r="IL43" s="463"/>
      <c r="IM43" s="463"/>
      <c r="IN43" s="463"/>
      <c r="IO43" s="463"/>
      <c r="IP43" s="463"/>
      <c r="IQ43" s="463"/>
      <c r="IR43" s="463"/>
      <c r="IS43" s="463"/>
      <c r="IT43" s="463"/>
      <c r="IU43" s="463"/>
      <c r="IV43" s="463"/>
    </row>
    <row r="44" spans="1:256" s="865" customFormat="1" ht="22.5" customHeight="1">
      <c r="A44" s="880">
        <v>36</v>
      </c>
      <c r="B44" s="873"/>
      <c r="C44" s="517">
        <v>18</v>
      </c>
      <c r="D44" s="466" t="s">
        <v>718</v>
      </c>
      <c r="E44" s="475"/>
      <c r="F44" s="869"/>
      <c r="G44" s="476"/>
      <c r="H44" s="1183" t="s">
        <v>24</v>
      </c>
      <c r="I44" s="1201"/>
      <c r="J44" s="1197"/>
      <c r="K44" s="1197"/>
      <c r="L44" s="1197"/>
      <c r="M44" s="1197"/>
      <c r="N44" s="1197"/>
      <c r="O44" s="1166"/>
      <c r="P44" s="870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/>
      <c r="CF44" s="463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  <c r="CW44" s="463"/>
      <c r="CX44" s="463"/>
      <c r="CY44" s="463"/>
      <c r="CZ44" s="463"/>
      <c r="DA44" s="463"/>
      <c r="DB44" s="463"/>
      <c r="DC44" s="463"/>
      <c r="DD44" s="463"/>
      <c r="DE44" s="463"/>
      <c r="DF44" s="463"/>
      <c r="DG44" s="463"/>
      <c r="DH44" s="463"/>
      <c r="DI44" s="463"/>
      <c r="DJ44" s="463"/>
      <c r="DK44" s="463"/>
      <c r="DL44" s="463"/>
      <c r="DM44" s="463"/>
      <c r="DN44" s="463"/>
      <c r="DO44" s="463"/>
      <c r="DP44" s="463"/>
      <c r="DQ44" s="463"/>
      <c r="DR44" s="463"/>
      <c r="DS44" s="463"/>
      <c r="DT44" s="463"/>
      <c r="DU44" s="463"/>
      <c r="DV44" s="463"/>
      <c r="DW44" s="463"/>
      <c r="DX44" s="463"/>
      <c r="DY44" s="463"/>
      <c r="DZ44" s="463"/>
      <c r="EA44" s="463"/>
      <c r="EB44" s="463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3"/>
      <c r="EN44" s="463"/>
      <c r="EO44" s="463"/>
      <c r="EP44" s="463"/>
      <c r="EQ44" s="463"/>
      <c r="ER44" s="463"/>
      <c r="ES44" s="463"/>
      <c r="ET44" s="463"/>
      <c r="EU44" s="463"/>
      <c r="EV44" s="463"/>
      <c r="EW44" s="463"/>
      <c r="EX44" s="463"/>
      <c r="EY44" s="463"/>
      <c r="EZ44" s="463"/>
      <c r="FA44" s="463"/>
      <c r="FB44" s="463"/>
      <c r="FC44" s="463"/>
      <c r="FD44" s="463"/>
      <c r="FE44" s="463"/>
      <c r="FF44" s="463"/>
      <c r="FG44" s="463"/>
      <c r="FH44" s="463"/>
      <c r="FI44" s="463"/>
      <c r="FJ44" s="463"/>
      <c r="FK44" s="463"/>
      <c r="FL44" s="463"/>
      <c r="FM44" s="463"/>
      <c r="FN44" s="463"/>
      <c r="FO44" s="463"/>
      <c r="FP44" s="463"/>
      <c r="FQ44" s="463"/>
      <c r="FR44" s="463"/>
      <c r="FS44" s="463"/>
      <c r="FT44" s="463"/>
      <c r="FU44" s="463"/>
      <c r="FV44" s="463"/>
      <c r="FW44" s="463"/>
      <c r="FX44" s="463"/>
      <c r="FY44" s="463"/>
      <c r="FZ44" s="463"/>
      <c r="GA44" s="463"/>
      <c r="GB44" s="463"/>
      <c r="GC44" s="463"/>
      <c r="GD44" s="463"/>
      <c r="GE44" s="463"/>
      <c r="GF44" s="463"/>
      <c r="GG44" s="463"/>
      <c r="GH44" s="463"/>
      <c r="GI44" s="463"/>
      <c r="GJ44" s="463"/>
      <c r="GK44" s="463"/>
      <c r="GL44" s="463"/>
      <c r="GM44" s="463"/>
      <c r="GN44" s="463"/>
      <c r="GO44" s="463"/>
      <c r="GP44" s="463"/>
      <c r="GQ44" s="463"/>
      <c r="GR44" s="463"/>
      <c r="GS44" s="463"/>
      <c r="GT44" s="463"/>
      <c r="GU44" s="463"/>
      <c r="GV44" s="463"/>
      <c r="GW44" s="463"/>
      <c r="GX44" s="463"/>
      <c r="GY44" s="463"/>
      <c r="GZ44" s="463"/>
      <c r="HA44" s="463"/>
      <c r="HB44" s="463"/>
      <c r="HC44" s="463"/>
      <c r="HD44" s="463"/>
      <c r="HE44" s="463"/>
      <c r="HF44" s="463"/>
      <c r="HG44" s="463"/>
      <c r="HH44" s="463"/>
      <c r="HI44" s="463"/>
      <c r="HJ44" s="463"/>
      <c r="HK44" s="463"/>
      <c r="HL44" s="463"/>
      <c r="HM44" s="463"/>
      <c r="HN44" s="463"/>
      <c r="HO44" s="463"/>
      <c r="HP44" s="463"/>
      <c r="HQ44" s="463"/>
      <c r="HR44" s="463"/>
      <c r="HS44" s="463"/>
      <c r="HT44" s="463"/>
      <c r="HU44" s="463"/>
      <c r="HV44" s="463"/>
      <c r="HW44" s="463"/>
      <c r="HX44" s="463"/>
      <c r="HY44" s="463"/>
      <c r="HZ44" s="463"/>
      <c r="IA44" s="463"/>
      <c r="IB44" s="463"/>
      <c r="IC44" s="463"/>
      <c r="ID44" s="463"/>
      <c r="IE44" s="463"/>
      <c r="IF44" s="463"/>
      <c r="IG44" s="463"/>
      <c r="IH44" s="463"/>
      <c r="II44" s="463"/>
      <c r="IJ44" s="463"/>
      <c r="IK44" s="463"/>
      <c r="IL44" s="463"/>
      <c r="IM44" s="463"/>
      <c r="IN44" s="463"/>
      <c r="IO44" s="463"/>
      <c r="IP44" s="463"/>
      <c r="IQ44" s="463"/>
      <c r="IR44" s="463"/>
      <c r="IS44" s="463"/>
      <c r="IT44" s="463"/>
      <c r="IU44" s="463"/>
      <c r="IV44" s="463"/>
    </row>
    <row r="45" spans="1:256" s="865" customFormat="1" ht="18" customHeight="1">
      <c r="A45" s="880">
        <v>37</v>
      </c>
      <c r="B45" s="873"/>
      <c r="C45" s="465"/>
      <c r="D45" s="1176" t="s">
        <v>312</v>
      </c>
      <c r="E45" s="475">
        <f>F45+G45+O45+P45</f>
        <v>390564</v>
      </c>
      <c r="F45" s="869"/>
      <c r="G45" s="476"/>
      <c r="H45" s="1183"/>
      <c r="I45" s="1201"/>
      <c r="J45" s="1197"/>
      <c r="K45" s="1197"/>
      <c r="L45" s="1197"/>
      <c r="M45" s="1197">
        <v>390564</v>
      </c>
      <c r="N45" s="1197"/>
      <c r="O45" s="1166">
        <f>SUM(I45:N45)</f>
        <v>390564</v>
      </c>
      <c r="P45" s="870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3"/>
      <c r="FL45" s="463"/>
      <c r="FM45" s="463"/>
      <c r="FN45" s="463"/>
      <c r="FO45" s="463"/>
      <c r="FP45" s="463"/>
      <c r="FQ45" s="463"/>
      <c r="FR45" s="463"/>
      <c r="FS45" s="463"/>
      <c r="FT45" s="463"/>
      <c r="FU45" s="463"/>
      <c r="FV45" s="463"/>
      <c r="FW45" s="463"/>
      <c r="FX45" s="463"/>
      <c r="FY45" s="463"/>
      <c r="FZ45" s="463"/>
      <c r="GA45" s="463"/>
      <c r="GB45" s="463"/>
      <c r="GC45" s="463"/>
      <c r="GD45" s="463"/>
      <c r="GE45" s="463"/>
      <c r="GF45" s="463"/>
      <c r="GG45" s="463"/>
      <c r="GH45" s="463"/>
      <c r="GI45" s="463"/>
      <c r="GJ45" s="463"/>
      <c r="GK45" s="463"/>
      <c r="GL45" s="463"/>
      <c r="GM45" s="463"/>
      <c r="GN45" s="463"/>
      <c r="GO45" s="463"/>
      <c r="GP45" s="463"/>
      <c r="GQ45" s="463"/>
      <c r="GR45" s="463"/>
      <c r="GS45" s="463"/>
      <c r="GT45" s="463"/>
      <c r="GU45" s="463"/>
      <c r="GV45" s="463"/>
      <c r="GW45" s="463"/>
      <c r="GX45" s="463"/>
      <c r="GY45" s="463"/>
      <c r="GZ45" s="463"/>
      <c r="HA45" s="463"/>
      <c r="HB45" s="463"/>
      <c r="HC45" s="463"/>
      <c r="HD45" s="463"/>
      <c r="HE45" s="463"/>
      <c r="HF45" s="463"/>
      <c r="HG45" s="463"/>
      <c r="HH45" s="463"/>
      <c r="HI45" s="463"/>
      <c r="HJ45" s="463"/>
      <c r="HK45" s="463"/>
      <c r="HL45" s="463"/>
      <c r="HM45" s="463"/>
      <c r="HN45" s="463"/>
      <c r="HO45" s="463"/>
      <c r="HP45" s="463"/>
      <c r="HQ45" s="463"/>
      <c r="HR45" s="463"/>
      <c r="HS45" s="463"/>
      <c r="HT45" s="463"/>
      <c r="HU45" s="463"/>
      <c r="HV45" s="463"/>
      <c r="HW45" s="463"/>
      <c r="HX45" s="463"/>
      <c r="HY45" s="463"/>
      <c r="HZ45" s="463"/>
      <c r="IA45" s="463"/>
      <c r="IB45" s="463"/>
      <c r="IC45" s="463"/>
      <c r="ID45" s="463"/>
      <c r="IE45" s="463"/>
      <c r="IF45" s="463"/>
      <c r="IG45" s="463"/>
      <c r="IH45" s="463"/>
      <c r="II45" s="463"/>
      <c r="IJ45" s="463"/>
      <c r="IK45" s="463"/>
      <c r="IL45" s="463"/>
      <c r="IM45" s="463"/>
      <c r="IN45" s="463"/>
      <c r="IO45" s="463"/>
      <c r="IP45" s="463"/>
      <c r="IQ45" s="463"/>
      <c r="IR45" s="463"/>
      <c r="IS45" s="463"/>
      <c r="IT45" s="463"/>
      <c r="IU45" s="463"/>
      <c r="IV45" s="463"/>
    </row>
    <row r="46" spans="1:256" s="865" customFormat="1" ht="22.5" customHeight="1">
      <c r="A46" s="880">
        <v>38</v>
      </c>
      <c r="B46" s="873"/>
      <c r="C46" s="517">
        <v>19</v>
      </c>
      <c r="D46" s="466" t="s">
        <v>719</v>
      </c>
      <c r="E46" s="475"/>
      <c r="F46" s="869"/>
      <c r="G46" s="476"/>
      <c r="H46" s="1183" t="s">
        <v>24</v>
      </c>
      <c r="I46" s="1201"/>
      <c r="J46" s="1197"/>
      <c r="K46" s="1197"/>
      <c r="L46" s="1197"/>
      <c r="M46" s="1197"/>
      <c r="N46" s="1197"/>
      <c r="O46" s="1166"/>
      <c r="P46" s="870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  <c r="CW46" s="463"/>
      <c r="CX46" s="463"/>
      <c r="CY46" s="463"/>
      <c r="CZ46" s="463"/>
      <c r="DA46" s="463"/>
      <c r="DB46" s="463"/>
      <c r="DC46" s="463"/>
      <c r="DD46" s="463"/>
      <c r="DE46" s="463"/>
      <c r="DF46" s="463"/>
      <c r="DG46" s="463"/>
      <c r="DH46" s="463"/>
      <c r="DI46" s="463"/>
      <c r="DJ46" s="463"/>
      <c r="DK46" s="463"/>
      <c r="DL46" s="463"/>
      <c r="DM46" s="463"/>
      <c r="DN46" s="463"/>
      <c r="DO46" s="463"/>
      <c r="DP46" s="463"/>
      <c r="DQ46" s="463"/>
      <c r="DR46" s="463"/>
      <c r="DS46" s="463"/>
      <c r="DT46" s="463"/>
      <c r="DU46" s="463"/>
      <c r="DV46" s="463"/>
      <c r="DW46" s="463"/>
      <c r="DX46" s="463"/>
      <c r="DY46" s="463"/>
      <c r="DZ46" s="463"/>
      <c r="EA46" s="463"/>
      <c r="EB46" s="463"/>
      <c r="EC46" s="463"/>
      <c r="ED46" s="463"/>
      <c r="EE46" s="463"/>
      <c r="EF46" s="463"/>
      <c r="EG46" s="463"/>
      <c r="EH46" s="463"/>
      <c r="EI46" s="463"/>
      <c r="EJ46" s="463"/>
      <c r="EK46" s="463"/>
      <c r="EL46" s="463"/>
      <c r="EM46" s="463"/>
      <c r="EN46" s="463"/>
      <c r="EO46" s="463"/>
      <c r="EP46" s="463"/>
      <c r="EQ46" s="463"/>
      <c r="ER46" s="463"/>
      <c r="ES46" s="463"/>
      <c r="ET46" s="463"/>
      <c r="EU46" s="463"/>
      <c r="EV46" s="463"/>
      <c r="EW46" s="463"/>
      <c r="EX46" s="463"/>
      <c r="EY46" s="463"/>
      <c r="EZ46" s="463"/>
      <c r="FA46" s="463"/>
      <c r="FB46" s="463"/>
      <c r="FC46" s="463"/>
      <c r="FD46" s="463"/>
      <c r="FE46" s="463"/>
      <c r="FF46" s="463"/>
      <c r="FG46" s="463"/>
      <c r="FH46" s="463"/>
      <c r="FI46" s="463"/>
      <c r="FJ46" s="463"/>
      <c r="FK46" s="463"/>
      <c r="FL46" s="463"/>
      <c r="FM46" s="463"/>
      <c r="FN46" s="463"/>
      <c r="FO46" s="463"/>
      <c r="FP46" s="463"/>
      <c r="FQ46" s="463"/>
      <c r="FR46" s="463"/>
      <c r="FS46" s="463"/>
      <c r="FT46" s="463"/>
      <c r="FU46" s="463"/>
      <c r="FV46" s="463"/>
      <c r="FW46" s="463"/>
      <c r="FX46" s="463"/>
      <c r="FY46" s="463"/>
      <c r="FZ46" s="463"/>
      <c r="GA46" s="463"/>
      <c r="GB46" s="463"/>
      <c r="GC46" s="463"/>
      <c r="GD46" s="463"/>
      <c r="GE46" s="463"/>
      <c r="GF46" s="463"/>
      <c r="GG46" s="463"/>
      <c r="GH46" s="463"/>
      <c r="GI46" s="463"/>
      <c r="GJ46" s="463"/>
      <c r="GK46" s="463"/>
      <c r="GL46" s="463"/>
      <c r="GM46" s="463"/>
      <c r="GN46" s="463"/>
      <c r="GO46" s="463"/>
      <c r="GP46" s="463"/>
      <c r="GQ46" s="463"/>
      <c r="GR46" s="463"/>
      <c r="GS46" s="463"/>
      <c r="GT46" s="463"/>
      <c r="GU46" s="463"/>
      <c r="GV46" s="463"/>
      <c r="GW46" s="463"/>
      <c r="GX46" s="463"/>
      <c r="GY46" s="463"/>
      <c r="GZ46" s="463"/>
      <c r="HA46" s="463"/>
      <c r="HB46" s="463"/>
      <c r="HC46" s="463"/>
      <c r="HD46" s="463"/>
      <c r="HE46" s="463"/>
      <c r="HF46" s="463"/>
      <c r="HG46" s="463"/>
      <c r="HH46" s="463"/>
      <c r="HI46" s="463"/>
      <c r="HJ46" s="463"/>
      <c r="HK46" s="463"/>
      <c r="HL46" s="463"/>
      <c r="HM46" s="463"/>
      <c r="HN46" s="463"/>
      <c r="HO46" s="463"/>
      <c r="HP46" s="463"/>
      <c r="HQ46" s="463"/>
      <c r="HR46" s="463"/>
      <c r="HS46" s="463"/>
      <c r="HT46" s="463"/>
      <c r="HU46" s="463"/>
      <c r="HV46" s="463"/>
      <c r="HW46" s="463"/>
      <c r="HX46" s="463"/>
      <c r="HY46" s="463"/>
      <c r="HZ46" s="463"/>
      <c r="IA46" s="463"/>
      <c r="IB46" s="463"/>
      <c r="IC46" s="463"/>
      <c r="ID46" s="463"/>
      <c r="IE46" s="463"/>
      <c r="IF46" s="463"/>
      <c r="IG46" s="463"/>
      <c r="IH46" s="463"/>
      <c r="II46" s="463"/>
      <c r="IJ46" s="463"/>
      <c r="IK46" s="463"/>
      <c r="IL46" s="463"/>
      <c r="IM46" s="463"/>
      <c r="IN46" s="463"/>
      <c r="IO46" s="463"/>
      <c r="IP46" s="463"/>
      <c r="IQ46" s="463"/>
      <c r="IR46" s="463"/>
      <c r="IS46" s="463"/>
      <c r="IT46" s="463"/>
      <c r="IU46" s="463"/>
      <c r="IV46" s="463"/>
    </row>
    <row r="47" spans="1:256" s="865" customFormat="1" ht="18" customHeight="1">
      <c r="A47" s="880">
        <v>39</v>
      </c>
      <c r="B47" s="873"/>
      <c r="C47" s="465"/>
      <c r="D47" s="1176" t="s">
        <v>312</v>
      </c>
      <c r="E47" s="475">
        <f>F47+G47+O47+P47</f>
        <v>5000</v>
      </c>
      <c r="F47" s="869"/>
      <c r="G47" s="476"/>
      <c r="H47" s="1183"/>
      <c r="I47" s="1201"/>
      <c r="J47" s="1197"/>
      <c r="K47" s="1197"/>
      <c r="L47" s="1197"/>
      <c r="M47" s="1197"/>
      <c r="N47" s="1197">
        <v>5000</v>
      </c>
      <c r="O47" s="1166">
        <f>SUM(I47:N47)</f>
        <v>5000</v>
      </c>
      <c r="P47" s="870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463"/>
      <c r="CT47" s="463"/>
      <c r="CU47" s="463"/>
      <c r="CV47" s="463"/>
      <c r="CW47" s="463"/>
      <c r="CX47" s="463"/>
      <c r="CY47" s="463"/>
      <c r="CZ47" s="463"/>
      <c r="DA47" s="463"/>
      <c r="DB47" s="463"/>
      <c r="DC47" s="463"/>
      <c r="DD47" s="463"/>
      <c r="DE47" s="463"/>
      <c r="DF47" s="463"/>
      <c r="DG47" s="463"/>
      <c r="DH47" s="463"/>
      <c r="DI47" s="463"/>
      <c r="DJ47" s="463"/>
      <c r="DK47" s="463"/>
      <c r="DL47" s="463"/>
      <c r="DM47" s="463"/>
      <c r="DN47" s="463"/>
      <c r="DO47" s="463"/>
      <c r="DP47" s="463"/>
      <c r="DQ47" s="463"/>
      <c r="DR47" s="463"/>
      <c r="DS47" s="463"/>
      <c r="DT47" s="463"/>
      <c r="DU47" s="463"/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3"/>
      <c r="FE47" s="463"/>
      <c r="FF47" s="463"/>
      <c r="FG47" s="463"/>
      <c r="FH47" s="463"/>
      <c r="FI47" s="463"/>
      <c r="FJ47" s="463"/>
      <c r="FK47" s="463"/>
      <c r="FL47" s="463"/>
      <c r="FM47" s="463"/>
      <c r="FN47" s="463"/>
      <c r="FO47" s="463"/>
      <c r="FP47" s="463"/>
      <c r="FQ47" s="463"/>
      <c r="FR47" s="463"/>
      <c r="FS47" s="463"/>
      <c r="FT47" s="463"/>
      <c r="FU47" s="463"/>
      <c r="FV47" s="463"/>
      <c r="FW47" s="463"/>
      <c r="FX47" s="463"/>
      <c r="FY47" s="463"/>
      <c r="FZ47" s="463"/>
      <c r="GA47" s="463"/>
      <c r="GB47" s="463"/>
      <c r="GC47" s="463"/>
      <c r="GD47" s="463"/>
      <c r="GE47" s="463"/>
      <c r="GF47" s="463"/>
      <c r="GG47" s="463"/>
      <c r="GH47" s="463"/>
      <c r="GI47" s="463"/>
      <c r="GJ47" s="463"/>
      <c r="GK47" s="463"/>
      <c r="GL47" s="463"/>
      <c r="GM47" s="463"/>
      <c r="GN47" s="463"/>
      <c r="GO47" s="463"/>
      <c r="GP47" s="463"/>
      <c r="GQ47" s="463"/>
      <c r="GR47" s="463"/>
      <c r="GS47" s="463"/>
      <c r="GT47" s="463"/>
      <c r="GU47" s="463"/>
      <c r="GV47" s="463"/>
      <c r="GW47" s="463"/>
      <c r="GX47" s="463"/>
      <c r="GY47" s="463"/>
      <c r="GZ47" s="463"/>
      <c r="HA47" s="463"/>
      <c r="HB47" s="463"/>
      <c r="HC47" s="463"/>
      <c r="HD47" s="463"/>
      <c r="HE47" s="463"/>
      <c r="HF47" s="463"/>
      <c r="HG47" s="463"/>
      <c r="HH47" s="463"/>
      <c r="HI47" s="463"/>
      <c r="HJ47" s="463"/>
      <c r="HK47" s="463"/>
      <c r="HL47" s="463"/>
      <c r="HM47" s="463"/>
      <c r="HN47" s="463"/>
      <c r="HO47" s="463"/>
      <c r="HP47" s="463"/>
      <c r="HQ47" s="463"/>
      <c r="HR47" s="463"/>
      <c r="HS47" s="463"/>
      <c r="HT47" s="463"/>
      <c r="HU47" s="463"/>
      <c r="HV47" s="463"/>
      <c r="HW47" s="463"/>
      <c r="HX47" s="463"/>
      <c r="HY47" s="463"/>
      <c r="HZ47" s="463"/>
      <c r="IA47" s="463"/>
      <c r="IB47" s="463"/>
      <c r="IC47" s="463"/>
      <c r="ID47" s="463"/>
      <c r="IE47" s="463"/>
      <c r="IF47" s="463"/>
      <c r="IG47" s="463"/>
      <c r="IH47" s="463"/>
      <c r="II47" s="463"/>
      <c r="IJ47" s="463"/>
      <c r="IK47" s="463"/>
      <c r="IL47" s="463"/>
      <c r="IM47" s="463"/>
      <c r="IN47" s="463"/>
      <c r="IO47" s="463"/>
      <c r="IP47" s="463"/>
      <c r="IQ47" s="463"/>
      <c r="IR47" s="463"/>
      <c r="IS47" s="463"/>
      <c r="IT47" s="463"/>
      <c r="IU47" s="463"/>
      <c r="IV47" s="463"/>
    </row>
    <row r="48" spans="1:16" ht="22.5" customHeight="1">
      <c r="A48" s="880">
        <v>40</v>
      </c>
      <c r="B48" s="694"/>
      <c r="C48" s="517">
        <v>20</v>
      </c>
      <c r="D48" s="876" t="s">
        <v>658</v>
      </c>
      <c r="E48" s="475"/>
      <c r="F48" s="869"/>
      <c r="G48" s="476"/>
      <c r="H48" s="1183" t="s">
        <v>24</v>
      </c>
      <c r="I48" s="1201"/>
      <c r="J48" s="1197"/>
      <c r="K48" s="1197"/>
      <c r="L48" s="1197"/>
      <c r="M48" s="1197"/>
      <c r="N48" s="1197"/>
      <c r="O48" s="1166"/>
      <c r="P48" s="870"/>
    </row>
    <row r="49" spans="1:256" s="865" customFormat="1" ht="18" customHeight="1">
      <c r="A49" s="880">
        <v>41</v>
      </c>
      <c r="B49" s="873"/>
      <c r="C49" s="517"/>
      <c r="D49" s="1176" t="s">
        <v>312</v>
      </c>
      <c r="E49" s="475">
        <f>F49+G49+O49+P49+22278</f>
        <v>1680390</v>
      </c>
      <c r="F49" s="869">
        <v>16599</v>
      </c>
      <c r="G49" s="476">
        <f>63156+89+16537</f>
        <v>79782</v>
      </c>
      <c r="H49" s="1183"/>
      <c r="I49" s="1201"/>
      <c r="J49" s="1197"/>
      <c r="K49" s="1197">
        <v>55170</v>
      </c>
      <c r="L49" s="1197"/>
      <c r="M49" s="1197">
        <f>76000+1430561</f>
        <v>1506561</v>
      </c>
      <c r="N49" s="1197"/>
      <c r="O49" s="1166">
        <f>SUM(I49:N49)</f>
        <v>1561731</v>
      </c>
      <c r="P49" s="870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  <c r="CW49" s="463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  <c r="FF49" s="463"/>
      <c r="FG49" s="463"/>
      <c r="FH49" s="463"/>
      <c r="FI49" s="463"/>
      <c r="FJ49" s="463"/>
      <c r="FK49" s="463"/>
      <c r="FL49" s="463"/>
      <c r="FM49" s="463"/>
      <c r="FN49" s="463"/>
      <c r="FO49" s="463"/>
      <c r="FP49" s="463"/>
      <c r="FQ49" s="463"/>
      <c r="FR49" s="463"/>
      <c r="FS49" s="463"/>
      <c r="FT49" s="463"/>
      <c r="FU49" s="463"/>
      <c r="FV49" s="463"/>
      <c r="FW49" s="463"/>
      <c r="FX49" s="463"/>
      <c r="FY49" s="463"/>
      <c r="FZ49" s="463"/>
      <c r="GA49" s="463"/>
      <c r="GB49" s="463"/>
      <c r="GC49" s="463"/>
      <c r="GD49" s="463"/>
      <c r="GE49" s="463"/>
      <c r="GF49" s="463"/>
      <c r="GG49" s="463"/>
      <c r="GH49" s="463"/>
      <c r="GI49" s="463"/>
      <c r="GJ49" s="463"/>
      <c r="GK49" s="463"/>
      <c r="GL49" s="463"/>
      <c r="GM49" s="463"/>
      <c r="GN49" s="463"/>
      <c r="GO49" s="463"/>
      <c r="GP49" s="463"/>
      <c r="GQ49" s="463"/>
      <c r="GR49" s="463"/>
      <c r="GS49" s="463"/>
      <c r="GT49" s="463"/>
      <c r="GU49" s="463"/>
      <c r="GV49" s="463"/>
      <c r="GW49" s="463"/>
      <c r="GX49" s="463"/>
      <c r="GY49" s="463"/>
      <c r="GZ49" s="463"/>
      <c r="HA49" s="463"/>
      <c r="HB49" s="463"/>
      <c r="HC49" s="463"/>
      <c r="HD49" s="463"/>
      <c r="HE49" s="463"/>
      <c r="HF49" s="463"/>
      <c r="HG49" s="463"/>
      <c r="HH49" s="463"/>
      <c r="HI49" s="463"/>
      <c r="HJ49" s="463"/>
      <c r="HK49" s="463"/>
      <c r="HL49" s="463"/>
      <c r="HM49" s="463"/>
      <c r="HN49" s="463"/>
      <c r="HO49" s="463"/>
      <c r="HP49" s="463"/>
      <c r="HQ49" s="463"/>
      <c r="HR49" s="463"/>
      <c r="HS49" s="463"/>
      <c r="HT49" s="463"/>
      <c r="HU49" s="463"/>
      <c r="HV49" s="463"/>
      <c r="HW49" s="463"/>
      <c r="HX49" s="463"/>
      <c r="HY49" s="463"/>
      <c r="HZ49" s="463"/>
      <c r="IA49" s="463"/>
      <c r="IB49" s="463"/>
      <c r="IC49" s="463"/>
      <c r="ID49" s="463"/>
      <c r="IE49" s="463"/>
      <c r="IF49" s="463"/>
      <c r="IG49" s="463"/>
      <c r="IH49" s="463"/>
      <c r="II49" s="463"/>
      <c r="IJ49" s="463"/>
      <c r="IK49" s="463"/>
      <c r="IL49" s="463"/>
      <c r="IM49" s="463"/>
      <c r="IN49" s="463"/>
      <c r="IO49" s="463"/>
      <c r="IP49" s="463"/>
      <c r="IQ49" s="463"/>
      <c r="IR49" s="463"/>
      <c r="IS49" s="463"/>
      <c r="IT49" s="463"/>
      <c r="IU49" s="463"/>
      <c r="IV49" s="463"/>
    </row>
    <row r="50" spans="1:16" ht="33">
      <c r="A50" s="880">
        <v>42</v>
      </c>
      <c r="B50" s="694"/>
      <c r="C50" s="465">
        <v>21</v>
      </c>
      <c r="D50" s="467" t="s">
        <v>591</v>
      </c>
      <c r="E50" s="475"/>
      <c r="F50" s="869"/>
      <c r="G50" s="476"/>
      <c r="H50" s="1183" t="s">
        <v>24</v>
      </c>
      <c r="I50" s="1201"/>
      <c r="J50" s="1197"/>
      <c r="K50" s="1197"/>
      <c r="L50" s="1197"/>
      <c r="M50" s="1197"/>
      <c r="N50" s="1197"/>
      <c r="O50" s="1166"/>
      <c r="P50" s="870"/>
    </row>
    <row r="51" spans="1:256" s="865" customFormat="1" ht="18" customHeight="1">
      <c r="A51" s="880">
        <v>43</v>
      </c>
      <c r="B51" s="873"/>
      <c r="C51" s="465"/>
      <c r="D51" s="1176" t="s">
        <v>312</v>
      </c>
      <c r="E51" s="475">
        <f>F51+G51+O51+P51</f>
        <v>1629330</v>
      </c>
      <c r="F51" s="869">
        <v>28000</v>
      </c>
      <c r="G51" s="476">
        <f>24019+2422</f>
        <v>26441</v>
      </c>
      <c r="H51" s="1183"/>
      <c r="I51" s="1201"/>
      <c r="J51" s="1197"/>
      <c r="K51" s="1197">
        <v>12196</v>
      </c>
      <c r="L51" s="1197"/>
      <c r="M51" s="1197">
        <f>793085+277946+491662</f>
        <v>1562693</v>
      </c>
      <c r="N51" s="1197"/>
      <c r="O51" s="1166">
        <f>SUM(I51:N51)</f>
        <v>1574889</v>
      </c>
      <c r="P51" s="870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  <c r="BT51" s="463"/>
      <c r="BU51" s="463"/>
      <c r="BV51" s="463"/>
      <c r="BW51" s="463"/>
      <c r="BX51" s="463"/>
      <c r="BY51" s="463"/>
      <c r="BZ51" s="463"/>
      <c r="CA51" s="463"/>
      <c r="CB51" s="463"/>
      <c r="CC51" s="463"/>
      <c r="CD51" s="463"/>
      <c r="CE51" s="463"/>
      <c r="CF51" s="463"/>
      <c r="CG51" s="463"/>
      <c r="CH51" s="463"/>
      <c r="CI51" s="463"/>
      <c r="CJ51" s="463"/>
      <c r="CK51" s="463"/>
      <c r="CL51" s="463"/>
      <c r="CM51" s="463"/>
      <c r="CN51" s="463"/>
      <c r="CO51" s="463"/>
      <c r="CP51" s="463"/>
      <c r="CQ51" s="463"/>
      <c r="CR51" s="463"/>
      <c r="CS51" s="463"/>
      <c r="CT51" s="463"/>
      <c r="CU51" s="463"/>
      <c r="CV51" s="463"/>
      <c r="CW51" s="463"/>
      <c r="CX51" s="463"/>
      <c r="CY51" s="463"/>
      <c r="CZ51" s="463"/>
      <c r="DA51" s="463"/>
      <c r="DB51" s="463"/>
      <c r="DC51" s="463"/>
      <c r="DD51" s="463"/>
      <c r="DE51" s="463"/>
      <c r="DF51" s="463"/>
      <c r="DG51" s="463"/>
      <c r="DH51" s="463"/>
      <c r="DI51" s="463"/>
      <c r="DJ51" s="463"/>
      <c r="DK51" s="463"/>
      <c r="DL51" s="463"/>
      <c r="DM51" s="463"/>
      <c r="DN51" s="463"/>
      <c r="DO51" s="463"/>
      <c r="DP51" s="463"/>
      <c r="DQ51" s="463"/>
      <c r="DR51" s="463"/>
      <c r="DS51" s="463"/>
      <c r="DT51" s="463"/>
      <c r="DU51" s="463"/>
      <c r="DV51" s="463"/>
      <c r="DW51" s="463"/>
      <c r="DX51" s="463"/>
      <c r="DY51" s="463"/>
      <c r="DZ51" s="463"/>
      <c r="EA51" s="463"/>
      <c r="EB51" s="463"/>
      <c r="EC51" s="463"/>
      <c r="ED51" s="463"/>
      <c r="EE51" s="463"/>
      <c r="EF51" s="463"/>
      <c r="EG51" s="463"/>
      <c r="EH51" s="463"/>
      <c r="EI51" s="463"/>
      <c r="EJ51" s="463"/>
      <c r="EK51" s="463"/>
      <c r="EL51" s="463"/>
      <c r="EM51" s="463"/>
      <c r="EN51" s="463"/>
      <c r="EO51" s="463"/>
      <c r="EP51" s="463"/>
      <c r="EQ51" s="463"/>
      <c r="ER51" s="463"/>
      <c r="ES51" s="463"/>
      <c r="ET51" s="463"/>
      <c r="EU51" s="463"/>
      <c r="EV51" s="463"/>
      <c r="EW51" s="463"/>
      <c r="EX51" s="463"/>
      <c r="EY51" s="463"/>
      <c r="EZ51" s="463"/>
      <c r="FA51" s="463"/>
      <c r="FB51" s="463"/>
      <c r="FC51" s="463"/>
      <c r="FD51" s="463"/>
      <c r="FE51" s="463"/>
      <c r="FF51" s="463"/>
      <c r="FG51" s="463"/>
      <c r="FH51" s="463"/>
      <c r="FI51" s="463"/>
      <c r="FJ51" s="463"/>
      <c r="FK51" s="463"/>
      <c r="FL51" s="463"/>
      <c r="FM51" s="463"/>
      <c r="FN51" s="463"/>
      <c r="FO51" s="463"/>
      <c r="FP51" s="463"/>
      <c r="FQ51" s="463"/>
      <c r="FR51" s="463"/>
      <c r="FS51" s="463"/>
      <c r="FT51" s="463"/>
      <c r="FU51" s="463"/>
      <c r="FV51" s="463"/>
      <c r="FW51" s="463"/>
      <c r="FX51" s="463"/>
      <c r="FY51" s="463"/>
      <c r="FZ51" s="463"/>
      <c r="GA51" s="463"/>
      <c r="GB51" s="463"/>
      <c r="GC51" s="463"/>
      <c r="GD51" s="463"/>
      <c r="GE51" s="463"/>
      <c r="GF51" s="463"/>
      <c r="GG51" s="463"/>
      <c r="GH51" s="463"/>
      <c r="GI51" s="463"/>
      <c r="GJ51" s="463"/>
      <c r="GK51" s="463"/>
      <c r="GL51" s="463"/>
      <c r="GM51" s="463"/>
      <c r="GN51" s="463"/>
      <c r="GO51" s="463"/>
      <c r="GP51" s="463"/>
      <c r="GQ51" s="463"/>
      <c r="GR51" s="463"/>
      <c r="GS51" s="463"/>
      <c r="GT51" s="463"/>
      <c r="GU51" s="463"/>
      <c r="GV51" s="463"/>
      <c r="GW51" s="463"/>
      <c r="GX51" s="463"/>
      <c r="GY51" s="463"/>
      <c r="GZ51" s="463"/>
      <c r="HA51" s="463"/>
      <c r="HB51" s="463"/>
      <c r="HC51" s="463"/>
      <c r="HD51" s="463"/>
      <c r="HE51" s="463"/>
      <c r="HF51" s="463"/>
      <c r="HG51" s="463"/>
      <c r="HH51" s="463"/>
      <c r="HI51" s="463"/>
      <c r="HJ51" s="463"/>
      <c r="HK51" s="463"/>
      <c r="HL51" s="463"/>
      <c r="HM51" s="463"/>
      <c r="HN51" s="463"/>
      <c r="HO51" s="463"/>
      <c r="HP51" s="463"/>
      <c r="HQ51" s="463"/>
      <c r="HR51" s="463"/>
      <c r="HS51" s="463"/>
      <c r="HT51" s="463"/>
      <c r="HU51" s="463"/>
      <c r="HV51" s="463"/>
      <c r="HW51" s="463"/>
      <c r="HX51" s="463"/>
      <c r="HY51" s="463"/>
      <c r="HZ51" s="463"/>
      <c r="IA51" s="463"/>
      <c r="IB51" s="463"/>
      <c r="IC51" s="463"/>
      <c r="ID51" s="463"/>
      <c r="IE51" s="463"/>
      <c r="IF51" s="463"/>
      <c r="IG51" s="463"/>
      <c r="IH51" s="463"/>
      <c r="II51" s="463"/>
      <c r="IJ51" s="463"/>
      <c r="IK51" s="463"/>
      <c r="IL51" s="463"/>
      <c r="IM51" s="463"/>
      <c r="IN51" s="463"/>
      <c r="IO51" s="463"/>
      <c r="IP51" s="463"/>
      <c r="IQ51" s="463"/>
      <c r="IR51" s="463"/>
      <c r="IS51" s="463"/>
      <c r="IT51" s="463"/>
      <c r="IU51" s="463"/>
      <c r="IV51" s="463"/>
    </row>
    <row r="52" spans="1:16" ht="22.5" customHeight="1">
      <c r="A52" s="880">
        <v>44</v>
      </c>
      <c r="B52" s="694"/>
      <c r="C52" s="517">
        <v>22</v>
      </c>
      <c r="D52" s="466" t="s">
        <v>707</v>
      </c>
      <c r="E52" s="475"/>
      <c r="F52" s="869"/>
      <c r="G52" s="476"/>
      <c r="H52" s="1183" t="s">
        <v>24</v>
      </c>
      <c r="I52" s="1201"/>
      <c r="J52" s="1197"/>
      <c r="K52" s="1197"/>
      <c r="L52" s="1197"/>
      <c r="M52" s="1197"/>
      <c r="N52" s="1197"/>
      <c r="O52" s="1166"/>
      <c r="P52" s="870"/>
    </row>
    <row r="53" spans="1:256" s="865" customFormat="1" ht="18" customHeight="1">
      <c r="A53" s="880">
        <v>45</v>
      </c>
      <c r="B53" s="873"/>
      <c r="C53" s="465"/>
      <c r="D53" s="1176" t="s">
        <v>312</v>
      </c>
      <c r="E53" s="475">
        <f>F53+G53+O53+P53</f>
        <v>4792</v>
      </c>
      <c r="F53" s="869"/>
      <c r="G53" s="476"/>
      <c r="H53" s="1183"/>
      <c r="I53" s="1201"/>
      <c r="J53" s="1197"/>
      <c r="K53" s="1197">
        <v>4792</v>
      </c>
      <c r="L53" s="1197"/>
      <c r="M53" s="1197"/>
      <c r="N53" s="1197"/>
      <c r="O53" s="1166">
        <f>SUM(I53:N53)</f>
        <v>4792</v>
      </c>
      <c r="P53" s="870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  <c r="CZ53" s="463"/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3"/>
      <c r="EF53" s="463"/>
      <c r="EG53" s="463"/>
      <c r="EH53" s="463"/>
      <c r="EI53" s="463"/>
      <c r="EJ53" s="463"/>
      <c r="EK53" s="463"/>
      <c r="EL53" s="463"/>
      <c r="EM53" s="463"/>
      <c r="EN53" s="463"/>
      <c r="EO53" s="463"/>
      <c r="EP53" s="463"/>
      <c r="EQ53" s="463"/>
      <c r="ER53" s="463"/>
      <c r="ES53" s="463"/>
      <c r="ET53" s="463"/>
      <c r="EU53" s="463"/>
      <c r="EV53" s="463"/>
      <c r="EW53" s="463"/>
      <c r="EX53" s="463"/>
      <c r="EY53" s="463"/>
      <c r="EZ53" s="463"/>
      <c r="FA53" s="463"/>
      <c r="FB53" s="463"/>
      <c r="FC53" s="463"/>
      <c r="FD53" s="463"/>
      <c r="FE53" s="463"/>
      <c r="FF53" s="463"/>
      <c r="FG53" s="463"/>
      <c r="FH53" s="463"/>
      <c r="FI53" s="463"/>
      <c r="FJ53" s="463"/>
      <c r="FK53" s="463"/>
      <c r="FL53" s="463"/>
      <c r="FM53" s="463"/>
      <c r="FN53" s="463"/>
      <c r="FO53" s="463"/>
      <c r="FP53" s="463"/>
      <c r="FQ53" s="463"/>
      <c r="FR53" s="463"/>
      <c r="FS53" s="463"/>
      <c r="FT53" s="463"/>
      <c r="FU53" s="463"/>
      <c r="FV53" s="463"/>
      <c r="FW53" s="463"/>
      <c r="FX53" s="463"/>
      <c r="FY53" s="463"/>
      <c r="FZ53" s="463"/>
      <c r="GA53" s="463"/>
      <c r="GB53" s="463"/>
      <c r="GC53" s="463"/>
      <c r="GD53" s="463"/>
      <c r="GE53" s="463"/>
      <c r="GF53" s="463"/>
      <c r="GG53" s="463"/>
      <c r="GH53" s="463"/>
      <c r="GI53" s="463"/>
      <c r="GJ53" s="463"/>
      <c r="GK53" s="463"/>
      <c r="GL53" s="463"/>
      <c r="GM53" s="463"/>
      <c r="GN53" s="463"/>
      <c r="GO53" s="463"/>
      <c r="GP53" s="463"/>
      <c r="GQ53" s="463"/>
      <c r="GR53" s="463"/>
      <c r="GS53" s="463"/>
      <c r="GT53" s="463"/>
      <c r="GU53" s="463"/>
      <c r="GV53" s="463"/>
      <c r="GW53" s="463"/>
      <c r="GX53" s="463"/>
      <c r="GY53" s="463"/>
      <c r="GZ53" s="463"/>
      <c r="HA53" s="463"/>
      <c r="HB53" s="463"/>
      <c r="HC53" s="463"/>
      <c r="HD53" s="463"/>
      <c r="HE53" s="463"/>
      <c r="HF53" s="463"/>
      <c r="HG53" s="463"/>
      <c r="HH53" s="463"/>
      <c r="HI53" s="463"/>
      <c r="HJ53" s="463"/>
      <c r="HK53" s="463"/>
      <c r="HL53" s="463"/>
      <c r="HM53" s="463"/>
      <c r="HN53" s="463"/>
      <c r="HO53" s="463"/>
      <c r="HP53" s="463"/>
      <c r="HQ53" s="463"/>
      <c r="HR53" s="463"/>
      <c r="HS53" s="463"/>
      <c r="HT53" s="463"/>
      <c r="HU53" s="463"/>
      <c r="HV53" s="463"/>
      <c r="HW53" s="463"/>
      <c r="HX53" s="463"/>
      <c r="HY53" s="463"/>
      <c r="HZ53" s="463"/>
      <c r="IA53" s="463"/>
      <c r="IB53" s="463"/>
      <c r="IC53" s="463"/>
      <c r="ID53" s="463"/>
      <c r="IE53" s="463"/>
      <c r="IF53" s="463"/>
      <c r="IG53" s="463"/>
      <c r="IH53" s="463"/>
      <c r="II53" s="463"/>
      <c r="IJ53" s="463"/>
      <c r="IK53" s="463"/>
      <c r="IL53" s="463"/>
      <c r="IM53" s="463"/>
      <c r="IN53" s="463"/>
      <c r="IO53" s="463"/>
      <c r="IP53" s="463"/>
      <c r="IQ53" s="463"/>
      <c r="IR53" s="463"/>
      <c r="IS53" s="463"/>
      <c r="IT53" s="463"/>
      <c r="IU53" s="463"/>
      <c r="IV53" s="463"/>
    </row>
    <row r="54" spans="1:16" ht="45.75" customHeight="1">
      <c r="A54" s="880">
        <v>46</v>
      </c>
      <c r="B54" s="694"/>
      <c r="C54" s="465">
        <v>23</v>
      </c>
      <c r="D54" s="467" t="s">
        <v>708</v>
      </c>
      <c r="E54" s="475"/>
      <c r="F54" s="869"/>
      <c r="G54" s="476"/>
      <c r="H54" s="1183" t="s">
        <v>24</v>
      </c>
      <c r="I54" s="1201"/>
      <c r="J54" s="1197"/>
      <c r="K54" s="1197"/>
      <c r="L54" s="1197"/>
      <c r="M54" s="1197"/>
      <c r="N54" s="1197"/>
      <c r="O54" s="1166"/>
      <c r="P54" s="870"/>
    </row>
    <row r="55" spans="1:256" s="865" customFormat="1" ht="18" customHeight="1">
      <c r="A55" s="880">
        <v>47</v>
      </c>
      <c r="B55" s="873"/>
      <c r="C55" s="517"/>
      <c r="D55" s="1176" t="s">
        <v>312</v>
      </c>
      <c r="E55" s="475">
        <f>F55+G55+O55+P55</f>
        <v>267126</v>
      </c>
      <c r="F55" s="869">
        <v>4379</v>
      </c>
      <c r="G55" s="476">
        <f>7747+5080</f>
        <v>12827</v>
      </c>
      <c r="H55" s="1183"/>
      <c r="I55" s="1201"/>
      <c r="J55" s="1197"/>
      <c r="K55" s="1197">
        <v>3667</v>
      </c>
      <c r="L55" s="1197"/>
      <c r="M55" s="1197">
        <v>246253</v>
      </c>
      <c r="N55" s="1197"/>
      <c r="O55" s="1166">
        <f>SUM(I55:N55)</f>
        <v>249920</v>
      </c>
      <c r="P55" s="870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3"/>
      <c r="CG55" s="463"/>
      <c r="CH55" s="463"/>
      <c r="CI55" s="463"/>
      <c r="CJ55" s="463"/>
      <c r="CK55" s="463"/>
      <c r="CL55" s="463"/>
      <c r="CM55" s="463"/>
      <c r="CN55" s="463"/>
      <c r="CO55" s="463"/>
      <c r="CP55" s="463"/>
      <c r="CQ55" s="463"/>
      <c r="CR55" s="463"/>
      <c r="CS55" s="463"/>
      <c r="CT55" s="463"/>
      <c r="CU55" s="463"/>
      <c r="CV55" s="463"/>
      <c r="CW55" s="463"/>
      <c r="CX55" s="463"/>
      <c r="CY55" s="463"/>
      <c r="CZ55" s="463"/>
      <c r="DA55" s="463"/>
      <c r="DB55" s="463"/>
      <c r="DC55" s="463"/>
      <c r="DD55" s="463"/>
      <c r="DE55" s="463"/>
      <c r="DF55" s="463"/>
      <c r="DG55" s="463"/>
      <c r="DH55" s="463"/>
      <c r="DI55" s="463"/>
      <c r="DJ55" s="463"/>
      <c r="DK55" s="463"/>
      <c r="DL55" s="463"/>
      <c r="DM55" s="463"/>
      <c r="DN55" s="463"/>
      <c r="DO55" s="463"/>
      <c r="DP55" s="463"/>
      <c r="DQ55" s="463"/>
      <c r="DR55" s="463"/>
      <c r="DS55" s="463"/>
      <c r="DT55" s="463"/>
      <c r="DU55" s="463"/>
      <c r="DV55" s="463"/>
      <c r="DW55" s="463"/>
      <c r="DX55" s="463"/>
      <c r="DY55" s="463"/>
      <c r="DZ55" s="463"/>
      <c r="EA55" s="463"/>
      <c r="EB55" s="463"/>
      <c r="EC55" s="463"/>
      <c r="ED55" s="463"/>
      <c r="EE55" s="463"/>
      <c r="EF55" s="463"/>
      <c r="EG55" s="463"/>
      <c r="EH55" s="463"/>
      <c r="EI55" s="463"/>
      <c r="EJ55" s="463"/>
      <c r="EK55" s="463"/>
      <c r="EL55" s="463"/>
      <c r="EM55" s="463"/>
      <c r="EN55" s="463"/>
      <c r="EO55" s="463"/>
      <c r="EP55" s="463"/>
      <c r="EQ55" s="463"/>
      <c r="ER55" s="463"/>
      <c r="ES55" s="463"/>
      <c r="ET55" s="463"/>
      <c r="EU55" s="463"/>
      <c r="EV55" s="463"/>
      <c r="EW55" s="463"/>
      <c r="EX55" s="463"/>
      <c r="EY55" s="463"/>
      <c r="EZ55" s="463"/>
      <c r="FA55" s="463"/>
      <c r="FB55" s="463"/>
      <c r="FC55" s="463"/>
      <c r="FD55" s="463"/>
      <c r="FE55" s="463"/>
      <c r="FF55" s="463"/>
      <c r="FG55" s="463"/>
      <c r="FH55" s="463"/>
      <c r="FI55" s="463"/>
      <c r="FJ55" s="463"/>
      <c r="FK55" s="463"/>
      <c r="FL55" s="463"/>
      <c r="FM55" s="463"/>
      <c r="FN55" s="463"/>
      <c r="FO55" s="463"/>
      <c r="FP55" s="463"/>
      <c r="FQ55" s="463"/>
      <c r="FR55" s="463"/>
      <c r="FS55" s="463"/>
      <c r="FT55" s="463"/>
      <c r="FU55" s="463"/>
      <c r="FV55" s="463"/>
      <c r="FW55" s="463"/>
      <c r="FX55" s="463"/>
      <c r="FY55" s="463"/>
      <c r="FZ55" s="463"/>
      <c r="GA55" s="463"/>
      <c r="GB55" s="463"/>
      <c r="GC55" s="463"/>
      <c r="GD55" s="463"/>
      <c r="GE55" s="463"/>
      <c r="GF55" s="463"/>
      <c r="GG55" s="463"/>
      <c r="GH55" s="463"/>
      <c r="GI55" s="463"/>
      <c r="GJ55" s="463"/>
      <c r="GK55" s="463"/>
      <c r="GL55" s="463"/>
      <c r="GM55" s="463"/>
      <c r="GN55" s="463"/>
      <c r="GO55" s="463"/>
      <c r="GP55" s="463"/>
      <c r="GQ55" s="463"/>
      <c r="GR55" s="463"/>
      <c r="GS55" s="463"/>
      <c r="GT55" s="463"/>
      <c r="GU55" s="463"/>
      <c r="GV55" s="463"/>
      <c r="GW55" s="463"/>
      <c r="GX55" s="463"/>
      <c r="GY55" s="463"/>
      <c r="GZ55" s="463"/>
      <c r="HA55" s="463"/>
      <c r="HB55" s="463"/>
      <c r="HC55" s="463"/>
      <c r="HD55" s="463"/>
      <c r="HE55" s="463"/>
      <c r="HF55" s="463"/>
      <c r="HG55" s="463"/>
      <c r="HH55" s="463"/>
      <c r="HI55" s="463"/>
      <c r="HJ55" s="463"/>
      <c r="HK55" s="463"/>
      <c r="HL55" s="463"/>
      <c r="HM55" s="463"/>
      <c r="HN55" s="463"/>
      <c r="HO55" s="463"/>
      <c r="HP55" s="463"/>
      <c r="HQ55" s="463"/>
      <c r="HR55" s="463"/>
      <c r="HS55" s="463"/>
      <c r="HT55" s="463"/>
      <c r="HU55" s="463"/>
      <c r="HV55" s="463"/>
      <c r="HW55" s="463"/>
      <c r="HX55" s="463"/>
      <c r="HY55" s="463"/>
      <c r="HZ55" s="463"/>
      <c r="IA55" s="463"/>
      <c r="IB55" s="463"/>
      <c r="IC55" s="463"/>
      <c r="ID55" s="463"/>
      <c r="IE55" s="463"/>
      <c r="IF55" s="463"/>
      <c r="IG55" s="463"/>
      <c r="IH55" s="463"/>
      <c r="II55" s="463"/>
      <c r="IJ55" s="463"/>
      <c r="IK55" s="463"/>
      <c r="IL55" s="463"/>
      <c r="IM55" s="463"/>
      <c r="IN55" s="463"/>
      <c r="IO55" s="463"/>
      <c r="IP55" s="463"/>
      <c r="IQ55" s="463"/>
      <c r="IR55" s="463"/>
      <c r="IS55" s="463"/>
      <c r="IT55" s="463"/>
      <c r="IU55" s="463"/>
      <c r="IV55" s="463"/>
    </row>
    <row r="56" spans="1:16" ht="36.75" customHeight="1">
      <c r="A56" s="880">
        <v>48</v>
      </c>
      <c r="B56" s="694"/>
      <c r="C56" s="465">
        <v>24</v>
      </c>
      <c r="D56" s="467" t="s">
        <v>894</v>
      </c>
      <c r="E56" s="475"/>
      <c r="F56" s="869"/>
      <c r="G56" s="476"/>
      <c r="H56" s="1183" t="s">
        <v>24</v>
      </c>
      <c r="I56" s="1201"/>
      <c r="J56" s="1197"/>
      <c r="K56" s="1197"/>
      <c r="L56" s="1197"/>
      <c r="M56" s="1197"/>
      <c r="N56" s="1197"/>
      <c r="O56" s="1166"/>
      <c r="P56" s="870"/>
    </row>
    <row r="57" spans="1:256" s="865" customFormat="1" ht="18" customHeight="1">
      <c r="A57" s="880">
        <v>49</v>
      </c>
      <c r="B57" s="873"/>
      <c r="C57" s="465"/>
      <c r="D57" s="1176" t="s">
        <v>312</v>
      </c>
      <c r="E57" s="475">
        <f>F57+G57+O57+P57+89379+55574</f>
        <v>184000</v>
      </c>
      <c r="F57" s="869">
        <v>9200</v>
      </c>
      <c r="G57" s="476">
        <f>3350+5228+2014</f>
        <v>10592</v>
      </c>
      <c r="H57" s="1183"/>
      <c r="I57" s="1201"/>
      <c r="J57" s="1197"/>
      <c r="K57" s="1197">
        <v>19255</v>
      </c>
      <c r="L57" s="1197"/>
      <c r="M57" s="1197"/>
      <c r="N57" s="1197"/>
      <c r="O57" s="1166">
        <f>SUM(I57:N57)</f>
        <v>19255</v>
      </c>
      <c r="P57" s="870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/>
      <c r="BW57" s="463"/>
      <c r="BX57" s="463"/>
      <c r="BY57" s="463"/>
      <c r="BZ57" s="463"/>
      <c r="CA57" s="463"/>
      <c r="CB57" s="463"/>
      <c r="CC57" s="463"/>
      <c r="CD57" s="463"/>
      <c r="CE57" s="463"/>
      <c r="CF57" s="463"/>
      <c r="CG57" s="463"/>
      <c r="CH57" s="463"/>
      <c r="CI57" s="463"/>
      <c r="CJ57" s="463"/>
      <c r="CK57" s="463"/>
      <c r="CL57" s="463"/>
      <c r="CM57" s="463"/>
      <c r="CN57" s="463"/>
      <c r="CO57" s="463"/>
      <c r="CP57" s="463"/>
      <c r="CQ57" s="463"/>
      <c r="CR57" s="463"/>
      <c r="CS57" s="463"/>
      <c r="CT57" s="463"/>
      <c r="CU57" s="463"/>
      <c r="CV57" s="463"/>
      <c r="CW57" s="463"/>
      <c r="CX57" s="463"/>
      <c r="CY57" s="463"/>
      <c r="CZ57" s="463"/>
      <c r="DA57" s="463"/>
      <c r="DB57" s="463"/>
      <c r="DC57" s="463"/>
      <c r="DD57" s="463"/>
      <c r="DE57" s="463"/>
      <c r="DF57" s="463"/>
      <c r="DG57" s="463"/>
      <c r="DH57" s="463"/>
      <c r="DI57" s="463"/>
      <c r="DJ57" s="463"/>
      <c r="DK57" s="463"/>
      <c r="DL57" s="463"/>
      <c r="DM57" s="463"/>
      <c r="DN57" s="463"/>
      <c r="DO57" s="463"/>
      <c r="DP57" s="463"/>
      <c r="DQ57" s="463"/>
      <c r="DR57" s="463"/>
      <c r="DS57" s="463"/>
      <c r="DT57" s="463"/>
      <c r="DU57" s="463"/>
      <c r="DV57" s="463"/>
      <c r="DW57" s="463"/>
      <c r="DX57" s="463"/>
      <c r="DY57" s="463"/>
      <c r="DZ57" s="463"/>
      <c r="EA57" s="463"/>
      <c r="EB57" s="463"/>
      <c r="EC57" s="463"/>
      <c r="ED57" s="463"/>
      <c r="EE57" s="463"/>
      <c r="EF57" s="463"/>
      <c r="EG57" s="463"/>
      <c r="EH57" s="463"/>
      <c r="EI57" s="463"/>
      <c r="EJ57" s="463"/>
      <c r="EK57" s="463"/>
      <c r="EL57" s="463"/>
      <c r="EM57" s="463"/>
      <c r="EN57" s="463"/>
      <c r="EO57" s="463"/>
      <c r="EP57" s="463"/>
      <c r="EQ57" s="463"/>
      <c r="ER57" s="463"/>
      <c r="ES57" s="463"/>
      <c r="ET57" s="463"/>
      <c r="EU57" s="463"/>
      <c r="EV57" s="463"/>
      <c r="EW57" s="463"/>
      <c r="EX57" s="463"/>
      <c r="EY57" s="463"/>
      <c r="EZ57" s="463"/>
      <c r="FA57" s="463"/>
      <c r="FB57" s="463"/>
      <c r="FC57" s="463"/>
      <c r="FD57" s="463"/>
      <c r="FE57" s="463"/>
      <c r="FF57" s="463"/>
      <c r="FG57" s="463"/>
      <c r="FH57" s="463"/>
      <c r="FI57" s="463"/>
      <c r="FJ57" s="463"/>
      <c r="FK57" s="463"/>
      <c r="FL57" s="463"/>
      <c r="FM57" s="463"/>
      <c r="FN57" s="463"/>
      <c r="FO57" s="463"/>
      <c r="FP57" s="463"/>
      <c r="FQ57" s="463"/>
      <c r="FR57" s="463"/>
      <c r="FS57" s="463"/>
      <c r="FT57" s="463"/>
      <c r="FU57" s="463"/>
      <c r="FV57" s="463"/>
      <c r="FW57" s="463"/>
      <c r="FX57" s="463"/>
      <c r="FY57" s="463"/>
      <c r="FZ57" s="463"/>
      <c r="GA57" s="463"/>
      <c r="GB57" s="463"/>
      <c r="GC57" s="463"/>
      <c r="GD57" s="463"/>
      <c r="GE57" s="463"/>
      <c r="GF57" s="463"/>
      <c r="GG57" s="463"/>
      <c r="GH57" s="463"/>
      <c r="GI57" s="463"/>
      <c r="GJ57" s="463"/>
      <c r="GK57" s="463"/>
      <c r="GL57" s="463"/>
      <c r="GM57" s="463"/>
      <c r="GN57" s="463"/>
      <c r="GO57" s="463"/>
      <c r="GP57" s="463"/>
      <c r="GQ57" s="463"/>
      <c r="GR57" s="463"/>
      <c r="GS57" s="463"/>
      <c r="GT57" s="463"/>
      <c r="GU57" s="463"/>
      <c r="GV57" s="463"/>
      <c r="GW57" s="463"/>
      <c r="GX57" s="463"/>
      <c r="GY57" s="463"/>
      <c r="GZ57" s="463"/>
      <c r="HA57" s="463"/>
      <c r="HB57" s="463"/>
      <c r="HC57" s="463"/>
      <c r="HD57" s="463"/>
      <c r="HE57" s="463"/>
      <c r="HF57" s="463"/>
      <c r="HG57" s="463"/>
      <c r="HH57" s="463"/>
      <c r="HI57" s="463"/>
      <c r="HJ57" s="463"/>
      <c r="HK57" s="463"/>
      <c r="HL57" s="463"/>
      <c r="HM57" s="463"/>
      <c r="HN57" s="463"/>
      <c r="HO57" s="463"/>
      <c r="HP57" s="463"/>
      <c r="HQ57" s="463"/>
      <c r="HR57" s="463"/>
      <c r="HS57" s="463"/>
      <c r="HT57" s="463"/>
      <c r="HU57" s="463"/>
      <c r="HV57" s="463"/>
      <c r="HW57" s="463"/>
      <c r="HX57" s="463"/>
      <c r="HY57" s="463"/>
      <c r="HZ57" s="463"/>
      <c r="IA57" s="463"/>
      <c r="IB57" s="463"/>
      <c r="IC57" s="463"/>
      <c r="ID57" s="463"/>
      <c r="IE57" s="463"/>
      <c r="IF57" s="463"/>
      <c r="IG57" s="463"/>
      <c r="IH57" s="463"/>
      <c r="II57" s="463"/>
      <c r="IJ57" s="463"/>
      <c r="IK57" s="463"/>
      <c r="IL57" s="463"/>
      <c r="IM57" s="463"/>
      <c r="IN57" s="463"/>
      <c r="IO57" s="463"/>
      <c r="IP57" s="463"/>
      <c r="IQ57" s="463"/>
      <c r="IR57" s="463"/>
      <c r="IS57" s="463"/>
      <c r="IT57" s="463"/>
      <c r="IU57" s="463"/>
      <c r="IV57" s="463"/>
    </row>
    <row r="58" spans="1:16" ht="36" customHeight="1">
      <c r="A58" s="880">
        <v>50</v>
      </c>
      <c r="B58" s="694"/>
      <c r="C58" s="465">
        <v>25</v>
      </c>
      <c r="D58" s="467" t="s">
        <v>545</v>
      </c>
      <c r="E58" s="475"/>
      <c r="F58" s="869"/>
      <c r="G58" s="476"/>
      <c r="H58" s="1183" t="s">
        <v>24</v>
      </c>
      <c r="I58" s="1201"/>
      <c r="J58" s="1197"/>
      <c r="K58" s="1197"/>
      <c r="L58" s="1197"/>
      <c r="M58" s="1197"/>
      <c r="N58" s="1197"/>
      <c r="O58" s="1166"/>
      <c r="P58" s="870"/>
    </row>
    <row r="59" spans="1:256" s="865" customFormat="1" ht="18" customHeight="1">
      <c r="A59" s="880">
        <v>51</v>
      </c>
      <c r="B59" s="873"/>
      <c r="C59" s="465"/>
      <c r="D59" s="1176" t="s">
        <v>312</v>
      </c>
      <c r="E59" s="475">
        <f>F59+G59+O59+P59+62</f>
        <v>49050</v>
      </c>
      <c r="F59" s="869">
        <v>1176</v>
      </c>
      <c r="G59" s="476">
        <f>23795+13</f>
        <v>23808</v>
      </c>
      <c r="H59" s="1183"/>
      <c r="I59" s="1201"/>
      <c r="J59" s="1197"/>
      <c r="K59" s="1197">
        <f>15925+8079</f>
        <v>24004</v>
      </c>
      <c r="L59" s="1197"/>
      <c r="M59" s="1197"/>
      <c r="N59" s="1197"/>
      <c r="O59" s="1166">
        <f>SUM(I59:N59)</f>
        <v>24004</v>
      </c>
      <c r="P59" s="870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463"/>
      <c r="CE59" s="463"/>
      <c r="CF59" s="463"/>
      <c r="CG59" s="463"/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63"/>
      <c r="CT59" s="463"/>
      <c r="CU59" s="463"/>
      <c r="CV59" s="463"/>
      <c r="CW59" s="463"/>
      <c r="CX59" s="463"/>
      <c r="CY59" s="463"/>
      <c r="CZ59" s="463"/>
      <c r="DA59" s="463"/>
      <c r="DB59" s="463"/>
      <c r="DC59" s="463"/>
      <c r="DD59" s="463"/>
      <c r="DE59" s="463"/>
      <c r="DF59" s="463"/>
      <c r="DG59" s="463"/>
      <c r="DH59" s="463"/>
      <c r="DI59" s="463"/>
      <c r="DJ59" s="463"/>
      <c r="DK59" s="463"/>
      <c r="DL59" s="463"/>
      <c r="DM59" s="463"/>
      <c r="DN59" s="463"/>
      <c r="DO59" s="463"/>
      <c r="DP59" s="463"/>
      <c r="DQ59" s="463"/>
      <c r="DR59" s="463"/>
      <c r="DS59" s="463"/>
      <c r="DT59" s="463"/>
      <c r="DU59" s="463"/>
      <c r="DV59" s="463"/>
      <c r="DW59" s="463"/>
      <c r="DX59" s="463"/>
      <c r="DY59" s="463"/>
      <c r="DZ59" s="463"/>
      <c r="EA59" s="463"/>
      <c r="EB59" s="463"/>
      <c r="EC59" s="463"/>
      <c r="ED59" s="463"/>
      <c r="EE59" s="463"/>
      <c r="EF59" s="463"/>
      <c r="EG59" s="463"/>
      <c r="EH59" s="463"/>
      <c r="EI59" s="463"/>
      <c r="EJ59" s="463"/>
      <c r="EK59" s="463"/>
      <c r="EL59" s="463"/>
      <c r="EM59" s="463"/>
      <c r="EN59" s="463"/>
      <c r="EO59" s="463"/>
      <c r="EP59" s="463"/>
      <c r="EQ59" s="463"/>
      <c r="ER59" s="463"/>
      <c r="ES59" s="463"/>
      <c r="ET59" s="463"/>
      <c r="EU59" s="463"/>
      <c r="EV59" s="463"/>
      <c r="EW59" s="463"/>
      <c r="EX59" s="463"/>
      <c r="EY59" s="463"/>
      <c r="EZ59" s="463"/>
      <c r="FA59" s="463"/>
      <c r="FB59" s="463"/>
      <c r="FC59" s="463"/>
      <c r="FD59" s="463"/>
      <c r="FE59" s="463"/>
      <c r="FF59" s="463"/>
      <c r="FG59" s="463"/>
      <c r="FH59" s="463"/>
      <c r="FI59" s="463"/>
      <c r="FJ59" s="463"/>
      <c r="FK59" s="463"/>
      <c r="FL59" s="463"/>
      <c r="FM59" s="463"/>
      <c r="FN59" s="463"/>
      <c r="FO59" s="463"/>
      <c r="FP59" s="463"/>
      <c r="FQ59" s="463"/>
      <c r="FR59" s="463"/>
      <c r="FS59" s="463"/>
      <c r="FT59" s="463"/>
      <c r="FU59" s="463"/>
      <c r="FV59" s="463"/>
      <c r="FW59" s="463"/>
      <c r="FX59" s="463"/>
      <c r="FY59" s="463"/>
      <c r="FZ59" s="463"/>
      <c r="GA59" s="463"/>
      <c r="GB59" s="463"/>
      <c r="GC59" s="463"/>
      <c r="GD59" s="463"/>
      <c r="GE59" s="463"/>
      <c r="GF59" s="463"/>
      <c r="GG59" s="463"/>
      <c r="GH59" s="463"/>
      <c r="GI59" s="463"/>
      <c r="GJ59" s="463"/>
      <c r="GK59" s="463"/>
      <c r="GL59" s="463"/>
      <c r="GM59" s="463"/>
      <c r="GN59" s="463"/>
      <c r="GO59" s="463"/>
      <c r="GP59" s="463"/>
      <c r="GQ59" s="463"/>
      <c r="GR59" s="463"/>
      <c r="GS59" s="463"/>
      <c r="GT59" s="463"/>
      <c r="GU59" s="463"/>
      <c r="GV59" s="463"/>
      <c r="GW59" s="463"/>
      <c r="GX59" s="463"/>
      <c r="GY59" s="463"/>
      <c r="GZ59" s="463"/>
      <c r="HA59" s="463"/>
      <c r="HB59" s="463"/>
      <c r="HC59" s="463"/>
      <c r="HD59" s="463"/>
      <c r="HE59" s="463"/>
      <c r="HF59" s="463"/>
      <c r="HG59" s="463"/>
      <c r="HH59" s="463"/>
      <c r="HI59" s="463"/>
      <c r="HJ59" s="463"/>
      <c r="HK59" s="463"/>
      <c r="HL59" s="463"/>
      <c r="HM59" s="463"/>
      <c r="HN59" s="463"/>
      <c r="HO59" s="463"/>
      <c r="HP59" s="463"/>
      <c r="HQ59" s="463"/>
      <c r="HR59" s="463"/>
      <c r="HS59" s="463"/>
      <c r="HT59" s="463"/>
      <c r="HU59" s="463"/>
      <c r="HV59" s="463"/>
      <c r="HW59" s="463"/>
      <c r="HX59" s="463"/>
      <c r="HY59" s="463"/>
      <c r="HZ59" s="463"/>
      <c r="IA59" s="463"/>
      <c r="IB59" s="463"/>
      <c r="IC59" s="463"/>
      <c r="ID59" s="463"/>
      <c r="IE59" s="463"/>
      <c r="IF59" s="463"/>
      <c r="IG59" s="463"/>
      <c r="IH59" s="463"/>
      <c r="II59" s="463"/>
      <c r="IJ59" s="463"/>
      <c r="IK59" s="463"/>
      <c r="IL59" s="463"/>
      <c r="IM59" s="463"/>
      <c r="IN59" s="463"/>
      <c r="IO59" s="463"/>
      <c r="IP59" s="463"/>
      <c r="IQ59" s="463"/>
      <c r="IR59" s="463"/>
      <c r="IS59" s="463"/>
      <c r="IT59" s="463"/>
      <c r="IU59" s="463"/>
      <c r="IV59" s="463"/>
    </row>
    <row r="60" spans="1:16" ht="22.5" customHeight="1">
      <c r="A60" s="880">
        <v>52</v>
      </c>
      <c r="B60" s="694"/>
      <c r="C60" s="517">
        <v>26</v>
      </c>
      <c r="D60" s="868" t="s">
        <v>698</v>
      </c>
      <c r="E60" s="475"/>
      <c r="F60" s="869"/>
      <c r="G60" s="476"/>
      <c r="H60" s="1183" t="s">
        <v>24</v>
      </c>
      <c r="I60" s="1201"/>
      <c r="J60" s="1197"/>
      <c r="K60" s="1197"/>
      <c r="L60" s="1197"/>
      <c r="M60" s="1197"/>
      <c r="N60" s="1197"/>
      <c r="O60" s="1166"/>
      <c r="P60" s="870"/>
    </row>
    <row r="61" spans="1:256" s="865" customFormat="1" ht="18" customHeight="1">
      <c r="A61" s="880">
        <v>53</v>
      </c>
      <c r="B61" s="873"/>
      <c r="C61" s="465"/>
      <c r="D61" s="1176" t="s">
        <v>312</v>
      </c>
      <c r="E61" s="475">
        <f>F61+G61+O61+P61</f>
        <v>9039</v>
      </c>
      <c r="F61" s="869">
        <v>7830</v>
      </c>
      <c r="G61" s="476">
        <v>186</v>
      </c>
      <c r="H61" s="1183"/>
      <c r="I61" s="1202"/>
      <c r="J61" s="1196"/>
      <c r="K61" s="1196"/>
      <c r="L61" s="1196">
        <v>1023</v>
      </c>
      <c r="M61" s="1196"/>
      <c r="N61" s="1196"/>
      <c r="O61" s="1166">
        <f>SUM(I61:N61)</f>
        <v>1023</v>
      </c>
      <c r="P61" s="870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  <c r="BT61" s="463"/>
      <c r="BU61" s="463"/>
      <c r="BV61" s="463"/>
      <c r="BW61" s="463"/>
      <c r="BX61" s="463"/>
      <c r="BY61" s="463"/>
      <c r="BZ61" s="463"/>
      <c r="CA61" s="463"/>
      <c r="CB61" s="463"/>
      <c r="CC61" s="463"/>
      <c r="CD61" s="463"/>
      <c r="CE61" s="463"/>
      <c r="CF61" s="463"/>
      <c r="CG61" s="463"/>
      <c r="CH61" s="463"/>
      <c r="CI61" s="463"/>
      <c r="CJ61" s="463"/>
      <c r="CK61" s="463"/>
      <c r="CL61" s="463"/>
      <c r="CM61" s="463"/>
      <c r="CN61" s="463"/>
      <c r="CO61" s="463"/>
      <c r="CP61" s="463"/>
      <c r="CQ61" s="463"/>
      <c r="CR61" s="463"/>
      <c r="CS61" s="463"/>
      <c r="CT61" s="463"/>
      <c r="CU61" s="463"/>
      <c r="CV61" s="463"/>
      <c r="CW61" s="463"/>
      <c r="CX61" s="463"/>
      <c r="CY61" s="463"/>
      <c r="CZ61" s="463"/>
      <c r="DA61" s="463"/>
      <c r="DB61" s="463"/>
      <c r="DC61" s="463"/>
      <c r="DD61" s="463"/>
      <c r="DE61" s="463"/>
      <c r="DF61" s="463"/>
      <c r="DG61" s="463"/>
      <c r="DH61" s="463"/>
      <c r="DI61" s="463"/>
      <c r="DJ61" s="463"/>
      <c r="DK61" s="463"/>
      <c r="DL61" s="463"/>
      <c r="DM61" s="463"/>
      <c r="DN61" s="463"/>
      <c r="DO61" s="463"/>
      <c r="DP61" s="463"/>
      <c r="DQ61" s="463"/>
      <c r="DR61" s="463"/>
      <c r="DS61" s="463"/>
      <c r="DT61" s="463"/>
      <c r="DU61" s="463"/>
      <c r="DV61" s="463"/>
      <c r="DW61" s="463"/>
      <c r="DX61" s="463"/>
      <c r="DY61" s="463"/>
      <c r="DZ61" s="463"/>
      <c r="EA61" s="463"/>
      <c r="EB61" s="463"/>
      <c r="EC61" s="463"/>
      <c r="ED61" s="463"/>
      <c r="EE61" s="463"/>
      <c r="EF61" s="463"/>
      <c r="EG61" s="463"/>
      <c r="EH61" s="463"/>
      <c r="EI61" s="463"/>
      <c r="EJ61" s="463"/>
      <c r="EK61" s="463"/>
      <c r="EL61" s="463"/>
      <c r="EM61" s="463"/>
      <c r="EN61" s="463"/>
      <c r="EO61" s="463"/>
      <c r="EP61" s="463"/>
      <c r="EQ61" s="463"/>
      <c r="ER61" s="463"/>
      <c r="ES61" s="463"/>
      <c r="ET61" s="463"/>
      <c r="EU61" s="463"/>
      <c r="EV61" s="463"/>
      <c r="EW61" s="463"/>
      <c r="EX61" s="463"/>
      <c r="EY61" s="463"/>
      <c r="EZ61" s="463"/>
      <c r="FA61" s="463"/>
      <c r="FB61" s="463"/>
      <c r="FC61" s="463"/>
      <c r="FD61" s="463"/>
      <c r="FE61" s="463"/>
      <c r="FF61" s="463"/>
      <c r="FG61" s="463"/>
      <c r="FH61" s="463"/>
      <c r="FI61" s="463"/>
      <c r="FJ61" s="463"/>
      <c r="FK61" s="463"/>
      <c r="FL61" s="463"/>
      <c r="FM61" s="463"/>
      <c r="FN61" s="463"/>
      <c r="FO61" s="463"/>
      <c r="FP61" s="463"/>
      <c r="FQ61" s="463"/>
      <c r="FR61" s="463"/>
      <c r="FS61" s="463"/>
      <c r="FT61" s="463"/>
      <c r="FU61" s="463"/>
      <c r="FV61" s="463"/>
      <c r="FW61" s="463"/>
      <c r="FX61" s="463"/>
      <c r="FY61" s="463"/>
      <c r="FZ61" s="463"/>
      <c r="GA61" s="463"/>
      <c r="GB61" s="463"/>
      <c r="GC61" s="463"/>
      <c r="GD61" s="463"/>
      <c r="GE61" s="463"/>
      <c r="GF61" s="463"/>
      <c r="GG61" s="463"/>
      <c r="GH61" s="463"/>
      <c r="GI61" s="463"/>
      <c r="GJ61" s="463"/>
      <c r="GK61" s="463"/>
      <c r="GL61" s="463"/>
      <c r="GM61" s="463"/>
      <c r="GN61" s="463"/>
      <c r="GO61" s="463"/>
      <c r="GP61" s="463"/>
      <c r="GQ61" s="463"/>
      <c r="GR61" s="463"/>
      <c r="GS61" s="463"/>
      <c r="GT61" s="463"/>
      <c r="GU61" s="463"/>
      <c r="GV61" s="463"/>
      <c r="GW61" s="463"/>
      <c r="GX61" s="463"/>
      <c r="GY61" s="463"/>
      <c r="GZ61" s="463"/>
      <c r="HA61" s="463"/>
      <c r="HB61" s="463"/>
      <c r="HC61" s="463"/>
      <c r="HD61" s="463"/>
      <c r="HE61" s="463"/>
      <c r="HF61" s="463"/>
      <c r="HG61" s="463"/>
      <c r="HH61" s="463"/>
      <c r="HI61" s="463"/>
      <c r="HJ61" s="463"/>
      <c r="HK61" s="463"/>
      <c r="HL61" s="463"/>
      <c r="HM61" s="463"/>
      <c r="HN61" s="463"/>
      <c r="HO61" s="463"/>
      <c r="HP61" s="463"/>
      <c r="HQ61" s="463"/>
      <c r="HR61" s="463"/>
      <c r="HS61" s="463"/>
      <c r="HT61" s="463"/>
      <c r="HU61" s="463"/>
      <c r="HV61" s="463"/>
      <c r="HW61" s="463"/>
      <c r="HX61" s="463"/>
      <c r="HY61" s="463"/>
      <c r="HZ61" s="463"/>
      <c r="IA61" s="463"/>
      <c r="IB61" s="463"/>
      <c r="IC61" s="463"/>
      <c r="ID61" s="463"/>
      <c r="IE61" s="463"/>
      <c r="IF61" s="463"/>
      <c r="IG61" s="463"/>
      <c r="IH61" s="463"/>
      <c r="II61" s="463"/>
      <c r="IJ61" s="463"/>
      <c r="IK61" s="463"/>
      <c r="IL61" s="463"/>
      <c r="IM61" s="463"/>
      <c r="IN61" s="463"/>
      <c r="IO61" s="463"/>
      <c r="IP61" s="463"/>
      <c r="IQ61" s="463"/>
      <c r="IR61" s="463"/>
      <c r="IS61" s="463"/>
      <c r="IT61" s="463"/>
      <c r="IU61" s="463"/>
      <c r="IV61" s="463"/>
    </row>
    <row r="62" spans="1:16" ht="22.5" customHeight="1">
      <c r="A62" s="880">
        <v>54</v>
      </c>
      <c r="B62" s="694"/>
      <c r="C62" s="517">
        <v>27</v>
      </c>
      <c r="D62" s="876" t="s">
        <v>709</v>
      </c>
      <c r="E62" s="475"/>
      <c r="F62" s="475"/>
      <c r="G62" s="476"/>
      <c r="H62" s="1183" t="s">
        <v>24</v>
      </c>
      <c r="I62" s="1202"/>
      <c r="J62" s="1196"/>
      <c r="K62" s="1196"/>
      <c r="L62" s="1196"/>
      <c r="M62" s="1196"/>
      <c r="N62" s="1196"/>
      <c r="O62" s="1203"/>
      <c r="P62" s="870"/>
    </row>
    <row r="63" spans="1:16" ht="18" customHeight="1">
      <c r="A63" s="880">
        <v>55</v>
      </c>
      <c r="B63" s="694"/>
      <c r="C63" s="517"/>
      <c r="D63" s="1176" t="s">
        <v>312</v>
      </c>
      <c r="E63" s="475">
        <f>F63+G63+O63+P63+327</f>
        <v>28307</v>
      </c>
      <c r="F63" s="475"/>
      <c r="G63" s="476">
        <f>6715+1684</f>
        <v>8399</v>
      </c>
      <c r="H63" s="1183"/>
      <c r="I63" s="1202">
        <v>254</v>
      </c>
      <c r="J63" s="1196">
        <v>96</v>
      </c>
      <c r="K63" s="1196">
        <f>18397+834</f>
        <v>19231</v>
      </c>
      <c r="L63" s="1196"/>
      <c r="M63" s="1196"/>
      <c r="N63" s="1196"/>
      <c r="O63" s="1166">
        <f>SUM(I63:N63)</f>
        <v>19581</v>
      </c>
      <c r="P63" s="870"/>
    </row>
    <row r="64" spans="1:16" ht="22.5" customHeight="1">
      <c r="A64" s="880">
        <v>56</v>
      </c>
      <c r="B64" s="694"/>
      <c r="C64" s="517">
        <v>28</v>
      </c>
      <c r="D64" s="876" t="s">
        <v>710</v>
      </c>
      <c r="E64" s="475"/>
      <c r="F64" s="475"/>
      <c r="G64" s="476"/>
      <c r="H64" s="1183" t="s">
        <v>24</v>
      </c>
      <c r="I64" s="1202"/>
      <c r="J64" s="1196"/>
      <c r="K64" s="1196"/>
      <c r="L64" s="1196"/>
      <c r="M64" s="1196"/>
      <c r="N64" s="1196"/>
      <c r="O64" s="1203"/>
      <c r="P64" s="870"/>
    </row>
    <row r="65" spans="1:16" ht="18" customHeight="1">
      <c r="A65" s="880">
        <v>57</v>
      </c>
      <c r="B65" s="694"/>
      <c r="C65" s="517"/>
      <c r="D65" s="1176" t="s">
        <v>312</v>
      </c>
      <c r="E65" s="475">
        <f>F65+G65+O65+P65</f>
        <v>53158</v>
      </c>
      <c r="F65" s="475"/>
      <c r="G65" s="476"/>
      <c r="H65" s="1183"/>
      <c r="I65" s="1202"/>
      <c r="J65" s="1196"/>
      <c r="K65" s="1196">
        <v>13749</v>
      </c>
      <c r="L65" s="1196"/>
      <c r="M65" s="1196"/>
      <c r="N65" s="1196"/>
      <c r="O65" s="1166">
        <f>SUM(I65:N65)</f>
        <v>13749</v>
      </c>
      <c r="P65" s="870">
        <v>39409</v>
      </c>
    </row>
    <row r="66" spans="1:16" ht="22.5" customHeight="1">
      <c r="A66" s="880">
        <v>58</v>
      </c>
      <c r="B66" s="694"/>
      <c r="C66" s="517">
        <v>29</v>
      </c>
      <c r="D66" s="876" t="s">
        <v>711</v>
      </c>
      <c r="E66" s="475"/>
      <c r="F66" s="475"/>
      <c r="G66" s="476"/>
      <c r="H66" s="1183" t="s">
        <v>24</v>
      </c>
      <c r="I66" s="1202"/>
      <c r="J66" s="1196"/>
      <c r="K66" s="1196"/>
      <c r="L66" s="1196"/>
      <c r="M66" s="1196"/>
      <c r="N66" s="1196"/>
      <c r="O66" s="1203"/>
      <c r="P66" s="870"/>
    </row>
    <row r="67" spans="1:16" ht="18" customHeight="1">
      <c r="A67" s="880">
        <v>59</v>
      </c>
      <c r="B67" s="694"/>
      <c r="C67" s="517"/>
      <c r="D67" s="1176" t="s">
        <v>312</v>
      </c>
      <c r="E67" s="475">
        <f>F67+G67+O67+P67</f>
        <v>3071</v>
      </c>
      <c r="F67" s="475"/>
      <c r="G67" s="476"/>
      <c r="H67" s="1183"/>
      <c r="I67" s="1202"/>
      <c r="J67" s="1196"/>
      <c r="K67" s="1196">
        <v>3071</v>
      </c>
      <c r="L67" s="1196"/>
      <c r="M67" s="1196"/>
      <c r="N67" s="1196"/>
      <c r="O67" s="1166">
        <f>SUM(I67:N67)</f>
        <v>3071</v>
      </c>
      <c r="P67" s="870"/>
    </row>
    <row r="68" spans="1:16" ht="22.5" customHeight="1">
      <c r="A68" s="880">
        <v>60</v>
      </c>
      <c r="B68" s="694"/>
      <c r="C68" s="517">
        <v>30</v>
      </c>
      <c r="D68" s="876" t="s">
        <v>712</v>
      </c>
      <c r="E68" s="475"/>
      <c r="F68" s="475"/>
      <c r="G68" s="476"/>
      <c r="H68" s="1183" t="s">
        <v>24</v>
      </c>
      <c r="I68" s="1202"/>
      <c r="J68" s="1196"/>
      <c r="K68" s="1196"/>
      <c r="L68" s="1196"/>
      <c r="M68" s="1196"/>
      <c r="N68" s="1196"/>
      <c r="O68" s="1203"/>
      <c r="P68" s="870"/>
    </row>
    <row r="69" spans="1:16" ht="18" customHeight="1">
      <c r="A69" s="880">
        <v>61</v>
      </c>
      <c r="B69" s="694"/>
      <c r="C69" s="517"/>
      <c r="D69" s="1176" t="s">
        <v>312</v>
      </c>
      <c r="E69" s="475">
        <f>F69+G69+O69+P69</f>
        <v>42790</v>
      </c>
      <c r="F69" s="475"/>
      <c r="G69" s="476"/>
      <c r="H69" s="1183"/>
      <c r="I69" s="1202"/>
      <c r="J69" s="1196"/>
      <c r="K69" s="1196">
        <v>17116</v>
      </c>
      <c r="L69" s="1196"/>
      <c r="M69" s="1196"/>
      <c r="N69" s="1196"/>
      <c r="O69" s="1166">
        <f>SUM(I69:N69)</f>
        <v>17116</v>
      </c>
      <c r="P69" s="870">
        <v>25674</v>
      </c>
    </row>
    <row r="70" spans="1:16" ht="22.5" customHeight="1">
      <c r="A70" s="880">
        <v>62</v>
      </c>
      <c r="B70" s="694"/>
      <c r="C70" s="517">
        <v>31</v>
      </c>
      <c r="D70" s="876" t="s">
        <v>713</v>
      </c>
      <c r="E70" s="475"/>
      <c r="F70" s="475"/>
      <c r="G70" s="476"/>
      <c r="H70" s="1183" t="s">
        <v>24</v>
      </c>
      <c r="I70" s="1202"/>
      <c r="J70" s="1196"/>
      <c r="K70" s="1196"/>
      <c r="L70" s="1196"/>
      <c r="M70" s="1196"/>
      <c r="N70" s="1196"/>
      <c r="O70" s="1203"/>
      <c r="P70" s="870"/>
    </row>
    <row r="71" spans="1:16" ht="18" customHeight="1">
      <c r="A71" s="880">
        <v>63</v>
      </c>
      <c r="B71" s="694"/>
      <c r="C71" s="517"/>
      <c r="D71" s="1176" t="s">
        <v>312</v>
      </c>
      <c r="E71" s="475">
        <f>F71+G71+O71+P71</f>
        <v>33863</v>
      </c>
      <c r="F71" s="475"/>
      <c r="G71" s="476"/>
      <c r="H71" s="1183"/>
      <c r="I71" s="1202"/>
      <c r="J71" s="1196"/>
      <c r="K71" s="1196"/>
      <c r="L71" s="1196"/>
      <c r="M71" s="1196">
        <v>33863</v>
      </c>
      <c r="N71" s="1196"/>
      <c r="O71" s="1166">
        <f>SUM(I71:N71)</f>
        <v>33863</v>
      </c>
      <c r="P71" s="870"/>
    </row>
    <row r="72" spans="1:16" ht="53.25" customHeight="1">
      <c r="A72" s="880">
        <v>64</v>
      </c>
      <c r="B72" s="694"/>
      <c r="C72" s="465">
        <v>32</v>
      </c>
      <c r="D72" s="1205" t="s">
        <v>714</v>
      </c>
      <c r="E72" s="475"/>
      <c r="F72" s="475"/>
      <c r="G72" s="476"/>
      <c r="H72" s="1183" t="s">
        <v>24</v>
      </c>
      <c r="I72" s="1202"/>
      <c r="J72" s="1196"/>
      <c r="K72" s="1196"/>
      <c r="L72" s="1196"/>
      <c r="M72" s="1196"/>
      <c r="N72" s="1196"/>
      <c r="O72" s="1203"/>
      <c r="P72" s="870"/>
    </row>
    <row r="73" spans="1:16" ht="18" customHeight="1">
      <c r="A73" s="880">
        <v>65</v>
      </c>
      <c r="B73" s="694"/>
      <c r="C73" s="517"/>
      <c r="D73" s="1176" t="s">
        <v>312</v>
      </c>
      <c r="E73" s="475">
        <f>F73+G73+O73+P73</f>
        <v>19985</v>
      </c>
      <c r="F73" s="475"/>
      <c r="G73" s="476"/>
      <c r="H73" s="1183"/>
      <c r="I73" s="1202"/>
      <c r="J73" s="1196"/>
      <c r="K73" s="1196">
        <v>19985</v>
      </c>
      <c r="L73" s="1196"/>
      <c r="M73" s="1196"/>
      <c r="N73" s="1196"/>
      <c r="O73" s="1166">
        <f>SUM(I73:N73)</f>
        <v>19985</v>
      </c>
      <c r="P73" s="870"/>
    </row>
    <row r="74" spans="1:16" ht="22.5" customHeight="1">
      <c r="A74" s="880">
        <v>66</v>
      </c>
      <c r="B74" s="694"/>
      <c r="C74" s="517">
        <v>33</v>
      </c>
      <c r="D74" s="1221" t="s">
        <v>715</v>
      </c>
      <c r="E74" s="475"/>
      <c r="F74" s="475"/>
      <c r="G74" s="476"/>
      <c r="H74" s="1183" t="s">
        <v>24</v>
      </c>
      <c r="I74" s="1202"/>
      <c r="J74" s="1196"/>
      <c r="K74" s="1196"/>
      <c r="L74" s="1196"/>
      <c r="M74" s="1196"/>
      <c r="N74" s="1196"/>
      <c r="O74" s="1203"/>
      <c r="P74" s="870"/>
    </row>
    <row r="75" spans="1:16" ht="18" customHeight="1">
      <c r="A75" s="880">
        <v>67</v>
      </c>
      <c r="B75" s="694"/>
      <c r="C75" s="517"/>
      <c r="D75" s="1176" t="s">
        <v>312</v>
      </c>
      <c r="E75" s="475">
        <f>F75+G75+O75+P75</f>
        <v>157500</v>
      </c>
      <c r="F75" s="475"/>
      <c r="G75" s="476"/>
      <c r="H75" s="1183"/>
      <c r="I75" s="1202"/>
      <c r="J75" s="1196"/>
      <c r="K75" s="1196">
        <v>52500</v>
      </c>
      <c r="L75" s="1196"/>
      <c r="M75" s="1196"/>
      <c r="N75" s="1196"/>
      <c r="O75" s="1166">
        <f>SUM(I75:N75)</f>
        <v>52500</v>
      </c>
      <c r="P75" s="870">
        <v>105000</v>
      </c>
    </row>
    <row r="76" spans="1:16" ht="22.5" customHeight="1">
      <c r="A76" s="880">
        <v>68</v>
      </c>
      <c r="B76" s="694"/>
      <c r="C76" s="517">
        <v>34</v>
      </c>
      <c r="D76" s="466" t="s">
        <v>717</v>
      </c>
      <c r="E76" s="475"/>
      <c r="F76" s="475"/>
      <c r="G76" s="476"/>
      <c r="H76" s="1183" t="s">
        <v>24</v>
      </c>
      <c r="I76" s="1202"/>
      <c r="J76" s="1196"/>
      <c r="K76" s="1196"/>
      <c r="L76" s="1196"/>
      <c r="M76" s="1196"/>
      <c r="N76" s="1196"/>
      <c r="O76" s="1203"/>
      <c r="P76" s="870"/>
    </row>
    <row r="77" spans="1:16" ht="18" customHeight="1">
      <c r="A77" s="880">
        <v>69</v>
      </c>
      <c r="B77" s="694"/>
      <c r="C77" s="517"/>
      <c r="D77" s="1176" t="s">
        <v>312</v>
      </c>
      <c r="E77" s="475">
        <f>F77+G77+O77+P77</f>
        <v>150</v>
      </c>
      <c r="F77" s="475"/>
      <c r="G77" s="476"/>
      <c r="H77" s="1183"/>
      <c r="I77" s="1202"/>
      <c r="J77" s="1196"/>
      <c r="K77" s="1196">
        <v>150</v>
      </c>
      <c r="L77" s="1196"/>
      <c r="M77" s="1196"/>
      <c r="N77" s="1196"/>
      <c r="O77" s="1166">
        <f>SUM(I77:N77)</f>
        <v>150</v>
      </c>
      <c r="P77" s="870"/>
    </row>
    <row r="78" spans="1:256" s="865" customFormat="1" ht="37.5" customHeight="1">
      <c r="A78" s="880">
        <v>70</v>
      </c>
      <c r="B78" s="873"/>
      <c r="C78" s="465">
        <v>35</v>
      </c>
      <c r="D78" s="466" t="s">
        <v>473</v>
      </c>
      <c r="E78" s="475"/>
      <c r="F78" s="475"/>
      <c r="G78" s="476"/>
      <c r="H78" s="1183" t="s">
        <v>24</v>
      </c>
      <c r="I78" s="1202"/>
      <c r="J78" s="1196"/>
      <c r="K78" s="1196"/>
      <c r="L78" s="1196"/>
      <c r="M78" s="1196"/>
      <c r="N78" s="1196"/>
      <c r="O78" s="1166"/>
      <c r="P78" s="870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463"/>
      <c r="CA78" s="463"/>
      <c r="CB78" s="463"/>
      <c r="CC78" s="463"/>
      <c r="CD78" s="463"/>
      <c r="CE78" s="463"/>
      <c r="CF78" s="463"/>
      <c r="CG78" s="463"/>
      <c r="CH78" s="463"/>
      <c r="CI78" s="463"/>
      <c r="CJ78" s="463"/>
      <c r="CK78" s="463"/>
      <c r="CL78" s="463"/>
      <c r="CM78" s="463"/>
      <c r="CN78" s="463"/>
      <c r="CO78" s="463"/>
      <c r="CP78" s="463"/>
      <c r="CQ78" s="463"/>
      <c r="CR78" s="463"/>
      <c r="CS78" s="463"/>
      <c r="CT78" s="463"/>
      <c r="CU78" s="463"/>
      <c r="CV78" s="463"/>
      <c r="CW78" s="463"/>
      <c r="CX78" s="463"/>
      <c r="CY78" s="463"/>
      <c r="CZ78" s="463"/>
      <c r="DA78" s="463"/>
      <c r="DB78" s="463"/>
      <c r="DC78" s="463"/>
      <c r="DD78" s="463"/>
      <c r="DE78" s="463"/>
      <c r="DF78" s="463"/>
      <c r="DG78" s="463"/>
      <c r="DH78" s="463"/>
      <c r="DI78" s="463"/>
      <c r="DJ78" s="463"/>
      <c r="DK78" s="463"/>
      <c r="DL78" s="463"/>
      <c r="DM78" s="463"/>
      <c r="DN78" s="463"/>
      <c r="DO78" s="463"/>
      <c r="DP78" s="463"/>
      <c r="DQ78" s="463"/>
      <c r="DR78" s="463"/>
      <c r="DS78" s="463"/>
      <c r="DT78" s="463"/>
      <c r="DU78" s="463"/>
      <c r="DV78" s="463"/>
      <c r="DW78" s="463"/>
      <c r="DX78" s="463"/>
      <c r="DY78" s="463"/>
      <c r="DZ78" s="463"/>
      <c r="EA78" s="463"/>
      <c r="EB78" s="463"/>
      <c r="EC78" s="463"/>
      <c r="ED78" s="463"/>
      <c r="EE78" s="463"/>
      <c r="EF78" s="463"/>
      <c r="EG78" s="463"/>
      <c r="EH78" s="463"/>
      <c r="EI78" s="463"/>
      <c r="EJ78" s="463"/>
      <c r="EK78" s="463"/>
      <c r="EL78" s="463"/>
      <c r="EM78" s="463"/>
      <c r="EN78" s="463"/>
      <c r="EO78" s="463"/>
      <c r="EP78" s="463"/>
      <c r="EQ78" s="463"/>
      <c r="ER78" s="463"/>
      <c r="ES78" s="463"/>
      <c r="ET78" s="463"/>
      <c r="EU78" s="463"/>
      <c r="EV78" s="463"/>
      <c r="EW78" s="463"/>
      <c r="EX78" s="463"/>
      <c r="EY78" s="463"/>
      <c r="EZ78" s="463"/>
      <c r="FA78" s="463"/>
      <c r="FB78" s="463"/>
      <c r="FC78" s="463"/>
      <c r="FD78" s="463"/>
      <c r="FE78" s="463"/>
      <c r="FF78" s="463"/>
      <c r="FG78" s="463"/>
      <c r="FH78" s="463"/>
      <c r="FI78" s="463"/>
      <c r="FJ78" s="463"/>
      <c r="FK78" s="463"/>
      <c r="FL78" s="463"/>
      <c r="FM78" s="463"/>
      <c r="FN78" s="463"/>
      <c r="FO78" s="463"/>
      <c r="FP78" s="463"/>
      <c r="FQ78" s="463"/>
      <c r="FR78" s="463"/>
      <c r="FS78" s="463"/>
      <c r="FT78" s="463"/>
      <c r="FU78" s="463"/>
      <c r="FV78" s="463"/>
      <c r="FW78" s="463"/>
      <c r="FX78" s="463"/>
      <c r="FY78" s="463"/>
      <c r="FZ78" s="463"/>
      <c r="GA78" s="463"/>
      <c r="GB78" s="463"/>
      <c r="GC78" s="463"/>
      <c r="GD78" s="463"/>
      <c r="GE78" s="463"/>
      <c r="GF78" s="463"/>
      <c r="GG78" s="463"/>
      <c r="GH78" s="463"/>
      <c r="GI78" s="463"/>
      <c r="GJ78" s="463"/>
      <c r="GK78" s="463"/>
      <c r="GL78" s="463"/>
      <c r="GM78" s="463"/>
      <c r="GN78" s="463"/>
      <c r="GO78" s="463"/>
      <c r="GP78" s="463"/>
      <c r="GQ78" s="463"/>
      <c r="GR78" s="463"/>
      <c r="GS78" s="463"/>
      <c r="GT78" s="463"/>
      <c r="GU78" s="463"/>
      <c r="GV78" s="463"/>
      <c r="GW78" s="463"/>
      <c r="GX78" s="463"/>
      <c r="GY78" s="463"/>
      <c r="GZ78" s="463"/>
      <c r="HA78" s="463"/>
      <c r="HB78" s="463"/>
      <c r="HC78" s="463"/>
      <c r="HD78" s="463"/>
      <c r="HE78" s="463"/>
      <c r="HF78" s="463"/>
      <c r="HG78" s="463"/>
      <c r="HH78" s="463"/>
      <c r="HI78" s="463"/>
      <c r="HJ78" s="463"/>
      <c r="HK78" s="463"/>
      <c r="HL78" s="463"/>
      <c r="HM78" s="463"/>
      <c r="HN78" s="463"/>
      <c r="HO78" s="463"/>
      <c r="HP78" s="463"/>
      <c r="HQ78" s="463"/>
      <c r="HR78" s="463"/>
      <c r="HS78" s="463"/>
      <c r="HT78" s="463"/>
      <c r="HU78" s="463"/>
      <c r="HV78" s="463"/>
      <c r="HW78" s="463"/>
      <c r="HX78" s="463"/>
      <c r="HY78" s="463"/>
      <c r="HZ78" s="463"/>
      <c r="IA78" s="463"/>
      <c r="IB78" s="463"/>
      <c r="IC78" s="463"/>
      <c r="ID78" s="463"/>
      <c r="IE78" s="463"/>
      <c r="IF78" s="463"/>
      <c r="IG78" s="463"/>
      <c r="IH78" s="463"/>
      <c r="II78" s="463"/>
      <c r="IJ78" s="463"/>
      <c r="IK78" s="463"/>
      <c r="IL78" s="463"/>
      <c r="IM78" s="463"/>
      <c r="IN78" s="463"/>
      <c r="IO78" s="463"/>
      <c r="IP78" s="463"/>
      <c r="IQ78" s="463"/>
      <c r="IR78" s="463"/>
      <c r="IS78" s="463"/>
      <c r="IT78" s="463"/>
      <c r="IU78" s="463"/>
      <c r="IV78" s="463"/>
    </row>
    <row r="79" spans="1:256" s="865" customFormat="1" ht="18" customHeight="1">
      <c r="A79" s="880">
        <v>71</v>
      </c>
      <c r="B79" s="873"/>
      <c r="C79" s="465"/>
      <c r="D79" s="1176" t="s">
        <v>312</v>
      </c>
      <c r="E79" s="475">
        <f>F79+G79+O79+P79</f>
        <v>6434</v>
      </c>
      <c r="F79" s="475">
        <v>1582</v>
      </c>
      <c r="G79" s="476">
        <f>2107+2506</f>
        <v>4613</v>
      </c>
      <c r="H79" s="1183"/>
      <c r="I79" s="1202"/>
      <c r="J79" s="1196"/>
      <c r="K79" s="1196">
        <v>239</v>
      </c>
      <c r="L79" s="1196"/>
      <c r="M79" s="1196"/>
      <c r="N79" s="1196"/>
      <c r="O79" s="1166">
        <f>SUM(I79:N79)</f>
        <v>239</v>
      </c>
      <c r="P79" s="870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3"/>
      <c r="CA79" s="463"/>
      <c r="CB79" s="463"/>
      <c r="CC79" s="463"/>
      <c r="CD79" s="463"/>
      <c r="CE79" s="463"/>
      <c r="CF79" s="463"/>
      <c r="CG79" s="463"/>
      <c r="CH79" s="463"/>
      <c r="CI79" s="463"/>
      <c r="CJ79" s="463"/>
      <c r="CK79" s="463"/>
      <c r="CL79" s="463"/>
      <c r="CM79" s="463"/>
      <c r="CN79" s="463"/>
      <c r="CO79" s="463"/>
      <c r="CP79" s="463"/>
      <c r="CQ79" s="463"/>
      <c r="CR79" s="463"/>
      <c r="CS79" s="463"/>
      <c r="CT79" s="463"/>
      <c r="CU79" s="463"/>
      <c r="CV79" s="463"/>
      <c r="CW79" s="463"/>
      <c r="CX79" s="463"/>
      <c r="CY79" s="463"/>
      <c r="CZ79" s="463"/>
      <c r="DA79" s="463"/>
      <c r="DB79" s="463"/>
      <c r="DC79" s="463"/>
      <c r="DD79" s="463"/>
      <c r="DE79" s="463"/>
      <c r="DF79" s="463"/>
      <c r="DG79" s="463"/>
      <c r="DH79" s="463"/>
      <c r="DI79" s="463"/>
      <c r="DJ79" s="463"/>
      <c r="DK79" s="463"/>
      <c r="DL79" s="463"/>
      <c r="DM79" s="463"/>
      <c r="DN79" s="463"/>
      <c r="DO79" s="463"/>
      <c r="DP79" s="463"/>
      <c r="DQ79" s="463"/>
      <c r="DR79" s="463"/>
      <c r="DS79" s="463"/>
      <c r="DT79" s="463"/>
      <c r="DU79" s="463"/>
      <c r="DV79" s="463"/>
      <c r="DW79" s="463"/>
      <c r="DX79" s="463"/>
      <c r="DY79" s="463"/>
      <c r="DZ79" s="463"/>
      <c r="EA79" s="463"/>
      <c r="EB79" s="463"/>
      <c r="EC79" s="463"/>
      <c r="ED79" s="463"/>
      <c r="EE79" s="463"/>
      <c r="EF79" s="463"/>
      <c r="EG79" s="463"/>
      <c r="EH79" s="463"/>
      <c r="EI79" s="463"/>
      <c r="EJ79" s="463"/>
      <c r="EK79" s="463"/>
      <c r="EL79" s="463"/>
      <c r="EM79" s="463"/>
      <c r="EN79" s="463"/>
      <c r="EO79" s="463"/>
      <c r="EP79" s="463"/>
      <c r="EQ79" s="463"/>
      <c r="ER79" s="463"/>
      <c r="ES79" s="463"/>
      <c r="ET79" s="463"/>
      <c r="EU79" s="463"/>
      <c r="EV79" s="463"/>
      <c r="EW79" s="463"/>
      <c r="EX79" s="463"/>
      <c r="EY79" s="463"/>
      <c r="EZ79" s="463"/>
      <c r="FA79" s="463"/>
      <c r="FB79" s="463"/>
      <c r="FC79" s="463"/>
      <c r="FD79" s="463"/>
      <c r="FE79" s="463"/>
      <c r="FF79" s="463"/>
      <c r="FG79" s="463"/>
      <c r="FH79" s="463"/>
      <c r="FI79" s="463"/>
      <c r="FJ79" s="463"/>
      <c r="FK79" s="463"/>
      <c r="FL79" s="463"/>
      <c r="FM79" s="463"/>
      <c r="FN79" s="463"/>
      <c r="FO79" s="463"/>
      <c r="FP79" s="463"/>
      <c r="FQ79" s="463"/>
      <c r="FR79" s="463"/>
      <c r="FS79" s="463"/>
      <c r="FT79" s="463"/>
      <c r="FU79" s="463"/>
      <c r="FV79" s="463"/>
      <c r="FW79" s="463"/>
      <c r="FX79" s="463"/>
      <c r="FY79" s="463"/>
      <c r="FZ79" s="463"/>
      <c r="GA79" s="463"/>
      <c r="GB79" s="463"/>
      <c r="GC79" s="463"/>
      <c r="GD79" s="463"/>
      <c r="GE79" s="463"/>
      <c r="GF79" s="463"/>
      <c r="GG79" s="463"/>
      <c r="GH79" s="463"/>
      <c r="GI79" s="463"/>
      <c r="GJ79" s="463"/>
      <c r="GK79" s="463"/>
      <c r="GL79" s="463"/>
      <c r="GM79" s="463"/>
      <c r="GN79" s="463"/>
      <c r="GO79" s="463"/>
      <c r="GP79" s="463"/>
      <c r="GQ79" s="463"/>
      <c r="GR79" s="463"/>
      <c r="GS79" s="463"/>
      <c r="GT79" s="463"/>
      <c r="GU79" s="463"/>
      <c r="GV79" s="463"/>
      <c r="GW79" s="463"/>
      <c r="GX79" s="463"/>
      <c r="GY79" s="463"/>
      <c r="GZ79" s="463"/>
      <c r="HA79" s="463"/>
      <c r="HB79" s="463"/>
      <c r="HC79" s="463"/>
      <c r="HD79" s="463"/>
      <c r="HE79" s="463"/>
      <c r="HF79" s="463"/>
      <c r="HG79" s="463"/>
      <c r="HH79" s="463"/>
      <c r="HI79" s="463"/>
      <c r="HJ79" s="463"/>
      <c r="HK79" s="463"/>
      <c r="HL79" s="463"/>
      <c r="HM79" s="463"/>
      <c r="HN79" s="463"/>
      <c r="HO79" s="463"/>
      <c r="HP79" s="463"/>
      <c r="HQ79" s="463"/>
      <c r="HR79" s="463"/>
      <c r="HS79" s="463"/>
      <c r="HT79" s="463"/>
      <c r="HU79" s="463"/>
      <c r="HV79" s="463"/>
      <c r="HW79" s="463"/>
      <c r="HX79" s="463"/>
      <c r="HY79" s="463"/>
      <c r="HZ79" s="463"/>
      <c r="IA79" s="463"/>
      <c r="IB79" s="463"/>
      <c r="IC79" s="463"/>
      <c r="ID79" s="463"/>
      <c r="IE79" s="463"/>
      <c r="IF79" s="463"/>
      <c r="IG79" s="463"/>
      <c r="IH79" s="463"/>
      <c r="II79" s="463"/>
      <c r="IJ79" s="463"/>
      <c r="IK79" s="463"/>
      <c r="IL79" s="463"/>
      <c r="IM79" s="463"/>
      <c r="IN79" s="463"/>
      <c r="IO79" s="463"/>
      <c r="IP79" s="463"/>
      <c r="IQ79" s="463"/>
      <c r="IR79" s="463"/>
      <c r="IS79" s="463"/>
      <c r="IT79" s="463"/>
      <c r="IU79" s="463"/>
      <c r="IV79" s="463"/>
    </row>
    <row r="80" spans="1:256" s="865" customFormat="1" ht="50.25">
      <c r="A80" s="880">
        <v>72</v>
      </c>
      <c r="B80" s="873"/>
      <c r="C80" s="465">
        <v>36</v>
      </c>
      <c r="D80" s="466" t="s">
        <v>737</v>
      </c>
      <c r="E80" s="475"/>
      <c r="F80" s="475"/>
      <c r="G80" s="476"/>
      <c r="H80" s="1183" t="s">
        <v>24</v>
      </c>
      <c r="I80" s="1202"/>
      <c r="J80" s="1196"/>
      <c r="K80" s="1196"/>
      <c r="L80" s="1196"/>
      <c r="M80" s="1196"/>
      <c r="N80" s="1196"/>
      <c r="O80" s="1166"/>
      <c r="P80" s="870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463"/>
      <c r="CA80" s="463"/>
      <c r="CB80" s="463"/>
      <c r="CC80" s="463"/>
      <c r="CD80" s="463"/>
      <c r="CE80" s="463"/>
      <c r="CF80" s="463"/>
      <c r="CG80" s="463"/>
      <c r="CH80" s="463"/>
      <c r="CI80" s="463"/>
      <c r="CJ80" s="463"/>
      <c r="CK80" s="463"/>
      <c r="CL80" s="463"/>
      <c r="CM80" s="463"/>
      <c r="CN80" s="463"/>
      <c r="CO80" s="463"/>
      <c r="CP80" s="463"/>
      <c r="CQ80" s="463"/>
      <c r="CR80" s="463"/>
      <c r="CS80" s="463"/>
      <c r="CT80" s="463"/>
      <c r="CU80" s="463"/>
      <c r="CV80" s="463"/>
      <c r="CW80" s="463"/>
      <c r="CX80" s="463"/>
      <c r="CY80" s="463"/>
      <c r="CZ80" s="463"/>
      <c r="DA80" s="463"/>
      <c r="DB80" s="463"/>
      <c r="DC80" s="463"/>
      <c r="DD80" s="463"/>
      <c r="DE80" s="463"/>
      <c r="DF80" s="463"/>
      <c r="DG80" s="463"/>
      <c r="DH80" s="463"/>
      <c r="DI80" s="463"/>
      <c r="DJ80" s="463"/>
      <c r="DK80" s="463"/>
      <c r="DL80" s="463"/>
      <c r="DM80" s="463"/>
      <c r="DN80" s="463"/>
      <c r="DO80" s="463"/>
      <c r="DP80" s="463"/>
      <c r="DQ80" s="463"/>
      <c r="DR80" s="463"/>
      <c r="DS80" s="463"/>
      <c r="DT80" s="463"/>
      <c r="DU80" s="463"/>
      <c r="DV80" s="463"/>
      <c r="DW80" s="463"/>
      <c r="DX80" s="463"/>
      <c r="DY80" s="463"/>
      <c r="DZ80" s="463"/>
      <c r="EA80" s="463"/>
      <c r="EB80" s="463"/>
      <c r="EC80" s="463"/>
      <c r="ED80" s="463"/>
      <c r="EE80" s="463"/>
      <c r="EF80" s="463"/>
      <c r="EG80" s="463"/>
      <c r="EH80" s="463"/>
      <c r="EI80" s="463"/>
      <c r="EJ80" s="463"/>
      <c r="EK80" s="463"/>
      <c r="EL80" s="463"/>
      <c r="EM80" s="463"/>
      <c r="EN80" s="463"/>
      <c r="EO80" s="463"/>
      <c r="EP80" s="463"/>
      <c r="EQ80" s="463"/>
      <c r="ER80" s="463"/>
      <c r="ES80" s="463"/>
      <c r="ET80" s="463"/>
      <c r="EU80" s="463"/>
      <c r="EV80" s="463"/>
      <c r="EW80" s="463"/>
      <c r="EX80" s="463"/>
      <c r="EY80" s="463"/>
      <c r="EZ80" s="463"/>
      <c r="FA80" s="463"/>
      <c r="FB80" s="463"/>
      <c r="FC80" s="463"/>
      <c r="FD80" s="463"/>
      <c r="FE80" s="463"/>
      <c r="FF80" s="463"/>
      <c r="FG80" s="463"/>
      <c r="FH80" s="463"/>
      <c r="FI80" s="463"/>
      <c r="FJ80" s="463"/>
      <c r="FK80" s="463"/>
      <c r="FL80" s="463"/>
      <c r="FM80" s="463"/>
      <c r="FN80" s="463"/>
      <c r="FO80" s="463"/>
      <c r="FP80" s="463"/>
      <c r="FQ80" s="463"/>
      <c r="FR80" s="463"/>
      <c r="FS80" s="463"/>
      <c r="FT80" s="463"/>
      <c r="FU80" s="463"/>
      <c r="FV80" s="463"/>
      <c r="FW80" s="463"/>
      <c r="FX80" s="463"/>
      <c r="FY80" s="463"/>
      <c r="FZ80" s="463"/>
      <c r="GA80" s="463"/>
      <c r="GB80" s="463"/>
      <c r="GC80" s="463"/>
      <c r="GD80" s="463"/>
      <c r="GE80" s="463"/>
      <c r="GF80" s="463"/>
      <c r="GG80" s="463"/>
      <c r="GH80" s="463"/>
      <c r="GI80" s="463"/>
      <c r="GJ80" s="463"/>
      <c r="GK80" s="463"/>
      <c r="GL80" s="463"/>
      <c r="GM80" s="463"/>
      <c r="GN80" s="463"/>
      <c r="GO80" s="463"/>
      <c r="GP80" s="463"/>
      <c r="GQ80" s="463"/>
      <c r="GR80" s="463"/>
      <c r="GS80" s="463"/>
      <c r="GT80" s="463"/>
      <c r="GU80" s="463"/>
      <c r="GV80" s="463"/>
      <c r="GW80" s="463"/>
      <c r="GX80" s="463"/>
      <c r="GY80" s="463"/>
      <c r="GZ80" s="463"/>
      <c r="HA80" s="463"/>
      <c r="HB80" s="463"/>
      <c r="HC80" s="463"/>
      <c r="HD80" s="463"/>
      <c r="HE80" s="463"/>
      <c r="HF80" s="463"/>
      <c r="HG80" s="463"/>
      <c r="HH80" s="463"/>
      <c r="HI80" s="463"/>
      <c r="HJ80" s="463"/>
      <c r="HK80" s="463"/>
      <c r="HL80" s="463"/>
      <c r="HM80" s="463"/>
      <c r="HN80" s="463"/>
      <c r="HO80" s="463"/>
      <c r="HP80" s="463"/>
      <c r="HQ80" s="463"/>
      <c r="HR80" s="463"/>
      <c r="HS80" s="463"/>
      <c r="HT80" s="463"/>
      <c r="HU80" s="463"/>
      <c r="HV80" s="463"/>
      <c r="HW80" s="463"/>
      <c r="HX80" s="463"/>
      <c r="HY80" s="463"/>
      <c r="HZ80" s="463"/>
      <c r="IA80" s="463"/>
      <c r="IB80" s="463"/>
      <c r="IC80" s="463"/>
      <c r="ID80" s="463"/>
      <c r="IE80" s="463"/>
      <c r="IF80" s="463"/>
      <c r="IG80" s="463"/>
      <c r="IH80" s="463"/>
      <c r="II80" s="463"/>
      <c r="IJ80" s="463"/>
      <c r="IK80" s="463"/>
      <c r="IL80" s="463"/>
      <c r="IM80" s="463"/>
      <c r="IN80" s="463"/>
      <c r="IO80" s="463"/>
      <c r="IP80" s="463"/>
      <c r="IQ80" s="463"/>
      <c r="IR80" s="463"/>
      <c r="IS80" s="463"/>
      <c r="IT80" s="463"/>
      <c r="IU80" s="463"/>
      <c r="IV80" s="463"/>
    </row>
    <row r="81" spans="1:256" s="865" customFormat="1" ht="18" customHeight="1">
      <c r="A81" s="880">
        <v>73</v>
      </c>
      <c r="B81" s="873"/>
      <c r="C81" s="465"/>
      <c r="D81" s="1176" t="s">
        <v>312</v>
      </c>
      <c r="E81" s="475">
        <f>F81+G81+O81+P81</f>
        <v>4006</v>
      </c>
      <c r="F81" s="475"/>
      <c r="G81" s="476"/>
      <c r="H81" s="1183"/>
      <c r="I81" s="1202"/>
      <c r="J81" s="1196"/>
      <c r="K81" s="1196">
        <v>500</v>
      </c>
      <c r="L81" s="1196">
        <v>3506</v>
      </c>
      <c r="M81" s="1196"/>
      <c r="N81" s="1196"/>
      <c r="O81" s="1166">
        <f>SUM(I81:N81)</f>
        <v>4006</v>
      </c>
      <c r="P81" s="870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463"/>
      <c r="CA81" s="463"/>
      <c r="CB81" s="463"/>
      <c r="CC81" s="463"/>
      <c r="CD81" s="463"/>
      <c r="CE81" s="463"/>
      <c r="CF81" s="463"/>
      <c r="CG81" s="463"/>
      <c r="CH81" s="463"/>
      <c r="CI81" s="463"/>
      <c r="CJ81" s="463"/>
      <c r="CK81" s="463"/>
      <c r="CL81" s="463"/>
      <c r="CM81" s="463"/>
      <c r="CN81" s="463"/>
      <c r="CO81" s="463"/>
      <c r="CP81" s="463"/>
      <c r="CQ81" s="463"/>
      <c r="CR81" s="463"/>
      <c r="CS81" s="463"/>
      <c r="CT81" s="463"/>
      <c r="CU81" s="463"/>
      <c r="CV81" s="463"/>
      <c r="CW81" s="463"/>
      <c r="CX81" s="463"/>
      <c r="CY81" s="463"/>
      <c r="CZ81" s="463"/>
      <c r="DA81" s="463"/>
      <c r="DB81" s="463"/>
      <c r="DC81" s="463"/>
      <c r="DD81" s="463"/>
      <c r="DE81" s="463"/>
      <c r="DF81" s="463"/>
      <c r="DG81" s="463"/>
      <c r="DH81" s="463"/>
      <c r="DI81" s="463"/>
      <c r="DJ81" s="463"/>
      <c r="DK81" s="463"/>
      <c r="DL81" s="463"/>
      <c r="DM81" s="463"/>
      <c r="DN81" s="463"/>
      <c r="DO81" s="463"/>
      <c r="DP81" s="463"/>
      <c r="DQ81" s="463"/>
      <c r="DR81" s="463"/>
      <c r="DS81" s="463"/>
      <c r="DT81" s="463"/>
      <c r="DU81" s="463"/>
      <c r="DV81" s="463"/>
      <c r="DW81" s="463"/>
      <c r="DX81" s="463"/>
      <c r="DY81" s="463"/>
      <c r="DZ81" s="463"/>
      <c r="EA81" s="463"/>
      <c r="EB81" s="463"/>
      <c r="EC81" s="463"/>
      <c r="ED81" s="463"/>
      <c r="EE81" s="463"/>
      <c r="EF81" s="463"/>
      <c r="EG81" s="463"/>
      <c r="EH81" s="463"/>
      <c r="EI81" s="463"/>
      <c r="EJ81" s="463"/>
      <c r="EK81" s="463"/>
      <c r="EL81" s="463"/>
      <c r="EM81" s="463"/>
      <c r="EN81" s="463"/>
      <c r="EO81" s="463"/>
      <c r="EP81" s="463"/>
      <c r="EQ81" s="463"/>
      <c r="ER81" s="463"/>
      <c r="ES81" s="463"/>
      <c r="ET81" s="463"/>
      <c r="EU81" s="463"/>
      <c r="EV81" s="463"/>
      <c r="EW81" s="463"/>
      <c r="EX81" s="463"/>
      <c r="EY81" s="463"/>
      <c r="EZ81" s="463"/>
      <c r="FA81" s="463"/>
      <c r="FB81" s="463"/>
      <c r="FC81" s="463"/>
      <c r="FD81" s="463"/>
      <c r="FE81" s="463"/>
      <c r="FF81" s="463"/>
      <c r="FG81" s="463"/>
      <c r="FH81" s="463"/>
      <c r="FI81" s="463"/>
      <c r="FJ81" s="463"/>
      <c r="FK81" s="463"/>
      <c r="FL81" s="463"/>
      <c r="FM81" s="463"/>
      <c r="FN81" s="463"/>
      <c r="FO81" s="463"/>
      <c r="FP81" s="463"/>
      <c r="FQ81" s="463"/>
      <c r="FR81" s="463"/>
      <c r="FS81" s="463"/>
      <c r="FT81" s="463"/>
      <c r="FU81" s="463"/>
      <c r="FV81" s="463"/>
      <c r="FW81" s="463"/>
      <c r="FX81" s="463"/>
      <c r="FY81" s="463"/>
      <c r="FZ81" s="463"/>
      <c r="GA81" s="463"/>
      <c r="GB81" s="463"/>
      <c r="GC81" s="463"/>
      <c r="GD81" s="463"/>
      <c r="GE81" s="463"/>
      <c r="GF81" s="463"/>
      <c r="GG81" s="463"/>
      <c r="GH81" s="463"/>
      <c r="GI81" s="463"/>
      <c r="GJ81" s="463"/>
      <c r="GK81" s="463"/>
      <c r="GL81" s="463"/>
      <c r="GM81" s="463"/>
      <c r="GN81" s="463"/>
      <c r="GO81" s="463"/>
      <c r="GP81" s="463"/>
      <c r="GQ81" s="463"/>
      <c r="GR81" s="463"/>
      <c r="GS81" s="463"/>
      <c r="GT81" s="463"/>
      <c r="GU81" s="463"/>
      <c r="GV81" s="463"/>
      <c r="GW81" s="463"/>
      <c r="GX81" s="463"/>
      <c r="GY81" s="463"/>
      <c r="GZ81" s="463"/>
      <c r="HA81" s="463"/>
      <c r="HB81" s="463"/>
      <c r="HC81" s="463"/>
      <c r="HD81" s="463"/>
      <c r="HE81" s="463"/>
      <c r="HF81" s="463"/>
      <c r="HG81" s="463"/>
      <c r="HH81" s="463"/>
      <c r="HI81" s="463"/>
      <c r="HJ81" s="463"/>
      <c r="HK81" s="463"/>
      <c r="HL81" s="463"/>
      <c r="HM81" s="463"/>
      <c r="HN81" s="463"/>
      <c r="HO81" s="463"/>
      <c r="HP81" s="463"/>
      <c r="HQ81" s="463"/>
      <c r="HR81" s="463"/>
      <c r="HS81" s="463"/>
      <c r="HT81" s="463"/>
      <c r="HU81" s="463"/>
      <c r="HV81" s="463"/>
      <c r="HW81" s="463"/>
      <c r="HX81" s="463"/>
      <c r="HY81" s="463"/>
      <c r="HZ81" s="463"/>
      <c r="IA81" s="463"/>
      <c r="IB81" s="463"/>
      <c r="IC81" s="463"/>
      <c r="ID81" s="463"/>
      <c r="IE81" s="463"/>
      <c r="IF81" s="463"/>
      <c r="IG81" s="463"/>
      <c r="IH81" s="463"/>
      <c r="II81" s="463"/>
      <c r="IJ81" s="463"/>
      <c r="IK81" s="463"/>
      <c r="IL81" s="463"/>
      <c r="IM81" s="463"/>
      <c r="IN81" s="463"/>
      <c r="IO81" s="463"/>
      <c r="IP81" s="463"/>
      <c r="IQ81" s="463"/>
      <c r="IR81" s="463"/>
      <c r="IS81" s="463"/>
      <c r="IT81" s="463"/>
      <c r="IU81" s="463"/>
      <c r="IV81" s="463"/>
    </row>
    <row r="82" spans="1:256" s="865" customFormat="1" ht="22.5" customHeight="1">
      <c r="A82" s="880">
        <v>74</v>
      </c>
      <c r="B82" s="873"/>
      <c r="C82" s="517">
        <v>37</v>
      </c>
      <c r="D82" s="1221" t="s">
        <v>738</v>
      </c>
      <c r="E82" s="475"/>
      <c r="F82" s="475"/>
      <c r="G82" s="476"/>
      <c r="H82" s="1183" t="s">
        <v>24</v>
      </c>
      <c r="I82" s="1202"/>
      <c r="J82" s="1196"/>
      <c r="K82" s="1196"/>
      <c r="L82" s="1196"/>
      <c r="M82" s="1196"/>
      <c r="N82" s="1196"/>
      <c r="O82" s="1166"/>
      <c r="P82" s="870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463"/>
      <c r="CE82" s="463"/>
      <c r="CF82" s="463"/>
      <c r="CG82" s="463"/>
      <c r="CH82" s="463"/>
      <c r="CI82" s="463"/>
      <c r="CJ82" s="463"/>
      <c r="CK82" s="463"/>
      <c r="CL82" s="463"/>
      <c r="CM82" s="463"/>
      <c r="CN82" s="463"/>
      <c r="CO82" s="463"/>
      <c r="CP82" s="463"/>
      <c r="CQ82" s="463"/>
      <c r="CR82" s="463"/>
      <c r="CS82" s="463"/>
      <c r="CT82" s="463"/>
      <c r="CU82" s="463"/>
      <c r="CV82" s="463"/>
      <c r="CW82" s="463"/>
      <c r="CX82" s="463"/>
      <c r="CY82" s="463"/>
      <c r="CZ82" s="463"/>
      <c r="DA82" s="463"/>
      <c r="DB82" s="463"/>
      <c r="DC82" s="463"/>
      <c r="DD82" s="463"/>
      <c r="DE82" s="463"/>
      <c r="DF82" s="463"/>
      <c r="DG82" s="463"/>
      <c r="DH82" s="463"/>
      <c r="DI82" s="463"/>
      <c r="DJ82" s="463"/>
      <c r="DK82" s="463"/>
      <c r="DL82" s="463"/>
      <c r="DM82" s="463"/>
      <c r="DN82" s="463"/>
      <c r="DO82" s="463"/>
      <c r="DP82" s="463"/>
      <c r="DQ82" s="463"/>
      <c r="DR82" s="463"/>
      <c r="DS82" s="463"/>
      <c r="DT82" s="463"/>
      <c r="DU82" s="463"/>
      <c r="DV82" s="463"/>
      <c r="DW82" s="463"/>
      <c r="DX82" s="463"/>
      <c r="DY82" s="463"/>
      <c r="DZ82" s="463"/>
      <c r="EA82" s="463"/>
      <c r="EB82" s="463"/>
      <c r="EC82" s="463"/>
      <c r="ED82" s="463"/>
      <c r="EE82" s="463"/>
      <c r="EF82" s="463"/>
      <c r="EG82" s="463"/>
      <c r="EH82" s="463"/>
      <c r="EI82" s="463"/>
      <c r="EJ82" s="463"/>
      <c r="EK82" s="463"/>
      <c r="EL82" s="463"/>
      <c r="EM82" s="463"/>
      <c r="EN82" s="463"/>
      <c r="EO82" s="463"/>
      <c r="EP82" s="463"/>
      <c r="EQ82" s="463"/>
      <c r="ER82" s="463"/>
      <c r="ES82" s="463"/>
      <c r="ET82" s="463"/>
      <c r="EU82" s="463"/>
      <c r="EV82" s="463"/>
      <c r="EW82" s="463"/>
      <c r="EX82" s="463"/>
      <c r="EY82" s="463"/>
      <c r="EZ82" s="463"/>
      <c r="FA82" s="463"/>
      <c r="FB82" s="463"/>
      <c r="FC82" s="463"/>
      <c r="FD82" s="463"/>
      <c r="FE82" s="463"/>
      <c r="FF82" s="463"/>
      <c r="FG82" s="463"/>
      <c r="FH82" s="463"/>
      <c r="FI82" s="463"/>
      <c r="FJ82" s="463"/>
      <c r="FK82" s="463"/>
      <c r="FL82" s="463"/>
      <c r="FM82" s="463"/>
      <c r="FN82" s="463"/>
      <c r="FO82" s="463"/>
      <c r="FP82" s="463"/>
      <c r="FQ82" s="463"/>
      <c r="FR82" s="463"/>
      <c r="FS82" s="463"/>
      <c r="FT82" s="463"/>
      <c r="FU82" s="463"/>
      <c r="FV82" s="463"/>
      <c r="FW82" s="463"/>
      <c r="FX82" s="463"/>
      <c r="FY82" s="463"/>
      <c r="FZ82" s="463"/>
      <c r="GA82" s="463"/>
      <c r="GB82" s="463"/>
      <c r="GC82" s="463"/>
      <c r="GD82" s="463"/>
      <c r="GE82" s="463"/>
      <c r="GF82" s="463"/>
      <c r="GG82" s="463"/>
      <c r="GH82" s="463"/>
      <c r="GI82" s="463"/>
      <c r="GJ82" s="463"/>
      <c r="GK82" s="463"/>
      <c r="GL82" s="463"/>
      <c r="GM82" s="463"/>
      <c r="GN82" s="463"/>
      <c r="GO82" s="463"/>
      <c r="GP82" s="463"/>
      <c r="GQ82" s="463"/>
      <c r="GR82" s="463"/>
      <c r="GS82" s="463"/>
      <c r="GT82" s="463"/>
      <c r="GU82" s="463"/>
      <c r="GV82" s="463"/>
      <c r="GW82" s="463"/>
      <c r="GX82" s="463"/>
      <c r="GY82" s="463"/>
      <c r="GZ82" s="463"/>
      <c r="HA82" s="463"/>
      <c r="HB82" s="463"/>
      <c r="HC82" s="463"/>
      <c r="HD82" s="463"/>
      <c r="HE82" s="463"/>
      <c r="HF82" s="463"/>
      <c r="HG82" s="463"/>
      <c r="HH82" s="463"/>
      <c r="HI82" s="463"/>
      <c r="HJ82" s="463"/>
      <c r="HK82" s="463"/>
      <c r="HL82" s="463"/>
      <c r="HM82" s="463"/>
      <c r="HN82" s="463"/>
      <c r="HO82" s="463"/>
      <c r="HP82" s="463"/>
      <c r="HQ82" s="463"/>
      <c r="HR82" s="463"/>
      <c r="HS82" s="463"/>
      <c r="HT82" s="463"/>
      <c r="HU82" s="463"/>
      <c r="HV82" s="463"/>
      <c r="HW82" s="463"/>
      <c r="HX82" s="463"/>
      <c r="HY82" s="463"/>
      <c r="HZ82" s="463"/>
      <c r="IA82" s="463"/>
      <c r="IB82" s="463"/>
      <c r="IC82" s="463"/>
      <c r="ID82" s="463"/>
      <c r="IE82" s="463"/>
      <c r="IF82" s="463"/>
      <c r="IG82" s="463"/>
      <c r="IH82" s="463"/>
      <c r="II82" s="463"/>
      <c r="IJ82" s="463"/>
      <c r="IK82" s="463"/>
      <c r="IL82" s="463"/>
      <c r="IM82" s="463"/>
      <c r="IN82" s="463"/>
      <c r="IO82" s="463"/>
      <c r="IP82" s="463"/>
      <c r="IQ82" s="463"/>
      <c r="IR82" s="463"/>
      <c r="IS82" s="463"/>
      <c r="IT82" s="463"/>
      <c r="IU82" s="463"/>
      <c r="IV82" s="463"/>
    </row>
    <row r="83" spans="1:256" s="865" customFormat="1" ht="18" customHeight="1">
      <c r="A83" s="880">
        <v>75</v>
      </c>
      <c r="B83" s="873"/>
      <c r="C83" s="465"/>
      <c r="D83" s="1176" t="s">
        <v>312</v>
      </c>
      <c r="E83" s="475">
        <f>F83+G83+O83+P83</f>
        <v>2628</v>
      </c>
      <c r="F83" s="475"/>
      <c r="G83" s="476"/>
      <c r="H83" s="1183"/>
      <c r="I83" s="1202"/>
      <c r="J83" s="1196"/>
      <c r="K83" s="1196">
        <v>2628</v>
      </c>
      <c r="L83" s="1196"/>
      <c r="M83" s="1196"/>
      <c r="N83" s="1196"/>
      <c r="O83" s="1166">
        <f>SUM(I83:N83)</f>
        <v>2628</v>
      </c>
      <c r="P83" s="870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  <c r="CN83" s="463"/>
      <c r="CO83" s="463"/>
      <c r="CP83" s="463"/>
      <c r="CQ83" s="463"/>
      <c r="CR83" s="463"/>
      <c r="CS83" s="463"/>
      <c r="CT83" s="463"/>
      <c r="CU83" s="463"/>
      <c r="CV83" s="463"/>
      <c r="CW83" s="463"/>
      <c r="CX83" s="463"/>
      <c r="CY83" s="463"/>
      <c r="CZ83" s="463"/>
      <c r="DA83" s="463"/>
      <c r="DB83" s="463"/>
      <c r="DC83" s="463"/>
      <c r="DD83" s="463"/>
      <c r="DE83" s="463"/>
      <c r="DF83" s="463"/>
      <c r="DG83" s="463"/>
      <c r="DH83" s="463"/>
      <c r="DI83" s="463"/>
      <c r="DJ83" s="463"/>
      <c r="DK83" s="463"/>
      <c r="DL83" s="463"/>
      <c r="DM83" s="463"/>
      <c r="DN83" s="463"/>
      <c r="DO83" s="463"/>
      <c r="DP83" s="463"/>
      <c r="DQ83" s="463"/>
      <c r="DR83" s="463"/>
      <c r="DS83" s="463"/>
      <c r="DT83" s="463"/>
      <c r="DU83" s="463"/>
      <c r="DV83" s="463"/>
      <c r="DW83" s="463"/>
      <c r="DX83" s="463"/>
      <c r="DY83" s="463"/>
      <c r="DZ83" s="463"/>
      <c r="EA83" s="463"/>
      <c r="EB83" s="463"/>
      <c r="EC83" s="463"/>
      <c r="ED83" s="463"/>
      <c r="EE83" s="463"/>
      <c r="EF83" s="463"/>
      <c r="EG83" s="463"/>
      <c r="EH83" s="463"/>
      <c r="EI83" s="463"/>
      <c r="EJ83" s="463"/>
      <c r="EK83" s="463"/>
      <c r="EL83" s="463"/>
      <c r="EM83" s="463"/>
      <c r="EN83" s="463"/>
      <c r="EO83" s="463"/>
      <c r="EP83" s="463"/>
      <c r="EQ83" s="463"/>
      <c r="ER83" s="463"/>
      <c r="ES83" s="463"/>
      <c r="ET83" s="463"/>
      <c r="EU83" s="463"/>
      <c r="EV83" s="463"/>
      <c r="EW83" s="463"/>
      <c r="EX83" s="463"/>
      <c r="EY83" s="463"/>
      <c r="EZ83" s="463"/>
      <c r="FA83" s="463"/>
      <c r="FB83" s="463"/>
      <c r="FC83" s="463"/>
      <c r="FD83" s="463"/>
      <c r="FE83" s="463"/>
      <c r="FF83" s="463"/>
      <c r="FG83" s="463"/>
      <c r="FH83" s="463"/>
      <c r="FI83" s="463"/>
      <c r="FJ83" s="463"/>
      <c r="FK83" s="463"/>
      <c r="FL83" s="463"/>
      <c r="FM83" s="463"/>
      <c r="FN83" s="463"/>
      <c r="FO83" s="463"/>
      <c r="FP83" s="463"/>
      <c r="FQ83" s="463"/>
      <c r="FR83" s="463"/>
      <c r="FS83" s="463"/>
      <c r="FT83" s="463"/>
      <c r="FU83" s="463"/>
      <c r="FV83" s="463"/>
      <c r="FW83" s="463"/>
      <c r="FX83" s="463"/>
      <c r="FY83" s="463"/>
      <c r="FZ83" s="463"/>
      <c r="GA83" s="463"/>
      <c r="GB83" s="463"/>
      <c r="GC83" s="463"/>
      <c r="GD83" s="463"/>
      <c r="GE83" s="463"/>
      <c r="GF83" s="463"/>
      <c r="GG83" s="463"/>
      <c r="GH83" s="463"/>
      <c r="GI83" s="463"/>
      <c r="GJ83" s="463"/>
      <c r="GK83" s="463"/>
      <c r="GL83" s="463"/>
      <c r="GM83" s="463"/>
      <c r="GN83" s="463"/>
      <c r="GO83" s="463"/>
      <c r="GP83" s="463"/>
      <c r="GQ83" s="463"/>
      <c r="GR83" s="463"/>
      <c r="GS83" s="463"/>
      <c r="GT83" s="463"/>
      <c r="GU83" s="463"/>
      <c r="GV83" s="463"/>
      <c r="GW83" s="463"/>
      <c r="GX83" s="463"/>
      <c r="GY83" s="463"/>
      <c r="GZ83" s="463"/>
      <c r="HA83" s="463"/>
      <c r="HB83" s="463"/>
      <c r="HC83" s="463"/>
      <c r="HD83" s="463"/>
      <c r="HE83" s="463"/>
      <c r="HF83" s="463"/>
      <c r="HG83" s="463"/>
      <c r="HH83" s="463"/>
      <c r="HI83" s="463"/>
      <c r="HJ83" s="463"/>
      <c r="HK83" s="463"/>
      <c r="HL83" s="463"/>
      <c r="HM83" s="463"/>
      <c r="HN83" s="463"/>
      <c r="HO83" s="463"/>
      <c r="HP83" s="463"/>
      <c r="HQ83" s="463"/>
      <c r="HR83" s="463"/>
      <c r="HS83" s="463"/>
      <c r="HT83" s="463"/>
      <c r="HU83" s="463"/>
      <c r="HV83" s="463"/>
      <c r="HW83" s="463"/>
      <c r="HX83" s="463"/>
      <c r="HY83" s="463"/>
      <c r="HZ83" s="463"/>
      <c r="IA83" s="463"/>
      <c r="IB83" s="463"/>
      <c r="IC83" s="463"/>
      <c r="ID83" s="463"/>
      <c r="IE83" s="463"/>
      <c r="IF83" s="463"/>
      <c r="IG83" s="463"/>
      <c r="IH83" s="463"/>
      <c r="II83" s="463"/>
      <c r="IJ83" s="463"/>
      <c r="IK83" s="463"/>
      <c r="IL83" s="463"/>
      <c r="IM83" s="463"/>
      <c r="IN83" s="463"/>
      <c r="IO83" s="463"/>
      <c r="IP83" s="463"/>
      <c r="IQ83" s="463"/>
      <c r="IR83" s="463"/>
      <c r="IS83" s="463"/>
      <c r="IT83" s="463"/>
      <c r="IU83" s="463"/>
      <c r="IV83" s="463"/>
    </row>
    <row r="84" spans="1:16" ht="22.5" customHeight="1">
      <c r="A84" s="880">
        <v>76</v>
      </c>
      <c r="B84" s="694"/>
      <c r="C84" s="517">
        <v>38</v>
      </c>
      <c r="D84" s="466" t="s">
        <v>716</v>
      </c>
      <c r="E84" s="475"/>
      <c r="F84" s="475"/>
      <c r="G84" s="476"/>
      <c r="H84" s="1183" t="s">
        <v>24</v>
      </c>
      <c r="I84" s="1202"/>
      <c r="J84" s="1196"/>
      <c r="K84" s="1196"/>
      <c r="L84" s="1196"/>
      <c r="M84" s="1196"/>
      <c r="N84" s="1196"/>
      <c r="O84" s="1203"/>
      <c r="P84" s="870"/>
    </row>
    <row r="85" spans="1:256" s="865" customFormat="1" ht="18" customHeight="1" thickBot="1">
      <c r="A85" s="880">
        <v>77</v>
      </c>
      <c r="B85" s="873"/>
      <c r="C85" s="465"/>
      <c r="D85" s="1176" t="s">
        <v>312</v>
      </c>
      <c r="E85" s="475">
        <f>F85+G85+O85+P85</f>
        <v>2500</v>
      </c>
      <c r="F85" s="475"/>
      <c r="G85" s="476"/>
      <c r="H85" s="1183"/>
      <c r="I85" s="1202"/>
      <c r="J85" s="1196"/>
      <c r="K85" s="1196"/>
      <c r="L85" s="1196"/>
      <c r="M85" s="1196">
        <v>2500</v>
      </c>
      <c r="N85" s="1196"/>
      <c r="O85" s="1166">
        <f>SUM(I85:N85)</f>
        <v>2500</v>
      </c>
      <c r="P85" s="870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463"/>
      <c r="CE85" s="463"/>
      <c r="CF85" s="463"/>
      <c r="CG85" s="463"/>
      <c r="CH85" s="463"/>
      <c r="CI85" s="463"/>
      <c r="CJ85" s="463"/>
      <c r="CK85" s="463"/>
      <c r="CL85" s="463"/>
      <c r="CM85" s="463"/>
      <c r="CN85" s="463"/>
      <c r="CO85" s="463"/>
      <c r="CP85" s="463"/>
      <c r="CQ85" s="463"/>
      <c r="CR85" s="463"/>
      <c r="CS85" s="463"/>
      <c r="CT85" s="463"/>
      <c r="CU85" s="463"/>
      <c r="CV85" s="463"/>
      <c r="CW85" s="463"/>
      <c r="CX85" s="463"/>
      <c r="CY85" s="463"/>
      <c r="CZ85" s="463"/>
      <c r="DA85" s="463"/>
      <c r="DB85" s="463"/>
      <c r="DC85" s="463"/>
      <c r="DD85" s="463"/>
      <c r="DE85" s="463"/>
      <c r="DF85" s="463"/>
      <c r="DG85" s="463"/>
      <c r="DH85" s="463"/>
      <c r="DI85" s="463"/>
      <c r="DJ85" s="463"/>
      <c r="DK85" s="463"/>
      <c r="DL85" s="463"/>
      <c r="DM85" s="463"/>
      <c r="DN85" s="463"/>
      <c r="DO85" s="463"/>
      <c r="DP85" s="463"/>
      <c r="DQ85" s="463"/>
      <c r="DR85" s="463"/>
      <c r="DS85" s="463"/>
      <c r="DT85" s="463"/>
      <c r="DU85" s="463"/>
      <c r="DV85" s="463"/>
      <c r="DW85" s="463"/>
      <c r="DX85" s="463"/>
      <c r="DY85" s="463"/>
      <c r="DZ85" s="463"/>
      <c r="EA85" s="463"/>
      <c r="EB85" s="463"/>
      <c r="EC85" s="463"/>
      <c r="ED85" s="463"/>
      <c r="EE85" s="463"/>
      <c r="EF85" s="463"/>
      <c r="EG85" s="463"/>
      <c r="EH85" s="463"/>
      <c r="EI85" s="463"/>
      <c r="EJ85" s="463"/>
      <c r="EK85" s="463"/>
      <c r="EL85" s="463"/>
      <c r="EM85" s="463"/>
      <c r="EN85" s="463"/>
      <c r="EO85" s="463"/>
      <c r="EP85" s="463"/>
      <c r="EQ85" s="463"/>
      <c r="ER85" s="463"/>
      <c r="ES85" s="463"/>
      <c r="ET85" s="463"/>
      <c r="EU85" s="463"/>
      <c r="EV85" s="463"/>
      <c r="EW85" s="463"/>
      <c r="EX85" s="463"/>
      <c r="EY85" s="463"/>
      <c r="EZ85" s="463"/>
      <c r="FA85" s="463"/>
      <c r="FB85" s="463"/>
      <c r="FC85" s="463"/>
      <c r="FD85" s="463"/>
      <c r="FE85" s="463"/>
      <c r="FF85" s="463"/>
      <c r="FG85" s="463"/>
      <c r="FH85" s="463"/>
      <c r="FI85" s="463"/>
      <c r="FJ85" s="463"/>
      <c r="FK85" s="463"/>
      <c r="FL85" s="463"/>
      <c r="FM85" s="463"/>
      <c r="FN85" s="463"/>
      <c r="FO85" s="463"/>
      <c r="FP85" s="463"/>
      <c r="FQ85" s="463"/>
      <c r="FR85" s="463"/>
      <c r="FS85" s="463"/>
      <c r="FT85" s="463"/>
      <c r="FU85" s="463"/>
      <c r="FV85" s="463"/>
      <c r="FW85" s="463"/>
      <c r="FX85" s="463"/>
      <c r="FY85" s="463"/>
      <c r="FZ85" s="463"/>
      <c r="GA85" s="463"/>
      <c r="GB85" s="463"/>
      <c r="GC85" s="463"/>
      <c r="GD85" s="463"/>
      <c r="GE85" s="463"/>
      <c r="GF85" s="463"/>
      <c r="GG85" s="463"/>
      <c r="GH85" s="463"/>
      <c r="GI85" s="463"/>
      <c r="GJ85" s="463"/>
      <c r="GK85" s="463"/>
      <c r="GL85" s="463"/>
      <c r="GM85" s="463"/>
      <c r="GN85" s="463"/>
      <c r="GO85" s="463"/>
      <c r="GP85" s="463"/>
      <c r="GQ85" s="463"/>
      <c r="GR85" s="463"/>
      <c r="GS85" s="463"/>
      <c r="GT85" s="463"/>
      <c r="GU85" s="463"/>
      <c r="GV85" s="463"/>
      <c r="GW85" s="463"/>
      <c r="GX85" s="463"/>
      <c r="GY85" s="463"/>
      <c r="GZ85" s="463"/>
      <c r="HA85" s="463"/>
      <c r="HB85" s="463"/>
      <c r="HC85" s="463"/>
      <c r="HD85" s="463"/>
      <c r="HE85" s="463"/>
      <c r="HF85" s="463"/>
      <c r="HG85" s="463"/>
      <c r="HH85" s="463"/>
      <c r="HI85" s="463"/>
      <c r="HJ85" s="463"/>
      <c r="HK85" s="463"/>
      <c r="HL85" s="463"/>
      <c r="HM85" s="463"/>
      <c r="HN85" s="463"/>
      <c r="HO85" s="463"/>
      <c r="HP85" s="463"/>
      <c r="HQ85" s="463"/>
      <c r="HR85" s="463"/>
      <c r="HS85" s="463"/>
      <c r="HT85" s="463"/>
      <c r="HU85" s="463"/>
      <c r="HV85" s="463"/>
      <c r="HW85" s="463"/>
      <c r="HX85" s="463"/>
      <c r="HY85" s="463"/>
      <c r="HZ85" s="463"/>
      <c r="IA85" s="463"/>
      <c r="IB85" s="463"/>
      <c r="IC85" s="463"/>
      <c r="ID85" s="463"/>
      <c r="IE85" s="463"/>
      <c r="IF85" s="463"/>
      <c r="IG85" s="463"/>
      <c r="IH85" s="463"/>
      <c r="II85" s="463"/>
      <c r="IJ85" s="463"/>
      <c r="IK85" s="463"/>
      <c r="IL85" s="463"/>
      <c r="IM85" s="463"/>
      <c r="IN85" s="463"/>
      <c r="IO85" s="463"/>
      <c r="IP85" s="463"/>
      <c r="IQ85" s="463"/>
      <c r="IR85" s="463"/>
      <c r="IS85" s="463"/>
      <c r="IT85" s="463"/>
      <c r="IU85" s="463"/>
      <c r="IV85" s="463"/>
    </row>
    <row r="86" spans="1:16" s="468" customFormat="1" ht="36" customHeight="1" thickBot="1">
      <c r="A86" s="880">
        <v>78</v>
      </c>
      <c r="B86" s="1702" t="s">
        <v>13</v>
      </c>
      <c r="C86" s="1703"/>
      <c r="D86" s="1703"/>
      <c r="E86" s="1703"/>
      <c r="F86" s="1703"/>
      <c r="G86" s="1704"/>
      <c r="H86" s="884"/>
      <c r="I86" s="1295">
        <f>I77+I75+I73+I71+I69+I67+I65+I63+I61+I59+I57+I55+I53+I51+I49+I47+I45+I43+I41+I39+I35+I33+I31+I29+I27+I23+I21+I19+I17+I15+I13+I11+I85+I79+I25+I37+I83+I81</f>
        <v>327</v>
      </c>
      <c r="J86" s="1295">
        <f aca="true" t="shared" si="0" ref="J86:O86">J77+J75+J73+J71+J69+J67+J65+J63+J61+J59+J57+J55+J53+J51+J49+J47+J45+J43+J41+J39+J35+J33+J31+J29+J27+J23+J21+J19+J17+J15+J13+J11+J85+J79+J25+J37+J83+J81</f>
        <v>169</v>
      </c>
      <c r="K86" s="1295">
        <f t="shared" si="0"/>
        <v>287241</v>
      </c>
      <c r="L86" s="1295">
        <f t="shared" si="0"/>
        <v>4529</v>
      </c>
      <c r="M86" s="1295">
        <f t="shared" si="0"/>
        <v>10258653</v>
      </c>
      <c r="N86" s="1295">
        <f t="shared" si="0"/>
        <v>5000</v>
      </c>
      <c r="O86" s="1295">
        <f t="shared" si="0"/>
        <v>10555919</v>
      </c>
      <c r="P86" s="1296">
        <f>SUM(P9:P85)</f>
        <v>170083</v>
      </c>
    </row>
    <row r="87" spans="2:15" ht="18" customHeight="1">
      <c r="B87" s="871" t="s">
        <v>27</v>
      </c>
      <c r="C87" s="872"/>
      <c r="D87" s="871"/>
      <c r="E87" s="477"/>
      <c r="F87" s="478"/>
      <c r="G87" s="477"/>
      <c r="H87" s="858"/>
      <c r="I87" s="477"/>
      <c r="J87" s="477"/>
      <c r="K87" s="477"/>
      <c r="L87" s="477"/>
      <c r="M87" s="477"/>
      <c r="N87" s="477"/>
      <c r="O87" s="882"/>
    </row>
    <row r="88" spans="2:15" ht="18" customHeight="1">
      <c r="B88" s="871" t="s">
        <v>28</v>
      </c>
      <c r="C88" s="872"/>
      <c r="D88" s="871"/>
      <c r="E88" s="714"/>
      <c r="F88" s="478"/>
      <c r="G88" s="477"/>
      <c r="H88" s="858"/>
      <c r="I88" s="477"/>
      <c r="J88" s="477"/>
      <c r="K88" s="477"/>
      <c r="L88" s="477"/>
      <c r="M88" s="477"/>
      <c r="N88" s="477"/>
      <c r="O88" s="882"/>
    </row>
    <row r="89" spans="2:15" ht="18" customHeight="1">
      <c r="B89" s="871" t="s">
        <v>29</v>
      </c>
      <c r="C89" s="872"/>
      <c r="D89" s="871"/>
      <c r="E89" s="714"/>
      <c r="F89" s="478"/>
      <c r="G89" s="477"/>
      <c r="H89" s="858"/>
      <c r="I89" s="477"/>
      <c r="J89" s="477"/>
      <c r="K89" s="477"/>
      <c r="L89" s="477"/>
      <c r="M89" s="477"/>
      <c r="N89" s="477"/>
      <c r="O89" s="882"/>
    </row>
    <row r="90" spans="2:3" ht="17.25">
      <c r="B90" s="474" t="s">
        <v>661</v>
      </c>
      <c r="C90" s="474"/>
    </row>
  </sheetData>
  <sheetProtection/>
  <mergeCells count="18">
    <mergeCell ref="Q6:R6"/>
    <mergeCell ref="I1:P1"/>
    <mergeCell ref="B6:B8"/>
    <mergeCell ref="E6:E8"/>
    <mergeCell ref="A1:D1"/>
    <mergeCell ref="A2:P2"/>
    <mergeCell ref="A3:P3"/>
    <mergeCell ref="D6:D8"/>
    <mergeCell ref="F6:F8"/>
    <mergeCell ref="G6:G8"/>
    <mergeCell ref="I6:O6"/>
    <mergeCell ref="P6:P8"/>
    <mergeCell ref="I7:L7"/>
    <mergeCell ref="M7:N7"/>
    <mergeCell ref="O7:O8"/>
    <mergeCell ref="B86:G86"/>
    <mergeCell ref="C6:C8"/>
    <mergeCell ref="H6:H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1" r:id="rId3"/>
  <headerFooter>
    <oddFooter>&amp;C- &amp;P -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="88" zoomScaleSheetLayoutView="88" zoomScalePageLayoutView="0" workbookViewId="0" topLeftCell="A1">
      <selection activeCell="A1" sqref="A1:D1"/>
    </sheetView>
  </sheetViews>
  <sheetFormatPr defaultColWidth="9.125" defaultRowHeight="12.75"/>
  <cols>
    <col min="1" max="1" width="3.75390625" style="857" customWidth="1"/>
    <col min="2" max="3" width="5.75390625" style="1044" customWidth="1"/>
    <col min="4" max="4" width="62.75390625" style="463" customWidth="1"/>
    <col min="5" max="5" width="12.75390625" style="1043" customWidth="1"/>
    <col min="6" max="7" width="10.75390625" style="1043" customWidth="1"/>
    <col min="8" max="8" width="6.75390625" style="860" customWidth="1"/>
    <col min="9" max="14" width="14.875" style="1043" customWidth="1"/>
    <col min="15" max="15" width="15.75390625" style="881" customWidth="1"/>
    <col min="16" max="16" width="13.875" style="1043" customWidth="1"/>
    <col min="17" max="16384" width="9.125" style="463" customWidth="1"/>
  </cols>
  <sheetData>
    <row r="1" spans="1:250" ht="18" customHeight="1">
      <c r="A1" s="1715" t="s">
        <v>1015</v>
      </c>
      <c r="B1" s="1715"/>
      <c r="C1" s="1715"/>
      <c r="D1" s="1715"/>
      <c r="E1" s="714"/>
      <c r="F1" s="714"/>
      <c r="G1" s="714"/>
      <c r="H1" s="858"/>
      <c r="I1" s="1673"/>
      <c r="J1" s="1673"/>
      <c r="K1" s="1673"/>
      <c r="L1" s="1673"/>
      <c r="M1" s="1673"/>
      <c r="N1" s="1673"/>
      <c r="O1" s="1673"/>
      <c r="P1" s="1673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59"/>
      <c r="DE1" s="859"/>
      <c r="DF1" s="859"/>
      <c r="DG1" s="859"/>
      <c r="DH1" s="859"/>
      <c r="DI1" s="859"/>
      <c r="DJ1" s="859"/>
      <c r="DK1" s="859"/>
      <c r="DL1" s="859"/>
      <c r="DM1" s="859"/>
      <c r="DN1" s="859"/>
      <c r="DO1" s="859"/>
      <c r="DP1" s="859"/>
      <c r="DQ1" s="859"/>
      <c r="DR1" s="859"/>
      <c r="DS1" s="859"/>
      <c r="DT1" s="859"/>
      <c r="DU1" s="859"/>
      <c r="DV1" s="859"/>
      <c r="DW1" s="859"/>
      <c r="DX1" s="859"/>
      <c r="DY1" s="859"/>
      <c r="DZ1" s="859"/>
      <c r="EA1" s="859"/>
      <c r="EB1" s="859"/>
      <c r="EC1" s="859"/>
      <c r="ED1" s="859"/>
      <c r="EE1" s="859"/>
      <c r="EF1" s="859"/>
      <c r="EG1" s="859"/>
      <c r="EH1" s="859"/>
      <c r="EI1" s="859"/>
      <c r="EJ1" s="859"/>
      <c r="EK1" s="859"/>
      <c r="EL1" s="859"/>
      <c r="EM1" s="859"/>
      <c r="EN1" s="859"/>
      <c r="EO1" s="859"/>
      <c r="EP1" s="859"/>
      <c r="EQ1" s="859"/>
      <c r="ER1" s="859"/>
      <c r="ES1" s="859"/>
      <c r="ET1" s="859"/>
      <c r="EU1" s="859"/>
      <c r="EV1" s="859"/>
      <c r="EW1" s="859"/>
      <c r="EX1" s="859"/>
      <c r="EY1" s="859"/>
      <c r="EZ1" s="859"/>
      <c r="FA1" s="859"/>
      <c r="FB1" s="859"/>
      <c r="FC1" s="859"/>
      <c r="FD1" s="859"/>
      <c r="FE1" s="859"/>
      <c r="FF1" s="859"/>
      <c r="FG1" s="859"/>
      <c r="FH1" s="859"/>
      <c r="FI1" s="859"/>
      <c r="FJ1" s="859"/>
      <c r="FK1" s="859"/>
      <c r="FL1" s="859"/>
      <c r="FM1" s="859"/>
      <c r="FN1" s="859"/>
      <c r="FO1" s="859"/>
      <c r="FP1" s="859"/>
      <c r="FQ1" s="859"/>
      <c r="FR1" s="859"/>
      <c r="FS1" s="859"/>
      <c r="FT1" s="859"/>
      <c r="FU1" s="859"/>
      <c r="FV1" s="859"/>
      <c r="FW1" s="859"/>
      <c r="FX1" s="859"/>
      <c r="FY1" s="859"/>
      <c r="FZ1" s="859"/>
      <c r="GA1" s="859"/>
      <c r="GB1" s="859"/>
      <c r="GC1" s="859"/>
      <c r="GD1" s="859"/>
      <c r="GE1" s="859"/>
      <c r="GF1" s="859"/>
      <c r="GG1" s="859"/>
      <c r="GH1" s="859"/>
      <c r="GI1" s="859"/>
      <c r="GJ1" s="859"/>
      <c r="GK1" s="859"/>
      <c r="GL1" s="859"/>
      <c r="GM1" s="859"/>
      <c r="GN1" s="859"/>
      <c r="GO1" s="859"/>
      <c r="GP1" s="859"/>
      <c r="GQ1" s="859"/>
      <c r="GR1" s="859"/>
      <c r="GS1" s="859"/>
      <c r="GT1" s="859"/>
      <c r="GU1" s="859"/>
      <c r="GV1" s="859"/>
      <c r="GW1" s="859"/>
      <c r="GX1" s="859"/>
      <c r="GY1" s="859"/>
      <c r="GZ1" s="859"/>
      <c r="HA1" s="859"/>
      <c r="HB1" s="859"/>
      <c r="HC1" s="859"/>
      <c r="HD1" s="859"/>
      <c r="HE1" s="859"/>
      <c r="HF1" s="859"/>
      <c r="HG1" s="859"/>
      <c r="HH1" s="859"/>
      <c r="HI1" s="859"/>
      <c r="HJ1" s="859"/>
      <c r="HK1" s="859"/>
      <c r="HL1" s="859"/>
      <c r="HM1" s="859"/>
      <c r="HN1" s="859"/>
      <c r="HO1" s="859"/>
      <c r="HP1" s="859"/>
      <c r="HQ1" s="859"/>
      <c r="HR1" s="859"/>
      <c r="HS1" s="859"/>
      <c r="HT1" s="859"/>
      <c r="HU1" s="859"/>
      <c r="HV1" s="859"/>
      <c r="HW1" s="859"/>
      <c r="HX1" s="859"/>
      <c r="HY1" s="859"/>
      <c r="HZ1" s="859"/>
      <c r="IA1" s="859"/>
      <c r="IB1" s="859"/>
      <c r="IC1" s="859"/>
      <c r="ID1" s="859"/>
      <c r="IE1" s="859"/>
      <c r="IF1" s="859"/>
      <c r="IG1" s="859"/>
      <c r="IH1" s="859"/>
      <c r="II1" s="859"/>
      <c r="IJ1" s="859"/>
      <c r="IK1" s="859"/>
      <c r="IL1" s="859"/>
      <c r="IM1" s="859"/>
      <c r="IN1" s="859"/>
      <c r="IO1" s="859"/>
      <c r="IP1" s="859"/>
    </row>
    <row r="2" spans="1:16" ht="24.75" customHeight="1">
      <c r="A2" s="1674" t="s">
        <v>14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</row>
    <row r="3" spans="1:16" ht="24.75" customHeight="1">
      <c r="A3" s="1716" t="s">
        <v>826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</row>
    <row r="4" spans="1:16" s="1152" customFormat="1" ht="18" customHeight="1">
      <c r="A4" s="857"/>
      <c r="B4" s="857"/>
      <c r="C4" s="857"/>
      <c r="E4" s="810"/>
      <c r="F4" s="810"/>
      <c r="G4" s="810"/>
      <c r="H4" s="1153"/>
      <c r="I4" s="810"/>
      <c r="J4" s="810"/>
      <c r="K4" s="810"/>
      <c r="L4" s="810"/>
      <c r="M4" s="810"/>
      <c r="N4" s="810"/>
      <c r="O4" s="1154"/>
      <c r="P4" s="816" t="s">
        <v>0</v>
      </c>
    </row>
    <row r="5" spans="1:250" s="1158" customFormat="1" ht="18" customHeight="1" thickBot="1">
      <c r="A5" s="1155"/>
      <c r="B5" s="1156" t="s">
        <v>1</v>
      </c>
      <c r="C5" s="1157" t="s">
        <v>3</v>
      </c>
      <c r="D5" s="1157" t="s">
        <v>2</v>
      </c>
      <c r="E5" s="1157" t="s">
        <v>4</v>
      </c>
      <c r="F5" s="1157" t="s">
        <v>5</v>
      </c>
      <c r="G5" s="1157" t="s">
        <v>15</v>
      </c>
      <c r="H5" s="1157" t="s">
        <v>16</v>
      </c>
      <c r="I5" s="1157" t="s">
        <v>17</v>
      </c>
      <c r="J5" s="1157" t="s">
        <v>36</v>
      </c>
      <c r="K5" s="1157" t="s">
        <v>30</v>
      </c>
      <c r="L5" s="1157" t="s">
        <v>23</v>
      </c>
      <c r="M5" s="1157" t="s">
        <v>37</v>
      </c>
      <c r="N5" s="1157" t="s">
        <v>38</v>
      </c>
      <c r="O5" s="1157" t="s">
        <v>160</v>
      </c>
      <c r="P5" s="1157" t="s">
        <v>161</v>
      </c>
      <c r="Q5" s="1155"/>
      <c r="R5" s="1155"/>
      <c r="S5" s="1155"/>
      <c r="T5" s="1155"/>
      <c r="U5" s="1155"/>
      <c r="V5" s="1155"/>
      <c r="W5" s="1155"/>
      <c r="X5" s="1155"/>
      <c r="Y5" s="1155"/>
      <c r="Z5" s="1155"/>
      <c r="AA5" s="1155"/>
      <c r="AB5" s="1155"/>
      <c r="AC5" s="1155"/>
      <c r="AD5" s="1155"/>
      <c r="AE5" s="1155"/>
      <c r="AF5" s="1155"/>
      <c r="AG5" s="1155"/>
      <c r="AH5" s="1155"/>
      <c r="AI5" s="1155"/>
      <c r="AJ5" s="1155"/>
      <c r="AK5" s="1155"/>
      <c r="AL5" s="1155"/>
      <c r="AM5" s="1155"/>
      <c r="AN5" s="1155"/>
      <c r="AO5" s="1155"/>
      <c r="AP5" s="1155"/>
      <c r="AQ5" s="1155"/>
      <c r="AR5" s="1155"/>
      <c r="AS5" s="1155"/>
      <c r="AT5" s="1155"/>
      <c r="AU5" s="1155"/>
      <c r="AV5" s="1155"/>
      <c r="AW5" s="1155"/>
      <c r="AX5" s="1155"/>
      <c r="AY5" s="1155"/>
      <c r="AZ5" s="1155"/>
      <c r="BA5" s="1155"/>
      <c r="BB5" s="1155"/>
      <c r="BC5" s="1155"/>
      <c r="BD5" s="1155"/>
      <c r="BE5" s="1155"/>
      <c r="BF5" s="1155"/>
      <c r="BG5" s="1155"/>
      <c r="BH5" s="1155"/>
      <c r="BI5" s="1155"/>
      <c r="BJ5" s="1155"/>
      <c r="BK5" s="1155"/>
      <c r="BL5" s="1155"/>
      <c r="BM5" s="1155"/>
      <c r="BN5" s="1155"/>
      <c r="BO5" s="1155"/>
      <c r="BP5" s="1155"/>
      <c r="BQ5" s="1155"/>
      <c r="BR5" s="1155"/>
      <c r="BS5" s="1155"/>
      <c r="BT5" s="1155"/>
      <c r="BU5" s="1155"/>
      <c r="BV5" s="1155"/>
      <c r="BW5" s="1155"/>
      <c r="BX5" s="1155"/>
      <c r="BY5" s="1155"/>
      <c r="BZ5" s="1155"/>
      <c r="CA5" s="1155"/>
      <c r="CB5" s="1155"/>
      <c r="CC5" s="1155"/>
      <c r="CD5" s="1155"/>
      <c r="CE5" s="1155"/>
      <c r="CF5" s="1155"/>
      <c r="CG5" s="1155"/>
      <c r="CH5" s="1155"/>
      <c r="CI5" s="1155"/>
      <c r="CJ5" s="1155"/>
      <c r="CK5" s="1155"/>
      <c r="CL5" s="1155"/>
      <c r="CM5" s="1155"/>
      <c r="CN5" s="1155"/>
      <c r="CO5" s="1155"/>
      <c r="CP5" s="1155"/>
      <c r="CQ5" s="1155"/>
      <c r="CR5" s="1155"/>
      <c r="CS5" s="1155"/>
      <c r="CT5" s="1155"/>
      <c r="CU5" s="1155"/>
      <c r="CV5" s="1155"/>
      <c r="CW5" s="1155"/>
      <c r="CX5" s="1155"/>
      <c r="CY5" s="1155"/>
      <c r="CZ5" s="1155"/>
      <c r="DA5" s="1155"/>
      <c r="DB5" s="1155"/>
      <c r="DC5" s="1155"/>
      <c r="DD5" s="1155"/>
      <c r="DE5" s="1155"/>
      <c r="DF5" s="1155"/>
      <c r="DG5" s="1155"/>
      <c r="DH5" s="1155"/>
      <c r="DI5" s="1155"/>
      <c r="DJ5" s="1155"/>
      <c r="DK5" s="1155"/>
      <c r="DL5" s="1155"/>
      <c r="DM5" s="1155"/>
      <c r="DN5" s="1155"/>
      <c r="DO5" s="1155"/>
      <c r="DP5" s="1155"/>
      <c r="DQ5" s="1155"/>
      <c r="DR5" s="1155"/>
      <c r="DS5" s="1155"/>
      <c r="DT5" s="1155"/>
      <c r="DU5" s="1155"/>
      <c r="DV5" s="1155"/>
      <c r="DW5" s="1155"/>
      <c r="DX5" s="1155"/>
      <c r="DY5" s="1155"/>
      <c r="DZ5" s="1155"/>
      <c r="EA5" s="1155"/>
      <c r="EB5" s="1155"/>
      <c r="EC5" s="1155"/>
      <c r="ED5" s="1155"/>
      <c r="EE5" s="1155"/>
      <c r="EF5" s="1155"/>
      <c r="EG5" s="1155"/>
      <c r="EH5" s="1155"/>
      <c r="EI5" s="1155"/>
      <c r="EJ5" s="1155"/>
      <c r="EK5" s="1155"/>
      <c r="EL5" s="1155"/>
      <c r="EM5" s="1155"/>
      <c r="EN5" s="1155"/>
      <c r="EO5" s="1155"/>
      <c r="EP5" s="1155"/>
      <c r="EQ5" s="1155"/>
      <c r="ER5" s="1155"/>
      <c r="ES5" s="1155"/>
      <c r="ET5" s="1155"/>
      <c r="EU5" s="1155"/>
      <c r="EV5" s="1155"/>
      <c r="EW5" s="1155"/>
      <c r="EX5" s="1155"/>
      <c r="EY5" s="1155"/>
      <c r="EZ5" s="1155"/>
      <c r="FA5" s="1155"/>
      <c r="FB5" s="1155"/>
      <c r="FC5" s="1155"/>
      <c r="FD5" s="1155"/>
      <c r="FE5" s="1155"/>
      <c r="FF5" s="1155"/>
      <c r="FG5" s="1155"/>
      <c r="FH5" s="1155"/>
      <c r="FI5" s="1155"/>
      <c r="FJ5" s="1155"/>
      <c r="FK5" s="1155"/>
      <c r="FL5" s="1155"/>
      <c r="FM5" s="1155"/>
      <c r="FN5" s="1155"/>
      <c r="FO5" s="1155"/>
      <c r="FP5" s="1155"/>
      <c r="FQ5" s="1155"/>
      <c r="FR5" s="1155"/>
      <c r="FS5" s="1155"/>
      <c r="FT5" s="1155"/>
      <c r="FU5" s="1155"/>
      <c r="FV5" s="1155"/>
      <c r="FW5" s="1155"/>
      <c r="FX5" s="1155"/>
      <c r="FY5" s="1155"/>
      <c r="FZ5" s="1155"/>
      <c r="GA5" s="1155"/>
      <c r="GB5" s="1155"/>
      <c r="GC5" s="1155"/>
      <c r="GD5" s="1155"/>
      <c r="GE5" s="1155"/>
      <c r="GF5" s="1155"/>
      <c r="GG5" s="1155"/>
      <c r="GH5" s="1155"/>
      <c r="GI5" s="1155"/>
      <c r="GJ5" s="1155"/>
      <c r="GK5" s="1155"/>
      <c r="GL5" s="1155"/>
      <c r="GM5" s="1155"/>
      <c r="GN5" s="1155"/>
      <c r="GO5" s="1155"/>
      <c r="GP5" s="1155"/>
      <c r="GQ5" s="1155"/>
      <c r="GR5" s="1155"/>
      <c r="GS5" s="1155"/>
      <c r="GT5" s="1155"/>
      <c r="GU5" s="1155"/>
      <c r="GV5" s="1155"/>
      <c r="GW5" s="1155"/>
      <c r="GX5" s="1155"/>
      <c r="GY5" s="1155"/>
      <c r="GZ5" s="1155"/>
      <c r="HA5" s="1155"/>
      <c r="HB5" s="1155"/>
      <c r="HC5" s="1155"/>
      <c r="HD5" s="1155"/>
      <c r="HE5" s="1155"/>
      <c r="HF5" s="1155"/>
      <c r="HG5" s="1155"/>
      <c r="HH5" s="1155"/>
      <c r="HI5" s="1155"/>
      <c r="HJ5" s="1155"/>
      <c r="HK5" s="1155"/>
      <c r="HL5" s="1155"/>
      <c r="HM5" s="1155"/>
      <c r="HN5" s="1155"/>
      <c r="HO5" s="1155"/>
      <c r="HP5" s="1155"/>
      <c r="HQ5" s="1155"/>
      <c r="HR5" s="1155"/>
      <c r="HS5" s="1155"/>
      <c r="HT5" s="1155"/>
      <c r="HU5" s="1155"/>
      <c r="HV5" s="1155"/>
      <c r="HW5" s="1155"/>
      <c r="HX5" s="1155"/>
      <c r="HY5" s="1155"/>
      <c r="HZ5" s="1155"/>
      <c r="IA5" s="1155"/>
      <c r="IB5" s="1155"/>
      <c r="IC5" s="1155"/>
      <c r="ID5" s="1155"/>
      <c r="IE5" s="1155"/>
      <c r="IF5" s="1155"/>
      <c r="IG5" s="1155"/>
      <c r="IH5" s="1155"/>
      <c r="II5" s="1155"/>
      <c r="IJ5" s="1155"/>
      <c r="IK5" s="1155"/>
      <c r="IL5" s="1155"/>
      <c r="IM5" s="1155"/>
      <c r="IN5" s="1155"/>
      <c r="IO5" s="1155"/>
      <c r="IP5" s="1155"/>
    </row>
    <row r="6" spans="2:18" ht="22.5" customHeight="1">
      <c r="B6" s="1709" t="s">
        <v>18</v>
      </c>
      <c r="C6" s="1705" t="s">
        <v>19</v>
      </c>
      <c r="D6" s="1717" t="s">
        <v>6</v>
      </c>
      <c r="E6" s="1712" t="s">
        <v>660</v>
      </c>
      <c r="F6" s="1712" t="s">
        <v>1001</v>
      </c>
      <c r="G6" s="1720" t="s">
        <v>892</v>
      </c>
      <c r="H6" s="1694" t="s">
        <v>20</v>
      </c>
      <c r="I6" s="1723" t="s">
        <v>645</v>
      </c>
      <c r="J6" s="1712"/>
      <c r="K6" s="1712"/>
      <c r="L6" s="1712"/>
      <c r="M6" s="1712"/>
      <c r="N6" s="1712"/>
      <c r="O6" s="1724"/>
      <c r="P6" s="1725" t="s">
        <v>656</v>
      </c>
      <c r="Q6" s="1708"/>
      <c r="R6" s="1708"/>
    </row>
    <row r="7" spans="2:16" ht="33" customHeight="1">
      <c r="B7" s="1710"/>
      <c r="C7" s="1706"/>
      <c r="D7" s="1718"/>
      <c r="E7" s="1713"/>
      <c r="F7" s="1713"/>
      <c r="G7" s="1721"/>
      <c r="H7" s="1695"/>
      <c r="I7" s="1728" t="s">
        <v>662</v>
      </c>
      <c r="J7" s="1729"/>
      <c r="K7" s="1730"/>
      <c r="L7" s="1730"/>
      <c r="M7" s="1699" t="s">
        <v>163</v>
      </c>
      <c r="N7" s="1699"/>
      <c r="O7" s="1700" t="s">
        <v>129</v>
      </c>
      <c r="P7" s="1726"/>
    </row>
    <row r="8" spans="2:16" ht="53.25" customHeight="1" thickBot="1">
      <c r="B8" s="1711"/>
      <c r="C8" s="1707"/>
      <c r="D8" s="1719"/>
      <c r="E8" s="1714"/>
      <c r="F8" s="1714"/>
      <c r="G8" s="1722"/>
      <c r="H8" s="1696"/>
      <c r="I8" s="1177" t="s">
        <v>40</v>
      </c>
      <c r="J8" s="861" t="s">
        <v>657</v>
      </c>
      <c r="K8" s="862" t="s">
        <v>42</v>
      </c>
      <c r="L8" s="862" t="s">
        <v>659</v>
      </c>
      <c r="M8" s="861" t="s">
        <v>231</v>
      </c>
      <c r="N8" s="861" t="s">
        <v>164</v>
      </c>
      <c r="O8" s="1701"/>
      <c r="P8" s="1727"/>
    </row>
    <row r="9" spans="1:256" s="865" customFormat="1" ht="22.5" customHeight="1">
      <c r="A9" s="880">
        <v>1</v>
      </c>
      <c r="B9" s="863">
        <v>18</v>
      </c>
      <c r="C9" s="875" t="s">
        <v>14</v>
      </c>
      <c r="D9" s="1165"/>
      <c r="E9" s="472"/>
      <c r="F9" s="470"/>
      <c r="G9" s="471"/>
      <c r="H9" s="1182"/>
      <c r="I9" s="1178"/>
      <c r="J9" s="883"/>
      <c r="K9" s="883"/>
      <c r="L9" s="883"/>
      <c r="M9" s="883"/>
      <c r="N9" s="883"/>
      <c r="O9" s="864"/>
      <c r="P9" s="867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256" s="865" customFormat="1" ht="22.5" customHeight="1">
      <c r="A10" s="880">
        <v>2</v>
      </c>
      <c r="B10" s="873"/>
      <c r="C10" s="517">
        <v>1</v>
      </c>
      <c r="D10" s="868" t="s">
        <v>720</v>
      </c>
      <c r="E10" s="475"/>
      <c r="F10" s="869"/>
      <c r="G10" s="476"/>
      <c r="H10" s="1183" t="s">
        <v>24</v>
      </c>
      <c r="I10" s="1201"/>
      <c r="J10" s="1197"/>
      <c r="K10" s="1197"/>
      <c r="L10" s="1197"/>
      <c r="M10" s="1197"/>
      <c r="N10" s="1197"/>
      <c r="O10" s="874"/>
      <c r="P10" s="870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3"/>
      <c r="FE10" s="463"/>
      <c r="FF10" s="463"/>
      <c r="FG10" s="463"/>
      <c r="FH10" s="463"/>
      <c r="FI10" s="463"/>
      <c r="FJ10" s="463"/>
      <c r="FK10" s="463"/>
      <c r="FL10" s="463"/>
      <c r="FM10" s="463"/>
      <c r="FN10" s="463"/>
      <c r="FO10" s="463"/>
      <c r="FP10" s="463"/>
      <c r="FQ10" s="463"/>
      <c r="FR10" s="463"/>
      <c r="FS10" s="463"/>
      <c r="FT10" s="463"/>
      <c r="FU10" s="463"/>
      <c r="FV10" s="463"/>
      <c r="FW10" s="463"/>
      <c r="FX10" s="463"/>
      <c r="FY10" s="463"/>
      <c r="FZ10" s="463"/>
      <c r="GA10" s="463"/>
      <c r="GB10" s="463"/>
      <c r="GC10" s="463"/>
      <c r="GD10" s="463"/>
      <c r="GE10" s="463"/>
      <c r="GF10" s="463"/>
      <c r="GG10" s="463"/>
      <c r="GH10" s="463"/>
      <c r="GI10" s="463"/>
      <c r="GJ10" s="463"/>
      <c r="GK10" s="463"/>
      <c r="GL10" s="463"/>
      <c r="GM10" s="463"/>
      <c r="GN10" s="463"/>
      <c r="GO10" s="463"/>
      <c r="GP10" s="463"/>
      <c r="GQ10" s="463"/>
      <c r="GR10" s="463"/>
      <c r="GS10" s="463"/>
      <c r="GT10" s="463"/>
      <c r="GU10" s="463"/>
      <c r="GV10" s="463"/>
      <c r="GW10" s="463"/>
      <c r="GX10" s="463"/>
      <c r="GY10" s="463"/>
      <c r="GZ10" s="463"/>
      <c r="HA10" s="463"/>
      <c r="HB10" s="463"/>
      <c r="HC10" s="463"/>
      <c r="HD10" s="463"/>
      <c r="HE10" s="463"/>
      <c r="HF10" s="463"/>
      <c r="HG10" s="463"/>
      <c r="HH10" s="463"/>
      <c r="HI10" s="463"/>
      <c r="HJ10" s="463"/>
      <c r="HK10" s="463"/>
      <c r="HL10" s="463"/>
      <c r="HM10" s="463"/>
      <c r="HN10" s="463"/>
      <c r="HO10" s="463"/>
      <c r="HP10" s="463"/>
      <c r="HQ10" s="463"/>
      <c r="HR10" s="463"/>
      <c r="HS10" s="463"/>
      <c r="HT10" s="463"/>
      <c r="HU10" s="463"/>
      <c r="HV10" s="463"/>
      <c r="HW10" s="463"/>
      <c r="HX10" s="463"/>
      <c r="HY10" s="463"/>
      <c r="HZ10" s="463"/>
      <c r="IA10" s="463"/>
      <c r="IB10" s="463"/>
      <c r="IC10" s="463"/>
      <c r="ID10" s="463"/>
      <c r="IE10" s="463"/>
      <c r="IF10" s="463"/>
      <c r="IG10" s="463"/>
      <c r="IH10" s="463"/>
      <c r="II10" s="463"/>
      <c r="IJ10" s="463"/>
      <c r="IK10" s="463"/>
      <c r="IL10" s="463"/>
      <c r="IM10" s="463"/>
      <c r="IN10" s="463"/>
      <c r="IO10" s="463"/>
      <c r="IP10" s="463"/>
      <c r="IQ10" s="463"/>
      <c r="IR10" s="463"/>
      <c r="IS10" s="463"/>
      <c r="IT10" s="463"/>
      <c r="IU10" s="463"/>
      <c r="IV10" s="463"/>
    </row>
    <row r="11" spans="1:17" s="1175" customFormat="1" ht="18" customHeight="1">
      <c r="A11" s="880">
        <v>3</v>
      </c>
      <c r="B11" s="1167"/>
      <c r="C11" s="1168"/>
      <c r="D11" s="1169" t="s">
        <v>312</v>
      </c>
      <c r="E11" s="475">
        <f>F11+G11+O11+P11</f>
        <v>5232358</v>
      </c>
      <c r="F11" s="869"/>
      <c r="G11" s="476">
        <f>106200</f>
        <v>106200</v>
      </c>
      <c r="H11" s="1184"/>
      <c r="I11" s="1201"/>
      <c r="J11" s="1197"/>
      <c r="K11" s="1197">
        <v>34384</v>
      </c>
      <c r="L11" s="1197"/>
      <c r="M11" s="1197">
        <v>694452</v>
      </c>
      <c r="N11" s="1197"/>
      <c r="O11" s="1166">
        <f>SUM(I11:N11)</f>
        <v>728836</v>
      </c>
      <c r="P11" s="870">
        <v>4397322</v>
      </c>
      <c r="Q11" s="1206"/>
    </row>
    <row r="12" spans="1:256" s="865" customFormat="1" ht="22.5" customHeight="1">
      <c r="A12" s="880">
        <v>4</v>
      </c>
      <c r="B12" s="873"/>
      <c r="C12" s="517">
        <v>2</v>
      </c>
      <c r="D12" s="868" t="s">
        <v>721</v>
      </c>
      <c r="E12" s="475"/>
      <c r="F12" s="869"/>
      <c r="G12" s="476"/>
      <c r="H12" s="1183" t="s">
        <v>24</v>
      </c>
      <c r="I12" s="1201"/>
      <c r="J12" s="1197"/>
      <c r="K12" s="1197"/>
      <c r="L12" s="1197"/>
      <c r="M12" s="1197"/>
      <c r="N12" s="1197"/>
      <c r="O12" s="874"/>
      <c r="P12" s="870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3"/>
      <c r="DB12" s="463"/>
      <c r="DC12" s="463"/>
      <c r="DD12" s="463"/>
      <c r="DE12" s="463"/>
      <c r="DF12" s="463"/>
      <c r="DG12" s="463"/>
      <c r="DH12" s="463"/>
      <c r="DI12" s="463"/>
      <c r="DJ12" s="463"/>
      <c r="DK12" s="463"/>
      <c r="DL12" s="463"/>
      <c r="DM12" s="463"/>
      <c r="DN12" s="463"/>
      <c r="DO12" s="463"/>
      <c r="DP12" s="463"/>
      <c r="DQ12" s="463"/>
      <c r="DR12" s="463"/>
      <c r="DS12" s="463"/>
      <c r="DT12" s="463"/>
      <c r="DU12" s="463"/>
      <c r="DV12" s="463"/>
      <c r="DW12" s="463"/>
      <c r="DX12" s="463"/>
      <c r="DY12" s="463"/>
      <c r="DZ12" s="463"/>
      <c r="EA12" s="463"/>
      <c r="EB12" s="463"/>
      <c r="EC12" s="463"/>
      <c r="ED12" s="463"/>
      <c r="EE12" s="463"/>
      <c r="EF12" s="463"/>
      <c r="EG12" s="463"/>
      <c r="EH12" s="463"/>
      <c r="EI12" s="463"/>
      <c r="EJ12" s="463"/>
      <c r="EK12" s="463"/>
      <c r="EL12" s="463"/>
      <c r="EM12" s="463"/>
      <c r="EN12" s="463"/>
      <c r="EO12" s="463"/>
      <c r="EP12" s="463"/>
      <c r="EQ12" s="463"/>
      <c r="ER12" s="463"/>
      <c r="ES12" s="463"/>
      <c r="ET12" s="463"/>
      <c r="EU12" s="463"/>
      <c r="EV12" s="463"/>
      <c r="EW12" s="463"/>
      <c r="EX12" s="463"/>
      <c r="EY12" s="463"/>
      <c r="EZ12" s="463"/>
      <c r="FA12" s="463"/>
      <c r="FB12" s="463"/>
      <c r="FC12" s="463"/>
      <c r="FD12" s="463"/>
      <c r="FE12" s="463"/>
      <c r="FF12" s="463"/>
      <c r="FG12" s="463"/>
      <c r="FH12" s="463"/>
      <c r="FI12" s="463"/>
      <c r="FJ12" s="463"/>
      <c r="FK12" s="463"/>
      <c r="FL12" s="463"/>
      <c r="FM12" s="463"/>
      <c r="FN12" s="463"/>
      <c r="FO12" s="463"/>
      <c r="FP12" s="463"/>
      <c r="FQ12" s="463"/>
      <c r="FR12" s="463"/>
      <c r="FS12" s="463"/>
      <c r="FT12" s="463"/>
      <c r="FU12" s="463"/>
      <c r="FV12" s="463"/>
      <c r="FW12" s="463"/>
      <c r="FX12" s="463"/>
      <c r="FY12" s="463"/>
      <c r="FZ12" s="463"/>
      <c r="GA12" s="463"/>
      <c r="GB12" s="463"/>
      <c r="GC12" s="463"/>
      <c r="GD12" s="463"/>
      <c r="GE12" s="463"/>
      <c r="GF12" s="463"/>
      <c r="GG12" s="463"/>
      <c r="GH12" s="463"/>
      <c r="GI12" s="463"/>
      <c r="GJ12" s="463"/>
      <c r="GK12" s="463"/>
      <c r="GL12" s="463"/>
      <c r="GM12" s="463"/>
      <c r="GN12" s="463"/>
      <c r="GO12" s="463"/>
      <c r="GP12" s="463"/>
      <c r="GQ12" s="463"/>
      <c r="GR12" s="463"/>
      <c r="GS12" s="463"/>
      <c r="GT12" s="463"/>
      <c r="GU12" s="463"/>
      <c r="GV12" s="463"/>
      <c r="GW12" s="463"/>
      <c r="GX12" s="463"/>
      <c r="GY12" s="463"/>
      <c r="GZ12" s="463"/>
      <c r="HA12" s="463"/>
      <c r="HB12" s="463"/>
      <c r="HC12" s="463"/>
      <c r="HD12" s="463"/>
      <c r="HE12" s="463"/>
      <c r="HF12" s="463"/>
      <c r="HG12" s="463"/>
      <c r="HH12" s="463"/>
      <c r="HI12" s="463"/>
      <c r="HJ12" s="463"/>
      <c r="HK12" s="463"/>
      <c r="HL12" s="463"/>
      <c r="HM12" s="463"/>
      <c r="HN12" s="463"/>
      <c r="HO12" s="463"/>
      <c r="HP12" s="463"/>
      <c r="HQ12" s="463"/>
      <c r="HR12" s="463"/>
      <c r="HS12" s="463"/>
      <c r="HT12" s="463"/>
      <c r="HU12" s="463"/>
      <c r="HV12" s="463"/>
      <c r="HW12" s="463"/>
      <c r="HX12" s="463"/>
      <c r="HY12" s="463"/>
      <c r="HZ12" s="463"/>
      <c r="IA12" s="463"/>
      <c r="IB12" s="463"/>
      <c r="IC12" s="463"/>
      <c r="ID12" s="463"/>
      <c r="IE12" s="463"/>
      <c r="IF12" s="463"/>
      <c r="IG12" s="463"/>
      <c r="IH12" s="463"/>
      <c r="II12" s="463"/>
      <c r="IJ12" s="463"/>
      <c r="IK12" s="463"/>
      <c r="IL12" s="463"/>
      <c r="IM12" s="463"/>
      <c r="IN12" s="463"/>
      <c r="IO12" s="463"/>
      <c r="IP12" s="463"/>
      <c r="IQ12" s="463"/>
      <c r="IR12" s="463"/>
      <c r="IS12" s="463"/>
      <c r="IT12" s="463"/>
      <c r="IU12" s="463"/>
      <c r="IV12" s="463"/>
    </row>
    <row r="13" spans="1:17" s="1175" customFormat="1" ht="18" customHeight="1">
      <c r="A13" s="880">
        <v>5</v>
      </c>
      <c r="B13" s="1167"/>
      <c r="C13" s="1168"/>
      <c r="D13" s="1169" t="s">
        <v>312</v>
      </c>
      <c r="E13" s="475">
        <f>F13+G13+O13+P13</f>
        <v>14460580</v>
      </c>
      <c r="F13" s="869">
        <v>324476</v>
      </c>
      <c r="G13" s="476">
        <f>2834+481562</f>
        <v>484396</v>
      </c>
      <c r="H13" s="1184"/>
      <c r="I13" s="1201"/>
      <c r="J13" s="1197"/>
      <c r="K13" s="1197">
        <v>499</v>
      </c>
      <c r="L13" s="1197"/>
      <c r="M13" s="1197">
        <v>3870629</v>
      </c>
      <c r="N13" s="1197"/>
      <c r="O13" s="1166">
        <f>SUM(I13:N13)</f>
        <v>3871128</v>
      </c>
      <c r="P13" s="870">
        <v>9780580</v>
      </c>
      <c r="Q13" s="1206"/>
    </row>
    <row r="14" spans="1:256" s="865" customFormat="1" ht="22.5" customHeight="1">
      <c r="A14" s="880">
        <v>6</v>
      </c>
      <c r="B14" s="873"/>
      <c r="C14" s="465">
        <v>3</v>
      </c>
      <c r="D14" s="1488" t="s">
        <v>722</v>
      </c>
      <c r="E14" s="475"/>
      <c r="F14" s="869"/>
      <c r="G14" s="476"/>
      <c r="H14" s="1183" t="s">
        <v>24</v>
      </c>
      <c r="I14" s="1201"/>
      <c r="J14" s="1197"/>
      <c r="K14" s="1197"/>
      <c r="L14" s="1197"/>
      <c r="M14" s="1197"/>
      <c r="N14" s="1197"/>
      <c r="O14" s="874"/>
      <c r="P14" s="870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3"/>
      <c r="DX14" s="463"/>
      <c r="DY14" s="463"/>
      <c r="DZ14" s="463"/>
      <c r="EA14" s="463"/>
      <c r="EB14" s="463"/>
      <c r="EC14" s="463"/>
      <c r="ED14" s="463"/>
      <c r="EE14" s="463"/>
      <c r="EF14" s="463"/>
      <c r="EG14" s="463"/>
      <c r="EH14" s="463"/>
      <c r="EI14" s="463"/>
      <c r="EJ14" s="463"/>
      <c r="EK14" s="463"/>
      <c r="EL14" s="463"/>
      <c r="EM14" s="463"/>
      <c r="EN14" s="463"/>
      <c r="EO14" s="463"/>
      <c r="EP14" s="463"/>
      <c r="EQ14" s="463"/>
      <c r="ER14" s="463"/>
      <c r="ES14" s="463"/>
      <c r="ET14" s="463"/>
      <c r="EU14" s="463"/>
      <c r="EV14" s="463"/>
      <c r="EW14" s="463"/>
      <c r="EX14" s="463"/>
      <c r="EY14" s="463"/>
      <c r="EZ14" s="463"/>
      <c r="FA14" s="463"/>
      <c r="FB14" s="463"/>
      <c r="FC14" s="463"/>
      <c r="FD14" s="463"/>
      <c r="FE14" s="463"/>
      <c r="FF14" s="463"/>
      <c r="FG14" s="463"/>
      <c r="FH14" s="463"/>
      <c r="FI14" s="463"/>
      <c r="FJ14" s="463"/>
      <c r="FK14" s="463"/>
      <c r="FL14" s="463"/>
      <c r="FM14" s="463"/>
      <c r="FN14" s="463"/>
      <c r="FO14" s="463"/>
      <c r="FP14" s="463"/>
      <c r="FQ14" s="463"/>
      <c r="FR14" s="463"/>
      <c r="FS14" s="463"/>
      <c r="FT14" s="463"/>
      <c r="FU14" s="463"/>
      <c r="FV14" s="463"/>
      <c r="FW14" s="463"/>
      <c r="FX14" s="463"/>
      <c r="FY14" s="463"/>
      <c r="FZ14" s="463"/>
      <c r="GA14" s="463"/>
      <c r="GB14" s="463"/>
      <c r="GC14" s="463"/>
      <c r="GD14" s="463"/>
      <c r="GE14" s="463"/>
      <c r="GF14" s="463"/>
      <c r="GG14" s="463"/>
      <c r="GH14" s="463"/>
      <c r="GI14" s="463"/>
      <c r="GJ14" s="463"/>
      <c r="GK14" s="463"/>
      <c r="GL14" s="463"/>
      <c r="GM14" s="463"/>
      <c r="GN14" s="463"/>
      <c r="GO14" s="463"/>
      <c r="GP14" s="463"/>
      <c r="GQ14" s="463"/>
      <c r="GR14" s="463"/>
      <c r="GS14" s="463"/>
      <c r="GT14" s="463"/>
      <c r="GU14" s="463"/>
      <c r="GV14" s="463"/>
      <c r="GW14" s="463"/>
      <c r="GX14" s="463"/>
      <c r="GY14" s="463"/>
      <c r="GZ14" s="463"/>
      <c r="HA14" s="463"/>
      <c r="HB14" s="463"/>
      <c r="HC14" s="463"/>
      <c r="HD14" s="463"/>
      <c r="HE14" s="463"/>
      <c r="HF14" s="463"/>
      <c r="HG14" s="463"/>
      <c r="HH14" s="463"/>
      <c r="HI14" s="463"/>
      <c r="HJ14" s="463"/>
      <c r="HK14" s="463"/>
      <c r="HL14" s="463"/>
      <c r="HM14" s="463"/>
      <c r="HN14" s="463"/>
      <c r="HO14" s="463"/>
      <c r="HP14" s="463"/>
      <c r="HQ14" s="463"/>
      <c r="HR14" s="463"/>
      <c r="HS14" s="463"/>
      <c r="HT14" s="463"/>
      <c r="HU14" s="463"/>
      <c r="HV14" s="463"/>
      <c r="HW14" s="463"/>
      <c r="HX14" s="463"/>
      <c r="HY14" s="463"/>
      <c r="HZ14" s="463"/>
      <c r="IA14" s="463"/>
      <c r="IB14" s="463"/>
      <c r="IC14" s="463"/>
      <c r="ID14" s="463"/>
      <c r="IE14" s="463"/>
      <c r="IF14" s="463"/>
      <c r="IG14" s="463"/>
      <c r="IH14" s="463"/>
      <c r="II14" s="463"/>
      <c r="IJ14" s="463"/>
      <c r="IK14" s="463"/>
      <c r="IL14" s="463"/>
      <c r="IM14" s="463"/>
      <c r="IN14" s="463"/>
      <c r="IO14" s="463"/>
      <c r="IP14" s="463"/>
      <c r="IQ14" s="463"/>
      <c r="IR14" s="463"/>
      <c r="IS14" s="463"/>
      <c r="IT14" s="463"/>
      <c r="IU14" s="463"/>
      <c r="IV14" s="463"/>
    </row>
    <row r="15" spans="1:17" s="1175" customFormat="1" ht="18" customHeight="1">
      <c r="A15" s="880">
        <v>7</v>
      </c>
      <c r="B15" s="1167"/>
      <c r="C15" s="1168"/>
      <c r="D15" s="1169" t="s">
        <v>312</v>
      </c>
      <c r="E15" s="475">
        <f>F15+G15+O15+P15</f>
        <v>1793189</v>
      </c>
      <c r="F15" s="869">
        <v>1281902</v>
      </c>
      <c r="G15" s="476">
        <f>1692</f>
        <v>1692</v>
      </c>
      <c r="H15" s="1184"/>
      <c r="I15" s="1201"/>
      <c r="J15" s="1197"/>
      <c r="K15" s="1197">
        <v>658</v>
      </c>
      <c r="L15" s="1197"/>
      <c r="M15" s="1197">
        <f>371256+137681</f>
        <v>508937</v>
      </c>
      <c r="N15" s="1197"/>
      <c r="O15" s="1166">
        <f>SUM(I15:N15)</f>
        <v>509595</v>
      </c>
      <c r="P15" s="870"/>
      <c r="Q15" s="1206"/>
    </row>
    <row r="16" spans="1:256" s="865" customFormat="1" ht="49.5" customHeight="1">
      <c r="A16" s="880">
        <v>8</v>
      </c>
      <c r="B16" s="873"/>
      <c r="C16" s="465">
        <v>4</v>
      </c>
      <c r="D16" s="1204" t="s">
        <v>723</v>
      </c>
      <c r="E16" s="475"/>
      <c r="F16" s="869"/>
      <c r="G16" s="476"/>
      <c r="H16" s="1183" t="s">
        <v>24</v>
      </c>
      <c r="I16" s="1201"/>
      <c r="J16" s="1197"/>
      <c r="K16" s="1197"/>
      <c r="L16" s="1197"/>
      <c r="M16" s="1197"/>
      <c r="N16" s="1197"/>
      <c r="O16" s="874"/>
      <c r="P16" s="870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63"/>
      <c r="DN16" s="463"/>
      <c r="DO16" s="463"/>
      <c r="DP16" s="463"/>
      <c r="DQ16" s="463"/>
      <c r="DR16" s="463"/>
      <c r="DS16" s="463"/>
      <c r="DT16" s="463"/>
      <c r="DU16" s="463"/>
      <c r="DV16" s="463"/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3"/>
      <c r="EL16" s="463"/>
      <c r="EM16" s="463"/>
      <c r="EN16" s="463"/>
      <c r="EO16" s="463"/>
      <c r="EP16" s="463"/>
      <c r="EQ16" s="463"/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3"/>
      <c r="FL16" s="463"/>
      <c r="FM16" s="463"/>
      <c r="FN16" s="463"/>
      <c r="FO16" s="463"/>
      <c r="FP16" s="463"/>
      <c r="FQ16" s="463"/>
      <c r="FR16" s="463"/>
      <c r="FS16" s="463"/>
      <c r="FT16" s="463"/>
      <c r="FU16" s="463"/>
      <c r="FV16" s="463"/>
      <c r="FW16" s="463"/>
      <c r="FX16" s="463"/>
      <c r="FY16" s="463"/>
      <c r="FZ16" s="463"/>
      <c r="GA16" s="463"/>
      <c r="GB16" s="463"/>
      <c r="GC16" s="463"/>
      <c r="GD16" s="463"/>
      <c r="GE16" s="463"/>
      <c r="GF16" s="463"/>
      <c r="GG16" s="463"/>
      <c r="GH16" s="463"/>
      <c r="GI16" s="463"/>
      <c r="GJ16" s="463"/>
      <c r="GK16" s="463"/>
      <c r="GL16" s="463"/>
      <c r="GM16" s="463"/>
      <c r="GN16" s="463"/>
      <c r="GO16" s="463"/>
      <c r="GP16" s="463"/>
      <c r="GQ16" s="463"/>
      <c r="GR16" s="463"/>
      <c r="GS16" s="463"/>
      <c r="GT16" s="463"/>
      <c r="GU16" s="463"/>
      <c r="GV16" s="463"/>
      <c r="GW16" s="463"/>
      <c r="GX16" s="463"/>
      <c r="GY16" s="463"/>
      <c r="GZ16" s="463"/>
      <c r="HA16" s="463"/>
      <c r="HB16" s="463"/>
      <c r="HC16" s="463"/>
      <c r="HD16" s="463"/>
      <c r="HE16" s="463"/>
      <c r="HF16" s="463"/>
      <c r="HG16" s="463"/>
      <c r="HH16" s="463"/>
      <c r="HI16" s="463"/>
      <c r="HJ16" s="463"/>
      <c r="HK16" s="463"/>
      <c r="HL16" s="463"/>
      <c r="HM16" s="463"/>
      <c r="HN16" s="463"/>
      <c r="HO16" s="463"/>
      <c r="HP16" s="463"/>
      <c r="HQ16" s="463"/>
      <c r="HR16" s="463"/>
      <c r="HS16" s="463"/>
      <c r="HT16" s="463"/>
      <c r="HU16" s="463"/>
      <c r="HV16" s="463"/>
      <c r="HW16" s="463"/>
      <c r="HX16" s="463"/>
      <c r="HY16" s="463"/>
      <c r="HZ16" s="463"/>
      <c r="IA16" s="463"/>
      <c r="IB16" s="463"/>
      <c r="IC16" s="463"/>
      <c r="ID16" s="463"/>
      <c r="IE16" s="463"/>
      <c r="IF16" s="463"/>
      <c r="IG16" s="463"/>
      <c r="IH16" s="463"/>
      <c r="II16" s="463"/>
      <c r="IJ16" s="463"/>
      <c r="IK16" s="463"/>
      <c r="IL16" s="463"/>
      <c r="IM16" s="463"/>
      <c r="IN16" s="463"/>
      <c r="IO16" s="463"/>
      <c r="IP16" s="463"/>
      <c r="IQ16" s="463"/>
      <c r="IR16" s="463"/>
      <c r="IS16" s="463"/>
      <c r="IT16" s="463"/>
      <c r="IU16" s="463"/>
      <c r="IV16" s="463"/>
    </row>
    <row r="17" spans="1:17" s="1175" customFormat="1" ht="18" customHeight="1">
      <c r="A17" s="880">
        <v>9</v>
      </c>
      <c r="B17" s="1167"/>
      <c r="C17" s="1168"/>
      <c r="D17" s="1176" t="s">
        <v>312</v>
      </c>
      <c r="E17" s="475">
        <f>F17+G17+O17+P17</f>
        <v>1658925</v>
      </c>
      <c r="F17" s="869">
        <v>7043</v>
      </c>
      <c r="G17" s="476">
        <f>15189+980</f>
        <v>16169</v>
      </c>
      <c r="H17" s="1184"/>
      <c r="I17" s="1201"/>
      <c r="J17" s="1197"/>
      <c r="K17" s="1197"/>
      <c r="L17" s="1197"/>
      <c r="M17" s="1197">
        <f>78617+738788</f>
        <v>817405</v>
      </c>
      <c r="N17" s="1197"/>
      <c r="O17" s="1166">
        <f>SUM(I17:N17)</f>
        <v>817405</v>
      </c>
      <c r="P17" s="870">
        <v>818308</v>
      </c>
      <c r="Q17" s="1206"/>
    </row>
    <row r="18" spans="1:256" s="865" customFormat="1" ht="22.5" customHeight="1">
      <c r="A18" s="880">
        <v>10</v>
      </c>
      <c r="B18" s="873"/>
      <c r="C18" s="517">
        <v>5</v>
      </c>
      <c r="D18" s="868" t="s">
        <v>724</v>
      </c>
      <c r="E18" s="475"/>
      <c r="F18" s="475"/>
      <c r="G18" s="476"/>
      <c r="H18" s="1183" t="s">
        <v>24</v>
      </c>
      <c r="I18" s="1202"/>
      <c r="J18" s="1196"/>
      <c r="K18" s="1196"/>
      <c r="L18" s="1196"/>
      <c r="M18" s="1196"/>
      <c r="N18" s="1196"/>
      <c r="O18" s="879"/>
      <c r="P18" s="870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  <c r="FL18" s="463"/>
      <c r="FM18" s="463"/>
      <c r="FN18" s="463"/>
      <c r="FO18" s="463"/>
      <c r="FP18" s="463"/>
      <c r="FQ18" s="463"/>
      <c r="FR18" s="463"/>
      <c r="FS18" s="463"/>
      <c r="FT18" s="463"/>
      <c r="FU18" s="463"/>
      <c r="FV18" s="463"/>
      <c r="FW18" s="463"/>
      <c r="FX18" s="463"/>
      <c r="FY18" s="463"/>
      <c r="FZ18" s="463"/>
      <c r="GA18" s="463"/>
      <c r="GB18" s="463"/>
      <c r="GC18" s="463"/>
      <c r="GD18" s="463"/>
      <c r="GE18" s="463"/>
      <c r="GF18" s="463"/>
      <c r="GG18" s="463"/>
      <c r="GH18" s="463"/>
      <c r="GI18" s="463"/>
      <c r="GJ18" s="463"/>
      <c r="GK18" s="463"/>
      <c r="GL18" s="463"/>
      <c r="GM18" s="463"/>
      <c r="GN18" s="463"/>
      <c r="GO18" s="463"/>
      <c r="GP18" s="463"/>
      <c r="GQ18" s="463"/>
      <c r="GR18" s="463"/>
      <c r="GS18" s="463"/>
      <c r="GT18" s="463"/>
      <c r="GU18" s="463"/>
      <c r="GV18" s="463"/>
      <c r="GW18" s="463"/>
      <c r="GX18" s="463"/>
      <c r="GY18" s="463"/>
      <c r="GZ18" s="463"/>
      <c r="HA18" s="463"/>
      <c r="HB18" s="463"/>
      <c r="HC18" s="463"/>
      <c r="HD18" s="463"/>
      <c r="HE18" s="463"/>
      <c r="HF18" s="463"/>
      <c r="HG18" s="463"/>
      <c r="HH18" s="463"/>
      <c r="HI18" s="463"/>
      <c r="HJ18" s="463"/>
      <c r="HK18" s="463"/>
      <c r="HL18" s="463"/>
      <c r="HM18" s="463"/>
      <c r="HN18" s="463"/>
      <c r="HO18" s="463"/>
      <c r="HP18" s="463"/>
      <c r="HQ18" s="463"/>
      <c r="HR18" s="463"/>
      <c r="HS18" s="463"/>
      <c r="HT18" s="463"/>
      <c r="HU18" s="463"/>
      <c r="HV18" s="463"/>
      <c r="HW18" s="463"/>
      <c r="HX18" s="463"/>
      <c r="HY18" s="463"/>
      <c r="HZ18" s="463"/>
      <c r="IA18" s="463"/>
      <c r="IB18" s="463"/>
      <c r="IC18" s="463"/>
      <c r="ID18" s="463"/>
      <c r="IE18" s="463"/>
      <c r="IF18" s="463"/>
      <c r="IG18" s="463"/>
      <c r="IH18" s="463"/>
      <c r="II18" s="463"/>
      <c r="IJ18" s="463"/>
      <c r="IK18" s="463"/>
      <c r="IL18" s="463"/>
      <c r="IM18" s="463"/>
      <c r="IN18" s="463"/>
      <c r="IO18" s="463"/>
      <c r="IP18" s="463"/>
      <c r="IQ18" s="463"/>
      <c r="IR18" s="463"/>
      <c r="IS18" s="463"/>
      <c r="IT18" s="463"/>
      <c r="IU18" s="463"/>
      <c r="IV18" s="463"/>
    </row>
    <row r="19" spans="1:16" ht="18" customHeight="1">
      <c r="A19" s="880">
        <v>11</v>
      </c>
      <c r="B19" s="694"/>
      <c r="C19" s="517"/>
      <c r="D19" s="1176" t="s">
        <v>312</v>
      </c>
      <c r="E19" s="475">
        <f>F19+G19+O19+P19</f>
        <v>76282</v>
      </c>
      <c r="F19" s="475">
        <v>10737</v>
      </c>
      <c r="G19" s="476">
        <v>25052</v>
      </c>
      <c r="H19" s="1183"/>
      <c r="I19" s="1202"/>
      <c r="J19" s="1196"/>
      <c r="K19" s="1196"/>
      <c r="L19" s="1196"/>
      <c r="M19" s="1196"/>
      <c r="N19" s="1196">
        <v>40493</v>
      </c>
      <c r="O19" s="1166">
        <f>SUM(I19:N19)</f>
        <v>40493</v>
      </c>
      <c r="P19" s="870"/>
    </row>
    <row r="20" spans="1:256" s="865" customFormat="1" ht="22.5" customHeight="1">
      <c r="A20" s="880">
        <v>12</v>
      </c>
      <c r="B20" s="873"/>
      <c r="C20" s="517">
        <v>6</v>
      </c>
      <c r="D20" s="466" t="s">
        <v>725</v>
      </c>
      <c r="E20" s="475"/>
      <c r="F20" s="869"/>
      <c r="G20" s="476"/>
      <c r="H20" s="1183" t="s">
        <v>24</v>
      </c>
      <c r="I20" s="1201"/>
      <c r="J20" s="1197"/>
      <c r="K20" s="1197"/>
      <c r="L20" s="1197"/>
      <c r="M20" s="1197"/>
      <c r="N20" s="1197"/>
      <c r="O20" s="874"/>
      <c r="P20" s="870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3"/>
      <c r="DA20" s="463"/>
      <c r="DB20" s="463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3"/>
      <c r="DX20" s="463"/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3"/>
      <c r="ER20" s="463"/>
      <c r="ES20" s="463"/>
      <c r="ET20" s="463"/>
      <c r="EU20" s="463"/>
      <c r="EV20" s="463"/>
      <c r="EW20" s="463"/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3"/>
      <c r="FL20" s="463"/>
      <c r="FM20" s="463"/>
      <c r="FN20" s="463"/>
      <c r="FO20" s="463"/>
      <c r="FP20" s="463"/>
      <c r="FQ20" s="463"/>
      <c r="FR20" s="463"/>
      <c r="FS20" s="463"/>
      <c r="FT20" s="463"/>
      <c r="FU20" s="463"/>
      <c r="FV20" s="463"/>
      <c r="FW20" s="463"/>
      <c r="FX20" s="463"/>
      <c r="FY20" s="463"/>
      <c r="FZ20" s="463"/>
      <c r="GA20" s="463"/>
      <c r="GB20" s="463"/>
      <c r="GC20" s="463"/>
      <c r="GD20" s="463"/>
      <c r="GE20" s="463"/>
      <c r="GF20" s="463"/>
      <c r="GG20" s="463"/>
      <c r="GH20" s="463"/>
      <c r="GI20" s="463"/>
      <c r="GJ20" s="463"/>
      <c r="GK20" s="463"/>
      <c r="GL20" s="463"/>
      <c r="GM20" s="463"/>
      <c r="GN20" s="463"/>
      <c r="GO20" s="463"/>
      <c r="GP20" s="463"/>
      <c r="GQ20" s="463"/>
      <c r="GR20" s="463"/>
      <c r="GS20" s="463"/>
      <c r="GT20" s="463"/>
      <c r="GU20" s="463"/>
      <c r="GV20" s="463"/>
      <c r="GW20" s="463"/>
      <c r="GX20" s="463"/>
      <c r="GY20" s="463"/>
      <c r="GZ20" s="463"/>
      <c r="HA20" s="463"/>
      <c r="HB20" s="463"/>
      <c r="HC20" s="463"/>
      <c r="HD20" s="463"/>
      <c r="HE20" s="463"/>
      <c r="HF20" s="463"/>
      <c r="HG20" s="463"/>
      <c r="HH20" s="463"/>
      <c r="HI20" s="463"/>
      <c r="HJ20" s="463"/>
      <c r="HK20" s="463"/>
      <c r="HL20" s="463"/>
      <c r="HM20" s="463"/>
      <c r="HN20" s="463"/>
      <c r="HO20" s="463"/>
      <c r="HP20" s="463"/>
      <c r="HQ20" s="463"/>
      <c r="HR20" s="463"/>
      <c r="HS20" s="463"/>
      <c r="HT20" s="463"/>
      <c r="HU20" s="463"/>
      <c r="HV20" s="463"/>
      <c r="HW20" s="463"/>
      <c r="HX20" s="463"/>
      <c r="HY20" s="463"/>
      <c r="HZ20" s="463"/>
      <c r="IA20" s="463"/>
      <c r="IB20" s="463"/>
      <c r="IC20" s="463"/>
      <c r="ID20" s="463"/>
      <c r="IE20" s="463"/>
      <c r="IF20" s="463"/>
      <c r="IG20" s="463"/>
      <c r="IH20" s="463"/>
      <c r="II20" s="463"/>
      <c r="IJ20" s="463"/>
      <c r="IK20" s="463"/>
      <c r="IL20" s="463"/>
      <c r="IM20" s="463"/>
      <c r="IN20" s="463"/>
      <c r="IO20" s="463"/>
      <c r="IP20" s="463"/>
      <c r="IQ20" s="463"/>
      <c r="IR20" s="463"/>
      <c r="IS20" s="463"/>
      <c r="IT20" s="463"/>
      <c r="IU20" s="463"/>
      <c r="IV20" s="463"/>
    </row>
    <row r="21" spans="1:16" ht="18" customHeight="1">
      <c r="A21" s="880">
        <v>13</v>
      </c>
      <c r="B21" s="694"/>
      <c r="C21" s="517"/>
      <c r="D21" s="1176" t="s">
        <v>312</v>
      </c>
      <c r="E21" s="475">
        <f>F21+G21+O21+P21</f>
        <v>250000</v>
      </c>
      <c r="F21" s="869"/>
      <c r="G21" s="476"/>
      <c r="H21" s="1183"/>
      <c r="I21" s="1201"/>
      <c r="J21" s="1197"/>
      <c r="K21" s="1197">
        <v>500</v>
      </c>
      <c r="L21" s="1197"/>
      <c r="M21" s="1197">
        <v>249500</v>
      </c>
      <c r="N21" s="1197"/>
      <c r="O21" s="1166">
        <f>SUM(I21:N21)</f>
        <v>250000</v>
      </c>
      <c r="P21" s="870"/>
    </row>
    <row r="22" spans="1:16" ht="22.5" customHeight="1">
      <c r="A22" s="880">
        <v>14</v>
      </c>
      <c r="B22" s="694"/>
      <c r="C22" s="517">
        <v>7</v>
      </c>
      <c r="D22" s="877" t="s">
        <v>726</v>
      </c>
      <c r="E22" s="475"/>
      <c r="F22" s="869"/>
      <c r="G22" s="476"/>
      <c r="H22" s="1183" t="s">
        <v>24</v>
      </c>
      <c r="I22" s="1201"/>
      <c r="J22" s="1197"/>
      <c r="K22" s="1197"/>
      <c r="L22" s="1197"/>
      <c r="M22" s="1197"/>
      <c r="N22" s="1197"/>
      <c r="O22" s="874"/>
      <c r="P22" s="870"/>
    </row>
    <row r="23" spans="1:256" s="865" customFormat="1" ht="18" customHeight="1">
      <c r="A23" s="880">
        <v>15</v>
      </c>
      <c r="B23" s="873"/>
      <c r="C23" s="465"/>
      <c r="D23" s="1176" t="s">
        <v>312</v>
      </c>
      <c r="E23" s="475">
        <f>F23+G23+O23+P23</f>
        <v>972972</v>
      </c>
      <c r="F23" s="869"/>
      <c r="G23" s="476">
        <v>820</v>
      </c>
      <c r="H23" s="1183"/>
      <c r="I23" s="1201"/>
      <c r="J23" s="1197"/>
      <c r="K23" s="1197"/>
      <c r="L23" s="1197"/>
      <c r="M23" s="1197">
        <v>360738</v>
      </c>
      <c r="N23" s="1197"/>
      <c r="O23" s="1166">
        <f>SUM(I23:N23)</f>
        <v>360738</v>
      </c>
      <c r="P23" s="870">
        <v>611414</v>
      </c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  <c r="CW23" s="463"/>
      <c r="CX23" s="463"/>
      <c r="CY23" s="463"/>
      <c r="CZ23" s="463"/>
      <c r="DA23" s="463"/>
      <c r="DB23" s="463"/>
      <c r="DC23" s="463"/>
      <c r="DD23" s="463"/>
      <c r="DE23" s="463"/>
      <c r="DF23" s="463"/>
      <c r="DG23" s="463"/>
      <c r="DH23" s="463"/>
      <c r="DI23" s="463"/>
      <c r="DJ23" s="463"/>
      <c r="DK23" s="463"/>
      <c r="DL23" s="463"/>
      <c r="DM23" s="463"/>
      <c r="DN23" s="463"/>
      <c r="DO23" s="463"/>
      <c r="DP23" s="463"/>
      <c r="DQ23" s="463"/>
      <c r="DR23" s="463"/>
      <c r="DS23" s="463"/>
      <c r="DT23" s="463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63"/>
      <c r="EO23" s="463"/>
      <c r="EP23" s="463"/>
      <c r="EQ23" s="463"/>
      <c r="ER23" s="463"/>
      <c r="ES23" s="463"/>
      <c r="ET23" s="463"/>
      <c r="EU23" s="463"/>
      <c r="EV23" s="463"/>
      <c r="EW23" s="463"/>
      <c r="EX23" s="463"/>
      <c r="EY23" s="463"/>
      <c r="EZ23" s="463"/>
      <c r="FA23" s="463"/>
      <c r="FB23" s="463"/>
      <c r="FC23" s="463"/>
      <c r="FD23" s="463"/>
      <c r="FE23" s="463"/>
      <c r="FF23" s="463"/>
      <c r="FG23" s="463"/>
      <c r="FH23" s="463"/>
      <c r="FI23" s="463"/>
      <c r="FJ23" s="463"/>
      <c r="FK23" s="463"/>
      <c r="FL23" s="463"/>
      <c r="FM23" s="463"/>
      <c r="FN23" s="463"/>
      <c r="FO23" s="463"/>
      <c r="FP23" s="463"/>
      <c r="FQ23" s="463"/>
      <c r="FR23" s="463"/>
      <c r="FS23" s="463"/>
      <c r="FT23" s="463"/>
      <c r="FU23" s="463"/>
      <c r="FV23" s="463"/>
      <c r="FW23" s="463"/>
      <c r="FX23" s="463"/>
      <c r="FY23" s="463"/>
      <c r="FZ23" s="463"/>
      <c r="GA23" s="463"/>
      <c r="GB23" s="463"/>
      <c r="GC23" s="463"/>
      <c r="GD23" s="463"/>
      <c r="GE23" s="463"/>
      <c r="GF23" s="463"/>
      <c r="GG23" s="463"/>
      <c r="GH23" s="463"/>
      <c r="GI23" s="463"/>
      <c r="GJ23" s="463"/>
      <c r="GK23" s="463"/>
      <c r="GL23" s="463"/>
      <c r="GM23" s="463"/>
      <c r="GN23" s="463"/>
      <c r="GO23" s="463"/>
      <c r="GP23" s="463"/>
      <c r="GQ23" s="463"/>
      <c r="GR23" s="463"/>
      <c r="GS23" s="463"/>
      <c r="GT23" s="463"/>
      <c r="GU23" s="463"/>
      <c r="GV23" s="463"/>
      <c r="GW23" s="463"/>
      <c r="GX23" s="463"/>
      <c r="GY23" s="463"/>
      <c r="GZ23" s="463"/>
      <c r="HA23" s="463"/>
      <c r="HB23" s="463"/>
      <c r="HC23" s="463"/>
      <c r="HD23" s="463"/>
      <c r="HE23" s="463"/>
      <c r="HF23" s="463"/>
      <c r="HG23" s="463"/>
      <c r="HH23" s="463"/>
      <c r="HI23" s="463"/>
      <c r="HJ23" s="463"/>
      <c r="HK23" s="463"/>
      <c r="HL23" s="463"/>
      <c r="HM23" s="463"/>
      <c r="HN23" s="463"/>
      <c r="HO23" s="463"/>
      <c r="HP23" s="463"/>
      <c r="HQ23" s="463"/>
      <c r="HR23" s="463"/>
      <c r="HS23" s="463"/>
      <c r="HT23" s="463"/>
      <c r="HU23" s="463"/>
      <c r="HV23" s="463"/>
      <c r="HW23" s="463"/>
      <c r="HX23" s="463"/>
      <c r="HY23" s="463"/>
      <c r="HZ23" s="463"/>
      <c r="IA23" s="463"/>
      <c r="IB23" s="463"/>
      <c r="IC23" s="463"/>
      <c r="ID23" s="463"/>
      <c r="IE23" s="463"/>
      <c r="IF23" s="463"/>
      <c r="IG23" s="463"/>
      <c r="IH23" s="463"/>
      <c r="II23" s="463"/>
      <c r="IJ23" s="463"/>
      <c r="IK23" s="463"/>
      <c r="IL23" s="463"/>
      <c r="IM23" s="463"/>
      <c r="IN23" s="463"/>
      <c r="IO23" s="463"/>
      <c r="IP23" s="463"/>
      <c r="IQ23" s="463"/>
      <c r="IR23" s="463"/>
      <c r="IS23" s="463"/>
      <c r="IT23" s="463"/>
      <c r="IU23" s="463"/>
      <c r="IV23" s="463"/>
    </row>
    <row r="24" spans="1:16" ht="22.5" customHeight="1">
      <c r="A24" s="880">
        <v>16</v>
      </c>
      <c r="B24" s="694"/>
      <c r="C24" s="517">
        <v>8</v>
      </c>
      <c r="D24" s="885" t="s">
        <v>988</v>
      </c>
      <c r="E24" s="475"/>
      <c r="F24" s="869"/>
      <c r="G24" s="476"/>
      <c r="H24" s="1183" t="s">
        <v>24</v>
      </c>
      <c r="I24" s="1201"/>
      <c r="J24" s="1197"/>
      <c r="K24" s="1197"/>
      <c r="L24" s="1197"/>
      <c r="M24" s="1197"/>
      <c r="N24" s="1197"/>
      <c r="O24" s="874"/>
      <c r="P24" s="870"/>
    </row>
    <row r="25" spans="1:256" s="865" customFormat="1" ht="18" customHeight="1">
      <c r="A25" s="880">
        <v>17</v>
      </c>
      <c r="B25" s="873"/>
      <c r="C25" s="517"/>
      <c r="D25" s="1176" t="s">
        <v>312</v>
      </c>
      <c r="E25" s="475">
        <f>F25+G25+O25+P25</f>
        <v>3901162</v>
      </c>
      <c r="F25" s="869"/>
      <c r="G25" s="476"/>
      <c r="H25" s="1183"/>
      <c r="I25" s="1201"/>
      <c r="J25" s="1197"/>
      <c r="K25" s="1197"/>
      <c r="L25" s="1197"/>
      <c r="M25" s="1197">
        <v>981338</v>
      </c>
      <c r="N25" s="1197"/>
      <c r="O25" s="1166">
        <f>SUM(I25:N25)</f>
        <v>981338</v>
      </c>
      <c r="P25" s="870">
        <v>2919824</v>
      </c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  <c r="CW25" s="463"/>
      <c r="CX25" s="463"/>
      <c r="CY25" s="463"/>
      <c r="CZ25" s="463"/>
      <c r="DA25" s="463"/>
      <c r="DB25" s="463"/>
      <c r="DC25" s="463"/>
      <c r="DD25" s="463"/>
      <c r="DE25" s="463"/>
      <c r="DF25" s="463"/>
      <c r="DG25" s="463"/>
      <c r="DH25" s="463"/>
      <c r="DI25" s="463"/>
      <c r="DJ25" s="463"/>
      <c r="DK25" s="463"/>
      <c r="DL25" s="463"/>
      <c r="DM25" s="463"/>
      <c r="DN25" s="463"/>
      <c r="DO25" s="463"/>
      <c r="DP25" s="463"/>
      <c r="DQ25" s="463"/>
      <c r="DR25" s="463"/>
      <c r="DS25" s="463"/>
      <c r="DT25" s="463"/>
      <c r="DU25" s="463"/>
      <c r="DV25" s="463"/>
      <c r="DW25" s="463"/>
      <c r="DX25" s="463"/>
      <c r="DY25" s="463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63"/>
      <c r="EO25" s="463"/>
      <c r="EP25" s="463"/>
      <c r="EQ25" s="463"/>
      <c r="ER25" s="463"/>
      <c r="ES25" s="463"/>
      <c r="ET25" s="463"/>
      <c r="EU25" s="463"/>
      <c r="EV25" s="463"/>
      <c r="EW25" s="463"/>
      <c r="EX25" s="463"/>
      <c r="EY25" s="463"/>
      <c r="EZ25" s="463"/>
      <c r="FA25" s="463"/>
      <c r="FB25" s="463"/>
      <c r="FC25" s="463"/>
      <c r="FD25" s="463"/>
      <c r="FE25" s="463"/>
      <c r="FF25" s="463"/>
      <c r="FG25" s="463"/>
      <c r="FH25" s="463"/>
      <c r="FI25" s="463"/>
      <c r="FJ25" s="463"/>
      <c r="FK25" s="463"/>
      <c r="FL25" s="463"/>
      <c r="FM25" s="463"/>
      <c r="FN25" s="463"/>
      <c r="FO25" s="463"/>
      <c r="FP25" s="463"/>
      <c r="FQ25" s="463"/>
      <c r="FR25" s="463"/>
      <c r="FS25" s="463"/>
      <c r="FT25" s="463"/>
      <c r="FU25" s="463"/>
      <c r="FV25" s="463"/>
      <c r="FW25" s="463"/>
      <c r="FX25" s="463"/>
      <c r="FY25" s="463"/>
      <c r="FZ25" s="463"/>
      <c r="GA25" s="463"/>
      <c r="GB25" s="463"/>
      <c r="GC25" s="463"/>
      <c r="GD25" s="463"/>
      <c r="GE25" s="463"/>
      <c r="GF25" s="463"/>
      <c r="GG25" s="463"/>
      <c r="GH25" s="463"/>
      <c r="GI25" s="463"/>
      <c r="GJ25" s="463"/>
      <c r="GK25" s="463"/>
      <c r="GL25" s="463"/>
      <c r="GM25" s="463"/>
      <c r="GN25" s="463"/>
      <c r="GO25" s="463"/>
      <c r="GP25" s="463"/>
      <c r="GQ25" s="463"/>
      <c r="GR25" s="463"/>
      <c r="GS25" s="463"/>
      <c r="GT25" s="463"/>
      <c r="GU25" s="463"/>
      <c r="GV25" s="463"/>
      <c r="GW25" s="463"/>
      <c r="GX25" s="463"/>
      <c r="GY25" s="463"/>
      <c r="GZ25" s="463"/>
      <c r="HA25" s="463"/>
      <c r="HB25" s="463"/>
      <c r="HC25" s="463"/>
      <c r="HD25" s="463"/>
      <c r="HE25" s="463"/>
      <c r="HF25" s="463"/>
      <c r="HG25" s="463"/>
      <c r="HH25" s="463"/>
      <c r="HI25" s="463"/>
      <c r="HJ25" s="463"/>
      <c r="HK25" s="463"/>
      <c r="HL25" s="463"/>
      <c r="HM25" s="463"/>
      <c r="HN25" s="463"/>
      <c r="HO25" s="463"/>
      <c r="HP25" s="463"/>
      <c r="HQ25" s="463"/>
      <c r="HR25" s="463"/>
      <c r="HS25" s="463"/>
      <c r="HT25" s="463"/>
      <c r="HU25" s="463"/>
      <c r="HV25" s="463"/>
      <c r="HW25" s="463"/>
      <c r="HX25" s="463"/>
      <c r="HY25" s="463"/>
      <c r="HZ25" s="463"/>
      <c r="IA25" s="463"/>
      <c r="IB25" s="463"/>
      <c r="IC25" s="463"/>
      <c r="ID25" s="463"/>
      <c r="IE25" s="463"/>
      <c r="IF25" s="463"/>
      <c r="IG25" s="463"/>
      <c r="IH25" s="463"/>
      <c r="II25" s="463"/>
      <c r="IJ25" s="463"/>
      <c r="IK25" s="463"/>
      <c r="IL25" s="463"/>
      <c r="IM25" s="463"/>
      <c r="IN25" s="463"/>
      <c r="IO25" s="463"/>
      <c r="IP25" s="463"/>
      <c r="IQ25" s="463"/>
      <c r="IR25" s="463"/>
      <c r="IS25" s="463"/>
      <c r="IT25" s="463"/>
      <c r="IU25" s="463"/>
      <c r="IV25" s="463"/>
    </row>
    <row r="26" spans="1:16" ht="22.5" customHeight="1">
      <c r="A26" s="880">
        <v>18</v>
      </c>
      <c r="B26" s="694"/>
      <c r="C26" s="517">
        <v>9</v>
      </c>
      <c r="D26" s="877" t="s">
        <v>727</v>
      </c>
      <c r="E26" s="475"/>
      <c r="F26" s="869"/>
      <c r="G26" s="476"/>
      <c r="H26" s="1183" t="s">
        <v>24</v>
      </c>
      <c r="I26" s="1201"/>
      <c r="J26" s="1197"/>
      <c r="K26" s="1197"/>
      <c r="L26" s="1197"/>
      <c r="M26" s="1197"/>
      <c r="N26" s="1197"/>
      <c r="O26" s="874"/>
      <c r="P26" s="870"/>
    </row>
    <row r="27" spans="1:256" s="865" customFormat="1" ht="18" customHeight="1">
      <c r="A27" s="880">
        <v>19</v>
      </c>
      <c r="B27" s="873"/>
      <c r="C27" s="465"/>
      <c r="D27" s="1176" t="s">
        <v>312</v>
      </c>
      <c r="E27" s="475">
        <f>F27+G27+O27+P27</f>
        <v>3095</v>
      </c>
      <c r="F27" s="869"/>
      <c r="G27" s="476"/>
      <c r="H27" s="1183"/>
      <c r="I27" s="1201"/>
      <c r="J27" s="1197"/>
      <c r="K27" s="1197">
        <f>5000-1905</f>
        <v>3095</v>
      </c>
      <c r="L27" s="1197"/>
      <c r="M27" s="1197"/>
      <c r="N27" s="1197"/>
      <c r="O27" s="1166">
        <f>SUM(I27:N27)</f>
        <v>3095</v>
      </c>
      <c r="P27" s="870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  <c r="CW27" s="463"/>
      <c r="CX27" s="463"/>
      <c r="CY27" s="463"/>
      <c r="CZ27" s="463"/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3"/>
      <c r="FL27" s="463"/>
      <c r="FM27" s="463"/>
      <c r="FN27" s="463"/>
      <c r="FO27" s="463"/>
      <c r="FP27" s="463"/>
      <c r="FQ27" s="463"/>
      <c r="FR27" s="463"/>
      <c r="FS27" s="463"/>
      <c r="FT27" s="463"/>
      <c r="FU27" s="463"/>
      <c r="FV27" s="463"/>
      <c r="FW27" s="463"/>
      <c r="FX27" s="463"/>
      <c r="FY27" s="463"/>
      <c r="FZ27" s="463"/>
      <c r="GA27" s="463"/>
      <c r="GB27" s="463"/>
      <c r="GC27" s="463"/>
      <c r="GD27" s="463"/>
      <c r="GE27" s="463"/>
      <c r="GF27" s="463"/>
      <c r="GG27" s="463"/>
      <c r="GH27" s="463"/>
      <c r="GI27" s="463"/>
      <c r="GJ27" s="463"/>
      <c r="GK27" s="463"/>
      <c r="GL27" s="463"/>
      <c r="GM27" s="463"/>
      <c r="GN27" s="463"/>
      <c r="GO27" s="463"/>
      <c r="GP27" s="463"/>
      <c r="GQ27" s="463"/>
      <c r="GR27" s="463"/>
      <c r="GS27" s="463"/>
      <c r="GT27" s="463"/>
      <c r="GU27" s="463"/>
      <c r="GV27" s="463"/>
      <c r="GW27" s="463"/>
      <c r="GX27" s="463"/>
      <c r="GY27" s="463"/>
      <c r="GZ27" s="463"/>
      <c r="HA27" s="463"/>
      <c r="HB27" s="463"/>
      <c r="HC27" s="463"/>
      <c r="HD27" s="463"/>
      <c r="HE27" s="463"/>
      <c r="HF27" s="463"/>
      <c r="HG27" s="463"/>
      <c r="HH27" s="463"/>
      <c r="HI27" s="463"/>
      <c r="HJ27" s="463"/>
      <c r="HK27" s="463"/>
      <c r="HL27" s="463"/>
      <c r="HM27" s="463"/>
      <c r="HN27" s="463"/>
      <c r="HO27" s="463"/>
      <c r="HP27" s="463"/>
      <c r="HQ27" s="463"/>
      <c r="HR27" s="463"/>
      <c r="HS27" s="463"/>
      <c r="HT27" s="463"/>
      <c r="HU27" s="463"/>
      <c r="HV27" s="463"/>
      <c r="HW27" s="463"/>
      <c r="HX27" s="463"/>
      <c r="HY27" s="463"/>
      <c r="HZ27" s="463"/>
      <c r="IA27" s="463"/>
      <c r="IB27" s="463"/>
      <c r="IC27" s="463"/>
      <c r="ID27" s="463"/>
      <c r="IE27" s="463"/>
      <c r="IF27" s="463"/>
      <c r="IG27" s="463"/>
      <c r="IH27" s="463"/>
      <c r="II27" s="463"/>
      <c r="IJ27" s="463"/>
      <c r="IK27" s="463"/>
      <c r="IL27" s="463"/>
      <c r="IM27" s="463"/>
      <c r="IN27" s="463"/>
      <c r="IO27" s="463"/>
      <c r="IP27" s="463"/>
      <c r="IQ27" s="463"/>
      <c r="IR27" s="463"/>
      <c r="IS27" s="463"/>
      <c r="IT27" s="463"/>
      <c r="IU27" s="463"/>
      <c r="IV27" s="463"/>
    </row>
    <row r="28" spans="1:256" s="865" customFormat="1" ht="22.5" customHeight="1">
      <c r="A28" s="880">
        <v>20</v>
      </c>
      <c r="B28" s="873"/>
      <c r="C28" s="517">
        <v>10</v>
      </c>
      <c r="D28" s="877" t="s">
        <v>874</v>
      </c>
      <c r="E28" s="475"/>
      <c r="F28" s="869"/>
      <c r="G28" s="476"/>
      <c r="H28" s="1183" t="s">
        <v>24</v>
      </c>
      <c r="I28" s="1201"/>
      <c r="J28" s="1197"/>
      <c r="K28" s="1197"/>
      <c r="L28" s="1197"/>
      <c r="M28" s="1197"/>
      <c r="N28" s="1197"/>
      <c r="O28" s="1166"/>
      <c r="P28" s="870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3"/>
      <c r="FL28" s="463"/>
      <c r="FM28" s="463"/>
      <c r="FN28" s="463"/>
      <c r="FO28" s="463"/>
      <c r="FP28" s="463"/>
      <c r="FQ28" s="463"/>
      <c r="FR28" s="463"/>
      <c r="FS28" s="463"/>
      <c r="FT28" s="463"/>
      <c r="FU28" s="463"/>
      <c r="FV28" s="463"/>
      <c r="FW28" s="463"/>
      <c r="FX28" s="463"/>
      <c r="FY28" s="463"/>
      <c r="FZ28" s="463"/>
      <c r="GA28" s="463"/>
      <c r="GB28" s="463"/>
      <c r="GC28" s="463"/>
      <c r="GD28" s="463"/>
      <c r="GE28" s="463"/>
      <c r="GF28" s="463"/>
      <c r="GG28" s="463"/>
      <c r="GH28" s="463"/>
      <c r="GI28" s="463"/>
      <c r="GJ28" s="463"/>
      <c r="GK28" s="463"/>
      <c r="GL28" s="463"/>
      <c r="GM28" s="463"/>
      <c r="GN28" s="463"/>
      <c r="GO28" s="463"/>
      <c r="GP28" s="463"/>
      <c r="GQ28" s="463"/>
      <c r="GR28" s="463"/>
      <c r="GS28" s="463"/>
      <c r="GT28" s="463"/>
      <c r="GU28" s="463"/>
      <c r="GV28" s="463"/>
      <c r="GW28" s="463"/>
      <c r="GX28" s="463"/>
      <c r="GY28" s="463"/>
      <c r="GZ28" s="463"/>
      <c r="HA28" s="463"/>
      <c r="HB28" s="463"/>
      <c r="HC28" s="463"/>
      <c r="HD28" s="463"/>
      <c r="HE28" s="463"/>
      <c r="HF28" s="463"/>
      <c r="HG28" s="463"/>
      <c r="HH28" s="463"/>
      <c r="HI28" s="463"/>
      <c r="HJ28" s="463"/>
      <c r="HK28" s="463"/>
      <c r="HL28" s="463"/>
      <c r="HM28" s="463"/>
      <c r="HN28" s="463"/>
      <c r="HO28" s="463"/>
      <c r="HP28" s="463"/>
      <c r="HQ28" s="463"/>
      <c r="HR28" s="463"/>
      <c r="HS28" s="463"/>
      <c r="HT28" s="463"/>
      <c r="HU28" s="463"/>
      <c r="HV28" s="463"/>
      <c r="HW28" s="463"/>
      <c r="HX28" s="463"/>
      <c r="HY28" s="463"/>
      <c r="HZ28" s="463"/>
      <c r="IA28" s="463"/>
      <c r="IB28" s="463"/>
      <c r="IC28" s="463"/>
      <c r="ID28" s="463"/>
      <c r="IE28" s="463"/>
      <c r="IF28" s="463"/>
      <c r="IG28" s="463"/>
      <c r="IH28" s="463"/>
      <c r="II28" s="463"/>
      <c r="IJ28" s="463"/>
      <c r="IK28" s="463"/>
      <c r="IL28" s="463"/>
      <c r="IM28" s="463"/>
      <c r="IN28" s="463"/>
      <c r="IO28" s="463"/>
      <c r="IP28" s="463"/>
      <c r="IQ28" s="463"/>
      <c r="IR28" s="463"/>
      <c r="IS28" s="463"/>
      <c r="IT28" s="463"/>
      <c r="IU28" s="463"/>
      <c r="IV28" s="463"/>
    </row>
    <row r="29" spans="1:256" s="865" customFormat="1" ht="18" customHeight="1">
      <c r="A29" s="880">
        <v>21</v>
      </c>
      <c r="B29" s="873"/>
      <c r="C29" s="465"/>
      <c r="D29" s="1176" t="s">
        <v>312</v>
      </c>
      <c r="E29" s="475"/>
      <c r="F29" s="869"/>
      <c r="G29" s="476"/>
      <c r="H29" s="1183"/>
      <c r="I29" s="1201"/>
      <c r="J29" s="1197"/>
      <c r="K29" s="1197"/>
      <c r="L29" s="1197"/>
      <c r="M29" s="1197">
        <v>1905</v>
      </c>
      <c r="N29" s="1197"/>
      <c r="O29" s="1166">
        <f>SUM(I29:N29)</f>
        <v>1905</v>
      </c>
      <c r="P29" s="870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463"/>
      <c r="EE29" s="463"/>
      <c r="EF29" s="463"/>
      <c r="EG29" s="463"/>
      <c r="EH29" s="463"/>
      <c r="EI29" s="463"/>
      <c r="EJ29" s="463"/>
      <c r="EK29" s="463"/>
      <c r="EL29" s="463"/>
      <c r="EM29" s="463"/>
      <c r="EN29" s="463"/>
      <c r="EO29" s="463"/>
      <c r="EP29" s="463"/>
      <c r="EQ29" s="463"/>
      <c r="ER29" s="463"/>
      <c r="ES29" s="463"/>
      <c r="ET29" s="463"/>
      <c r="EU29" s="463"/>
      <c r="EV29" s="463"/>
      <c r="EW29" s="463"/>
      <c r="EX29" s="463"/>
      <c r="EY29" s="463"/>
      <c r="EZ29" s="463"/>
      <c r="FA29" s="463"/>
      <c r="FB29" s="463"/>
      <c r="FC29" s="463"/>
      <c r="FD29" s="463"/>
      <c r="FE29" s="463"/>
      <c r="FF29" s="463"/>
      <c r="FG29" s="463"/>
      <c r="FH29" s="463"/>
      <c r="FI29" s="463"/>
      <c r="FJ29" s="463"/>
      <c r="FK29" s="463"/>
      <c r="FL29" s="463"/>
      <c r="FM29" s="463"/>
      <c r="FN29" s="463"/>
      <c r="FO29" s="463"/>
      <c r="FP29" s="463"/>
      <c r="FQ29" s="463"/>
      <c r="FR29" s="463"/>
      <c r="FS29" s="463"/>
      <c r="FT29" s="463"/>
      <c r="FU29" s="463"/>
      <c r="FV29" s="463"/>
      <c r="FW29" s="463"/>
      <c r="FX29" s="463"/>
      <c r="FY29" s="463"/>
      <c r="FZ29" s="463"/>
      <c r="GA29" s="463"/>
      <c r="GB29" s="463"/>
      <c r="GC29" s="463"/>
      <c r="GD29" s="463"/>
      <c r="GE29" s="463"/>
      <c r="GF29" s="463"/>
      <c r="GG29" s="463"/>
      <c r="GH29" s="463"/>
      <c r="GI29" s="463"/>
      <c r="GJ29" s="463"/>
      <c r="GK29" s="463"/>
      <c r="GL29" s="463"/>
      <c r="GM29" s="463"/>
      <c r="GN29" s="463"/>
      <c r="GO29" s="463"/>
      <c r="GP29" s="463"/>
      <c r="GQ29" s="463"/>
      <c r="GR29" s="463"/>
      <c r="GS29" s="463"/>
      <c r="GT29" s="463"/>
      <c r="GU29" s="463"/>
      <c r="GV29" s="463"/>
      <c r="GW29" s="463"/>
      <c r="GX29" s="463"/>
      <c r="GY29" s="463"/>
      <c r="GZ29" s="463"/>
      <c r="HA29" s="463"/>
      <c r="HB29" s="463"/>
      <c r="HC29" s="463"/>
      <c r="HD29" s="463"/>
      <c r="HE29" s="463"/>
      <c r="HF29" s="463"/>
      <c r="HG29" s="463"/>
      <c r="HH29" s="463"/>
      <c r="HI29" s="463"/>
      <c r="HJ29" s="463"/>
      <c r="HK29" s="463"/>
      <c r="HL29" s="463"/>
      <c r="HM29" s="463"/>
      <c r="HN29" s="463"/>
      <c r="HO29" s="463"/>
      <c r="HP29" s="463"/>
      <c r="HQ29" s="463"/>
      <c r="HR29" s="463"/>
      <c r="HS29" s="463"/>
      <c r="HT29" s="463"/>
      <c r="HU29" s="463"/>
      <c r="HV29" s="463"/>
      <c r="HW29" s="463"/>
      <c r="HX29" s="463"/>
      <c r="HY29" s="463"/>
      <c r="HZ29" s="463"/>
      <c r="IA29" s="463"/>
      <c r="IB29" s="463"/>
      <c r="IC29" s="463"/>
      <c r="ID29" s="463"/>
      <c r="IE29" s="463"/>
      <c r="IF29" s="463"/>
      <c r="IG29" s="463"/>
      <c r="IH29" s="463"/>
      <c r="II29" s="463"/>
      <c r="IJ29" s="463"/>
      <c r="IK29" s="463"/>
      <c r="IL29" s="463"/>
      <c r="IM29" s="463"/>
      <c r="IN29" s="463"/>
      <c r="IO29" s="463"/>
      <c r="IP29" s="463"/>
      <c r="IQ29" s="463"/>
      <c r="IR29" s="463"/>
      <c r="IS29" s="463"/>
      <c r="IT29" s="463"/>
      <c r="IU29" s="463"/>
      <c r="IV29" s="463"/>
    </row>
    <row r="30" spans="1:256" s="865" customFormat="1" ht="22.5" customHeight="1">
      <c r="A30" s="880">
        <v>22</v>
      </c>
      <c r="B30" s="873"/>
      <c r="C30" s="1490">
        <v>11</v>
      </c>
      <c r="D30" s="1489" t="s">
        <v>868</v>
      </c>
      <c r="E30" s="475"/>
      <c r="F30" s="869"/>
      <c r="G30" s="476"/>
      <c r="H30" s="1183" t="s">
        <v>24</v>
      </c>
      <c r="I30" s="1201"/>
      <c r="J30" s="1197"/>
      <c r="K30" s="1197"/>
      <c r="L30" s="1197"/>
      <c r="M30" s="1197"/>
      <c r="N30" s="1197"/>
      <c r="O30" s="1166"/>
      <c r="P30" s="870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  <c r="CG30" s="463"/>
      <c r="CH30" s="463"/>
      <c r="CI30" s="463"/>
      <c r="CJ30" s="463"/>
      <c r="CK30" s="463"/>
      <c r="CL30" s="463"/>
      <c r="CM30" s="463"/>
      <c r="CN30" s="463"/>
      <c r="CO30" s="463"/>
      <c r="CP30" s="463"/>
      <c r="CQ30" s="463"/>
      <c r="CR30" s="463"/>
      <c r="CS30" s="463"/>
      <c r="CT30" s="463"/>
      <c r="CU30" s="463"/>
      <c r="CV30" s="463"/>
      <c r="CW30" s="463"/>
      <c r="CX30" s="463"/>
      <c r="CY30" s="463"/>
      <c r="CZ30" s="463"/>
      <c r="DA30" s="463"/>
      <c r="DB30" s="463"/>
      <c r="DC30" s="463"/>
      <c r="DD30" s="463"/>
      <c r="DE30" s="463"/>
      <c r="DF30" s="463"/>
      <c r="DG30" s="463"/>
      <c r="DH30" s="463"/>
      <c r="DI30" s="463"/>
      <c r="DJ30" s="463"/>
      <c r="DK30" s="463"/>
      <c r="DL30" s="463"/>
      <c r="DM30" s="463"/>
      <c r="DN30" s="463"/>
      <c r="DO30" s="463"/>
      <c r="DP30" s="463"/>
      <c r="DQ30" s="463"/>
      <c r="DR30" s="463"/>
      <c r="DS30" s="463"/>
      <c r="DT30" s="463"/>
      <c r="DU30" s="463"/>
      <c r="DV30" s="463"/>
      <c r="DW30" s="463"/>
      <c r="DX30" s="463"/>
      <c r="DY30" s="463"/>
      <c r="DZ30" s="463"/>
      <c r="EA30" s="463"/>
      <c r="EB30" s="463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3"/>
      <c r="EN30" s="463"/>
      <c r="EO30" s="463"/>
      <c r="EP30" s="463"/>
      <c r="EQ30" s="463"/>
      <c r="ER30" s="463"/>
      <c r="ES30" s="463"/>
      <c r="ET30" s="463"/>
      <c r="EU30" s="463"/>
      <c r="EV30" s="463"/>
      <c r="EW30" s="463"/>
      <c r="EX30" s="463"/>
      <c r="EY30" s="463"/>
      <c r="EZ30" s="463"/>
      <c r="FA30" s="463"/>
      <c r="FB30" s="463"/>
      <c r="FC30" s="463"/>
      <c r="FD30" s="463"/>
      <c r="FE30" s="463"/>
      <c r="FF30" s="463"/>
      <c r="FG30" s="463"/>
      <c r="FH30" s="463"/>
      <c r="FI30" s="463"/>
      <c r="FJ30" s="463"/>
      <c r="FK30" s="463"/>
      <c r="FL30" s="463"/>
      <c r="FM30" s="463"/>
      <c r="FN30" s="463"/>
      <c r="FO30" s="463"/>
      <c r="FP30" s="463"/>
      <c r="FQ30" s="463"/>
      <c r="FR30" s="463"/>
      <c r="FS30" s="463"/>
      <c r="FT30" s="463"/>
      <c r="FU30" s="463"/>
      <c r="FV30" s="463"/>
      <c r="FW30" s="463"/>
      <c r="FX30" s="463"/>
      <c r="FY30" s="463"/>
      <c r="FZ30" s="463"/>
      <c r="GA30" s="463"/>
      <c r="GB30" s="463"/>
      <c r="GC30" s="463"/>
      <c r="GD30" s="463"/>
      <c r="GE30" s="463"/>
      <c r="GF30" s="463"/>
      <c r="GG30" s="463"/>
      <c r="GH30" s="463"/>
      <c r="GI30" s="463"/>
      <c r="GJ30" s="463"/>
      <c r="GK30" s="463"/>
      <c r="GL30" s="463"/>
      <c r="GM30" s="463"/>
      <c r="GN30" s="463"/>
      <c r="GO30" s="463"/>
      <c r="GP30" s="463"/>
      <c r="GQ30" s="463"/>
      <c r="GR30" s="463"/>
      <c r="GS30" s="463"/>
      <c r="GT30" s="463"/>
      <c r="GU30" s="463"/>
      <c r="GV30" s="463"/>
      <c r="GW30" s="463"/>
      <c r="GX30" s="463"/>
      <c r="GY30" s="463"/>
      <c r="GZ30" s="463"/>
      <c r="HA30" s="463"/>
      <c r="HB30" s="463"/>
      <c r="HC30" s="463"/>
      <c r="HD30" s="463"/>
      <c r="HE30" s="463"/>
      <c r="HF30" s="463"/>
      <c r="HG30" s="463"/>
      <c r="HH30" s="463"/>
      <c r="HI30" s="463"/>
      <c r="HJ30" s="463"/>
      <c r="HK30" s="463"/>
      <c r="HL30" s="463"/>
      <c r="HM30" s="463"/>
      <c r="HN30" s="463"/>
      <c r="HO30" s="463"/>
      <c r="HP30" s="463"/>
      <c r="HQ30" s="463"/>
      <c r="HR30" s="463"/>
      <c r="HS30" s="463"/>
      <c r="HT30" s="463"/>
      <c r="HU30" s="463"/>
      <c r="HV30" s="463"/>
      <c r="HW30" s="463"/>
      <c r="HX30" s="463"/>
      <c r="HY30" s="463"/>
      <c r="HZ30" s="463"/>
      <c r="IA30" s="463"/>
      <c r="IB30" s="463"/>
      <c r="IC30" s="463"/>
      <c r="ID30" s="463"/>
      <c r="IE30" s="463"/>
      <c r="IF30" s="463"/>
      <c r="IG30" s="463"/>
      <c r="IH30" s="463"/>
      <c r="II30" s="463"/>
      <c r="IJ30" s="463"/>
      <c r="IK30" s="463"/>
      <c r="IL30" s="463"/>
      <c r="IM30" s="463"/>
      <c r="IN30" s="463"/>
      <c r="IO30" s="463"/>
      <c r="IP30" s="463"/>
      <c r="IQ30" s="463"/>
      <c r="IR30" s="463"/>
      <c r="IS30" s="463"/>
      <c r="IT30" s="463"/>
      <c r="IU30" s="463"/>
      <c r="IV30" s="463"/>
    </row>
    <row r="31" spans="1:256" s="865" customFormat="1" ht="18" customHeight="1">
      <c r="A31" s="880">
        <v>23</v>
      </c>
      <c r="B31" s="873"/>
      <c r="C31" s="465"/>
      <c r="D31" s="1176" t="s">
        <v>312</v>
      </c>
      <c r="E31" s="475">
        <f>F31+G31+O31+P31</f>
        <v>3755</v>
      </c>
      <c r="F31" s="869"/>
      <c r="G31" s="476"/>
      <c r="H31" s="1183"/>
      <c r="I31" s="1201"/>
      <c r="J31" s="1197"/>
      <c r="K31" s="1197"/>
      <c r="L31" s="1197"/>
      <c r="M31" s="1197">
        <v>3755</v>
      </c>
      <c r="N31" s="1197"/>
      <c r="O31" s="1166">
        <f>SUM(I31:N31)</f>
        <v>3755</v>
      </c>
      <c r="P31" s="870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  <c r="CW31" s="463"/>
      <c r="CX31" s="463"/>
      <c r="CY31" s="463"/>
      <c r="CZ31" s="463"/>
      <c r="DA31" s="463"/>
      <c r="DB31" s="463"/>
      <c r="DC31" s="463"/>
      <c r="DD31" s="463"/>
      <c r="DE31" s="463"/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3"/>
      <c r="FL31" s="463"/>
      <c r="FM31" s="463"/>
      <c r="FN31" s="463"/>
      <c r="FO31" s="463"/>
      <c r="FP31" s="463"/>
      <c r="FQ31" s="463"/>
      <c r="FR31" s="463"/>
      <c r="FS31" s="463"/>
      <c r="FT31" s="463"/>
      <c r="FU31" s="463"/>
      <c r="FV31" s="463"/>
      <c r="FW31" s="463"/>
      <c r="FX31" s="463"/>
      <c r="FY31" s="463"/>
      <c r="FZ31" s="463"/>
      <c r="GA31" s="463"/>
      <c r="GB31" s="463"/>
      <c r="GC31" s="463"/>
      <c r="GD31" s="463"/>
      <c r="GE31" s="463"/>
      <c r="GF31" s="463"/>
      <c r="GG31" s="463"/>
      <c r="GH31" s="463"/>
      <c r="GI31" s="463"/>
      <c r="GJ31" s="463"/>
      <c r="GK31" s="463"/>
      <c r="GL31" s="463"/>
      <c r="GM31" s="463"/>
      <c r="GN31" s="463"/>
      <c r="GO31" s="463"/>
      <c r="GP31" s="463"/>
      <c r="GQ31" s="463"/>
      <c r="GR31" s="463"/>
      <c r="GS31" s="463"/>
      <c r="GT31" s="463"/>
      <c r="GU31" s="463"/>
      <c r="GV31" s="463"/>
      <c r="GW31" s="463"/>
      <c r="GX31" s="463"/>
      <c r="GY31" s="463"/>
      <c r="GZ31" s="463"/>
      <c r="HA31" s="463"/>
      <c r="HB31" s="463"/>
      <c r="HC31" s="463"/>
      <c r="HD31" s="463"/>
      <c r="HE31" s="463"/>
      <c r="HF31" s="463"/>
      <c r="HG31" s="463"/>
      <c r="HH31" s="463"/>
      <c r="HI31" s="463"/>
      <c r="HJ31" s="463"/>
      <c r="HK31" s="463"/>
      <c r="HL31" s="463"/>
      <c r="HM31" s="463"/>
      <c r="HN31" s="463"/>
      <c r="HO31" s="463"/>
      <c r="HP31" s="463"/>
      <c r="HQ31" s="463"/>
      <c r="HR31" s="463"/>
      <c r="HS31" s="463"/>
      <c r="HT31" s="463"/>
      <c r="HU31" s="463"/>
      <c r="HV31" s="463"/>
      <c r="HW31" s="463"/>
      <c r="HX31" s="463"/>
      <c r="HY31" s="463"/>
      <c r="HZ31" s="463"/>
      <c r="IA31" s="463"/>
      <c r="IB31" s="463"/>
      <c r="IC31" s="463"/>
      <c r="ID31" s="463"/>
      <c r="IE31" s="463"/>
      <c r="IF31" s="463"/>
      <c r="IG31" s="463"/>
      <c r="IH31" s="463"/>
      <c r="II31" s="463"/>
      <c r="IJ31" s="463"/>
      <c r="IK31" s="463"/>
      <c r="IL31" s="463"/>
      <c r="IM31" s="463"/>
      <c r="IN31" s="463"/>
      <c r="IO31" s="463"/>
      <c r="IP31" s="463"/>
      <c r="IQ31" s="463"/>
      <c r="IR31" s="463"/>
      <c r="IS31" s="463"/>
      <c r="IT31" s="463"/>
      <c r="IU31" s="463"/>
      <c r="IV31" s="463"/>
    </row>
    <row r="32" spans="1:256" s="865" customFormat="1" ht="22.5" customHeight="1">
      <c r="A32" s="880">
        <v>24</v>
      </c>
      <c r="B32" s="873"/>
      <c r="C32" s="517">
        <v>12</v>
      </c>
      <c r="D32" s="877" t="s">
        <v>801</v>
      </c>
      <c r="E32" s="475"/>
      <c r="F32" s="869"/>
      <c r="G32" s="476"/>
      <c r="H32" s="1183" t="s">
        <v>24</v>
      </c>
      <c r="I32" s="1201"/>
      <c r="J32" s="1197"/>
      <c r="K32" s="1197"/>
      <c r="L32" s="1197"/>
      <c r="M32" s="1197"/>
      <c r="N32" s="1197"/>
      <c r="O32" s="1166"/>
      <c r="P32" s="870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3"/>
      <c r="DA32" s="463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  <c r="FF32" s="463"/>
      <c r="FG32" s="463"/>
      <c r="FH32" s="463"/>
      <c r="FI32" s="463"/>
      <c r="FJ32" s="463"/>
      <c r="FK32" s="463"/>
      <c r="FL32" s="463"/>
      <c r="FM32" s="463"/>
      <c r="FN32" s="463"/>
      <c r="FO32" s="463"/>
      <c r="FP32" s="463"/>
      <c r="FQ32" s="463"/>
      <c r="FR32" s="463"/>
      <c r="FS32" s="463"/>
      <c r="FT32" s="463"/>
      <c r="FU32" s="463"/>
      <c r="FV32" s="463"/>
      <c r="FW32" s="463"/>
      <c r="FX32" s="463"/>
      <c r="FY32" s="463"/>
      <c r="FZ32" s="463"/>
      <c r="GA32" s="463"/>
      <c r="GB32" s="463"/>
      <c r="GC32" s="463"/>
      <c r="GD32" s="463"/>
      <c r="GE32" s="463"/>
      <c r="GF32" s="463"/>
      <c r="GG32" s="463"/>
      <c r="GH32" s="463"/>
      <c r="GI32" s="463"/>
      <c r="GJ32" s="463"/>
      <c r="GK32" s="463"/>
      <c r="GL32" s="463"/>
      <c r="GM32" s="463"/>
      <c r="GN32" s="463"/>
      <c r="GO32" s="463"/>
      <c r="GP32" s="463"/>
      <c r="GQ32" s="463"/>
      <c r="GR32" s="463"/>
      <c r="GS32" s="463"/>
      <c r="GT32" s="463"/>
      <c r="GU32" s="463"/>
      <c r="GV32" s="463"/>
      <c r="GW32" s="463"/>
      <c r="GX32" s="463"/>
      <c r="GY32" s="463"/>
      <c r="GZ32" s="463"/>
      <c r="HA32" s="463"/>
      <c r="HB32" s="463"/>
      <c r="HC32" s="463"/>
      <c r="HD32" s="463"/>
      <c r="HE32" s="463"/>
      <c r="HF32" s="463"/>
      <c r="HG32" s="463"/>
      <c r="HH32" s="463"/>
      <c r="HI32" s="463"/>
      <c r="HJ32" s="463"/>
      <c r="HK32" s="463"/>
      <c r="HL32" s="463"/>
      <c r="HM32" s="463"/>
      <c r="HN32" s="463"/>
      <c r="HO32" s="463"/>
      <c r="HP32" s="463"/>
      <c r="HQ32" s="463"/>
      <c r="HR32" s="463"/>
      <c r="HS32" s="463"/>
      <c r="HT32" s="463"/>
      <c r="HU32" s="463"/>
      <c r="HV32" s="463"/>
      <c r="HW32" s="463"/>
      <c r="HX32" s="463"/>
      <c r="HY32" s="463"/>
      <c r="HZ32" s="463"/>
      <c r="IA32" s="463"/>
      <c r="IB32" s="463"/>
      <c r="IC32" s="463"/>
      <c r="ID32" s="463"/>
      <c r="IE32" s="463"/>
      <c r="IF32" s="463"/>
      <c r="IG32" s="463"/>
      <c r="IH32" s="463"/>
      <c r="II32" s="463"/>
      <c r="IJ32" s="463"/>
      <c r="IK32" s="463"/>
      <c r="IL32" s="463"/>
      <c r="IM32" s="463"/>
      <c r="IN32" s="463"/>
      <c r="IO32" s="463"/>
      <c r="IP32" s="463"/>
      <c r="IQ32" s="463"/>
      <c r="IR32" s="463"/>
      <c r="IS32" s="463"/>
      <c r="IT32" s="463"/>
      <c r="IU32" s="463"/>
      <c r="IV32" s="463"/>
    </row>
    <row r="33" spans="1:256" s="865" customFormat="1" ht="18" customHeight="1">
      <c r="A33" s="880">
        <v>25</v>
      </c>
      <c r="B33" s="873"/>
      <c r="C33" s="465"/>
      <c r="D33" s="1176" t="s">
        <v>312</v>
      </c>
      <c r="E33" s="475">
        <f>F33+G33+O33+P33</f>
        <v>3979</v>
      </c>
      <c r="F33" s="869"/>
      <c r="G33" s="476"/>
      <c r="H33" s="1183"/>
      <c r="I33" s="1201"/>
      <c r="J33" s="1197"/>
      <c r="K33" s="1197">
        <v>79</v>
      </c>
      <c r="L33" s="1197"/>
      <c r="M33" s="1197">
        <v>3900</v>
      </c>
      <c r="N33" s="1197"/>
      <c r="O33" s="1166">
        <f>SUM(I33:N33)</f>
        <v>3979</v>
      </c>
      <c r="P33" s="870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3"/>
      <c r="DV33" s="463"/>
      <c r="DW33" s="463"/>
      <c r="DX33" s="463"/>
      <c r="DY33" s="463"/>
      <c r="DZ33" s="463"/>
      <c r="EA33" s="463"/>
      <c r="EB33" s="463"/>
      <c r="EC33" s="463"/>
      <c r="ED33" s="463"/>
      <c r="EE33" s="463"/>
      <c r="EF33" s="463"/>
      <c r="EG33" s="463"/>
      <c r="EH33" s="463"/>
      <c r="EI33" s="463"/>
      <c r="EJ33" s="463"/>
      <c r="EK33" s="463"/>
      <c r="EL33" s="463"/>
      <c r="EM33" s="463"/>
      <c r="EN33" s="463"/>
      <c r="EO33" s="463"/>
      <c r="EP33" s="463"/>
      <c r="EQ33" s="463"/>
      <c r="ER33" s="463"/>
      <c r="ES33" s="463"/>
      <c r="ET33" s="463"/>
      <c r="EU33" s="463"/>
      <c r="EV33" s="463"/>
      <c r="EW33" s="463"/>
      <c r="EX33" s="463"/>
      <c r="EY33" s="463"/>
      <c r="EZ33" s="463"/>
      <c r="FA33" s="463"/>
      <c r="FB33" s="463"/>
      <c r="FC33" s="463"/>
      <c r="FD33" s="463"/>
      <c r="FE33" s="463"/>
      <c r="FF33" s="463"/>
      <c r="FG33" s="463"/>
      <c r="FH33" s="463"/>
      <c r="FI33" s="463"/>
      <c r="FJ33" s="463"/>
      <c r="FK33" s="463"/>
      <c r="FL33" s="463"/>
      <c r="FM33" s="463"/>
      <c r="FN33" s="463"/>
      <c r="FO33" s="463"/>
      <c r="FP33" s="463"/>
      <c r="FQ33" s="463"/>
      <c r="FR33" s="463"/>
      <c r="FS33" s="463"/>
      <c r="FT33" s="463"/>
      <c r="FU33" s="463"/>
      <c r="FV33" s="463"/>
      <c r="FW33" s="463"/>
      <c r="FX33" s="463"/>
      <c r="FY33" s="463"/>
      <c r="FZ33" s="463"/>
      <c r="GA33" s="463"/>
      <c r="GB33" s="463"/>
      <c r="GC33" s="463"/>
      <c r="GD33" s="463"/>
      <c r="GE33" s="463"/>
      <c r="GF33" s="463"/>
      <c r="GG33" s="463"/>
      <c r="GH33" s="463"/>
      <c r="GI33" s="463"/>
      <c r="GJ33" s="463"/>
      <c r="GK33" s="463"/>
      <c r="GL33" s="463"/>
      <c r="GM33" s="463"/>
      <c r="GN33" s="463"/>
      <c r="GO33" s="463"/>
      <c r="GP33" s="463"/>
      <c r="GQ33" s="463"/>
      <c r="GR33" s="463"/>
      <c r="GS33" s="463"/>
      <c r="GT33" s="463"/>
      <c r="GU33" s="463"/>
      <c r="GV33" s="463"/>
      <c r="GW33" s="463"/>
      <c r="GX33" s="463"/>
      <c r="GY33" s="463"/>
      <c r="GZ33" s="463"/>
      <c r="HA33" s="463"/>
      <c r="HB33" s="463"/>
      <c r="HC33" s="463"/>
      <c r="HD33" s="463"/>
      <c r="HE33" s="463"/>
      <c r="HF33" s="463"/>
      <c r="HG33" s="463"/>
      <c r="HH33" s="463"/>
      <c r="HI33" s="463"/>
      <c r="HJ33" s="463"/>
      <c r="HK33" s="463"/>
      <c r="HL33" s="463"/>
      <c r="HM33" s="463"/>
      <c r="HN33" s="463"/>
      <c r="HO33" s="463"/>
      <c r="HP33" s="463"/>
      <c r="HQ33" s="463"/>
      <c r="HR33" s="463"/>
      <c r="HS33" s="463"/>
      <c r="HT33" s="463"/>
      <c r="HU33" s="463"/>
      <c r="HV33" s="463"/>
      <c r="HW33" s="463"/>
      <c r="HX33" s="463"/>
      <c r="HY33" s="463"/>
      <c r="HZ33" s="463"/>
      <c r="IA33" s="463"/>
      <c r="IB33" s="463"/>
      <c r="IC33" s="463"/>
      <c r="ID33" s="463"/>
      <c r="IE33" s="463"/>
      <c r="IF33" s="463"/>
      <c r="IG33" s="463"/>
      <c r="IH33" s="463"/>
      <c r="II33" s="463"/>
      <c r="IJ33" s="463"/>
      <c r="IK33" s="463"/>
      <c r="IL33" s="463"/>
      <c r="IM33" s="463"/>
      <c r="IN33" s="463"/>
      <c r="IO33" s="463"/>
      <c r="IP33" s="463"/>
      <c r="IQ33" s="463"/>
      <c r="IR33" s="463"/>
      <c r="IS33" s="463"/>
      <c r="IT33" s="463"/>
      <c r="IU33" s="463"/>
      <c r="IV33" s="463"/>
    </row>
    <row r="34" spans="1:256" s="865" customFormat="1" ht="22.5" customHeight="1">
      <c r="A34" s="880">
        <v>26</v>
      </c>
      <c r="B34" s="873"/>
      <c r="C34" s="517">
        <v>13</v>
      </c>
      <c r="D34" s="877" t="s">
        <v>869</v>
      </c>
      <c r="E34" s="475"/>
      <c r="F34" s="869"/>
      <c r="G34" s="476"/>
      <c r="H34" s="1183" t="s">
        <v>24</v>
      </c>
      <c r="I34" s="1201"/>
      <c r="J34" s="1197"/>
      <c r="K34" s="1197"/>
      <c r="L34" s="1197"/>
      <c r="M34" s="1197"/>
      <c r="N34" s="1197"/>
      <c r="O34" s="1166"/>
      <c r="P34" s="870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463"/>
      <c r="FK34" s="463"/>
      <c r="FL34" s="463"/>
      <c r="FM34" s="463"/>
      <c r="FN34" s="463"/>
      <c r="FO34" s="463"/>
      <c r="FP34" s="463"/>
      <c r="FQ34" s="463"/>
      <c r="FR34" s="463"/>
      <c r="FS34" s="463"/>
      <c r="FT34" s="463"/>
      <c r="FU34" s="463"/>
      <c r="FV34" s="463"/>
      <c r="FW34" s="463"/>
      <c r="FX34" s="463"/>
      <c r="FY34" s="463"/>
      <c r="FZ34" s="463"/>
      <c r="GA34" s="463"/>
      <c r="GB34" s="463"/>
      <c r="GC34" s="463"/>
      <c r="GD34" s="463"/>
      <c r="GE34" s="463"/>
      <c r="GF34" s="463"/>
      <c r="GG34" s="463"/>
      <c r="GH34" s="463"/>
      <c r="GI34" s="463"/>
      <c r="GJ34" s="463"/>
      <c r="GK34" s="463"/>
      <c r="GL34" s="463"/>
      <c r="GM34" s="463"/>
      <c r="GN34" s="463"/>
      <c r="GO34" s="463"/>
      <c r="GP34" s="463"/>
      <c r="GQ34" s="463"/>
      <c r="GR34" s="463"/>
      <c r="GS34" s="463"/>
      <c r="GT34" s="463"/>
      <c r="GU34" s="463"/>
      <c r="GV34" s="463"/>
      <c r="GW34" s="463"/>
      <c r="GX34" s="463"/>
      <c r="GY34" s="463"/>
      <c r="GZ34" s="463"/>
      <c r="HA34" s="463"/>
      <c r="HB34" s="463"/>
      <c r="HC34" s="463"/>
      <c r="HD34" s="463"/>
      <c r="HE34" s="463"/>
      <c r="HF34" s="463"/>
      <c r="HG34" s="463"/>
      <c r="HH34" s="463"/>
      <c r="HI34" s="463"/>
      <c r="HJ34" s="463"/>
      <c r="HK34" s="463"/>
      <c r="HL34" s="463"/>
      <c r="HM34" s="463"/>
      <c r="HN34" s="463"/>
      <c r="HO34" s="463"/>
      <c r="HP34" s="463"/>
      <c r="HQ34" s="463"/>
      <c r="HR34" s="463"/>
      <c r="HS34" s="463"/>
      <c r="HT34" s="463"/>
      <c r="HU34" s="463"/>
      <c r="HV34" s="463"/>
      <c r="HW34" s="463"/>
      <c r="HX34" s="463"/>
      <c r="HY34" s="463"/>
      <c r="HZ34" s="463"/>
      <c r="IA34" s="463"/>
      <c r="IB34" s="463"/>
      <c r="IC34" s="463"/>
      <c r="ID34" s="463"/>
      <c r="IE34" s="463"/>
      <c r="IF34" s="463"/>
      <c r="IG34" s="463"/>
      <c r="IH34" s="463"/>
      <c r="II34" s="463"/>
      <c r="IJ34" s="463"/>
      <c r="IK34" s="463"/>
      <c r="IL34" s="463"/>
      <c r="IM34" s="463"/>
      <c r="IN34" s="463"/>
      <c r="IO34" s="463"/>
      <c r="IP34" s="463"/>
      <c r="IQ34" s="463"/>
      <c r="IR34" s="463"/>
      <c r="IS34" s="463"/>
      <c r="IT34" s="463"/>
      <c r="IU34" s="463"/>
      <c r="IV34" s="463"/>
    </row>
    <row r="35" spans="1:256" s="865" customFormat="1" ht="18" customHeight="1" thickBot="1">
      <c r="A35" s="880">
        <v>27</v>
      </c>
      <c r="B35" s="873"/>
      <c r="C35" s="465"/>
      <c r="D35" s="1176" t="s">
        <v>312</v>
      </c>
      <c r="E35" s="475">
        <f>F35+G35+O35+P35</f>
        <v>2000</v>
      </c>
      <c r="F35" s="869"/>
      <c r="G35" s="476"/>
      <c r="H35" s="1183"/>
      <c r="I35" s="1201"/>
      <c r="J35" s="1197"/>
      <c r="K35" s="1197"/>
      <c r="L35" s="1197"/>
      <c r="M35" s="1197">
        <v>2000</v>
      </c>
      <c r="N35" s="1197"/>
      <c r="O35" s="1166">
        <f>SUM(I35:N35)</f>
        <v>2000</v>
      </c>
      <c r="P35" s="870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3"/>
      <c r="FL35" s="463"/>
      <c r="FM35" s="463"/>
      <c r="FN35" s="463"/>
      <c r="FO35" s="463"/>
      <c r="FP35" s="463"/>
      <c r="FQ35" s="463"/>
      <c r="FR35" s="463"/>
      <c r="FS35" s="463"/>
      <c r="FT35" s="463"/>
      <c r="FU35" s="463"/>
      <c r="FV35" s="463"/>
      <c r="FW35" s="463"/>
      <c r="FX35" s="463"/>
      <c r="FY35" s="463"/>
      <c r="FZ35" s="463"/>
      <c r="GA35" s="463"/>
      <c r="GB35" s="463"/>
      <c r="GC35" s="463"/>
      <c r="GD35" s="463"/>
      <c r="GE35" s="463"/>
      <c r="GF35" s="463"/>
      <c r="GG35" s="463"/>
      <c r="GH35" s="463"/>
      <c r="GI35" s="463"/>
      <c r="GJ35" s="463"/>
      <c r="GK35" s="463"/>
      <c r="GL35" s="463"/>
      <c r="GM35" s="463"/>
      <c r="GN35" s="463"/>
      <c r="GO35" s="463"/>
      <c r="GP35" s="463"/>
      <c r="GQ35" s="463"/>
      <c r="GR35" s="463"/>
      <c r="GS35" s="463"/>
      <c r="GT35" s="463"/>
      <c r="GU35" s="463"/>
      <c r="GV35" s="463"/>
      <c r="GW35" s="463"/>
      <c r="GX35" s="463"/>
      <c r="GY35" s="463"/>
      <c r="GZ35" s="463"/>
      <c r="HA35" s="463"/>
      <c r="HB35" s="463"/>
      <c r="HC35" s="463"/>
      <c r="HD35" s="463"/>
      <c r="HE35" s="463"/>
      <c r="HF35" s="463"/>
      <c r="HG35" s="463"/>
      <c r="HH35" s="463"/>
      <c r="HI35" s="463"/>
      <c r="HJ35" s="463"/>
      <c r="HK35" s="463"/>
      <c r="HL35" s="463"/>
      <c r="HM35" s="463"/>
      <c r="HN35" s="463"/>
      <c r="HO35" s="463"/>
      <c r="HP35" s="463"/>
      <c r="HQ35" s="463"/>
      <c r="HR35" s="463"/>
      <c r="HS35" s="463"/>
      <c r="HT35" s="463"/>
      <c r="HU35" s="463"/>
      <c r="HV35" s="463"/>
      <c r="HW35" s="463"/>
      <c r="HX35" s="463"/>
      <c r="HY35" s="463"/>
      <c r="HZ35" s="463"/>
      <c r="IA35" s="463"/>
      <c r="IB35" s="463"/>
      <c r="IC35" s="463"/>
      <c r="ID35" s="463"/>
      <c r="IE35" s="463"/>
      <c r="IF35" s="463"/>
      <c r="IG35" s="463"/>
      <c r="IH35" s="463"/>
      <c r="II35" s="463"/>
      <c r="IJ35" s="463"/>
      <c r="IK35" s="463"/>
      <c r="IL35" s="463"/>
      <c r="IM35" s="463"/>
      <c r="IN35" s="463"/>
      <c r="IO35" s="463"/>
      <c r="IP35" s="463"/>
      <c r="IQ35" s="463"/>
      <c r="IR35" s="463"/>
      <c r="IS35" s="463"/>
      <c r="IT35" s="463"/>
      <c r="IU35" s="463"/>
      <c r="IV35" s="463"/>
    </row>
    <row r="36" spans="1:16" s="468" customFormat="1" ht="36" customHeight="1" thickBot="1">
      <c r="A36" s="880">
        <v>28</v>
      </c>
      <c r="B36" s="1702" t="s">
        <v>13</v>
      </c>
      <c r="C36" s="1703"/>
      <c r="D36" s="1703"/>
      <c r="E36" s="1703"/>
      <c r="F36" s="1703"/>
      <c r="G36" s="1704"/>
      <c r="H36" s="1319"/>
      <c r="I36" s="1295">
        <f>I27+I25+I23+I21+I19+I17+I15+I13+I11+I31+I33+I35+I29</f>
        <v>0</v>
      </c>
      <c r="J36" s="1295">
        <f>J27+J25+J23+J21+J19+J17+J15+J13+J11+J31+J33+J35+J29</f>
        <v>0</v>
      </c>
      <c r="K36" s="1295">
        <f>K27+K25+K23+K21+K19+K17+K15+K13+K11+K31+K33+K35+K29</f>
        <v>39215</v>
      </c>
      <c r="L36" s="1295">
        <f>L27+L25+L23+L21+L19+L17+L15+L13+L11+L31+L33+L35+L29</f>
        <v>0</v>
      </c>
      <c r="M36" s="1295">
        <f>M27+M25+M23+M21+M19+M17+M15+M13+M11+M31+M33+M35+M29</f>
        <v>7494559</v>
      </c>
      <c r="N36" s="1295">
        <f>N27+N25+N23+N21+N19+N17+N15+N13+N11+N31+N33+N35+N29</f>
        <v>40493</v>
      </c>
      <c r="O36" s="1295">
        <f>O27+O25+O23+O21+O19+O17+O15+O13+O11+O31+O33+O35+O29</f>
        <v>7574267</v>
      </c>
      <c r="P36" s="1296">
        <f>SUM(P10:P35)</f>
        <v>18527448</v>
      </c>
    </row>
    <row r="37" spans="2:15" ht="18" customHeight="1">
      <c r="B37" s="871" t="s">
        <v>27</v>
      </c>
      <c r="C37" s="872"/>
      <c r="D37" s="871"/>
      <c r="E37" s="477"/>
      <c r="F37" s="478"/>
      <c r="G37" s="477"/>
      <c r="H37" s="858"/>
      <c r="I37" s="477"/>
      <c r="J37" s="477"/>
      <c r="K37" s="477"/>
      <c r="L37" s="477"/>
      <c r="M37" s="477"/>
      <c r="N37" s="477"/>
      <c r="O37" s="882"/>
    </row>
    <row r="38" spans="2:15" ht="18" customHeight="1">
      <c r="B38" s="871" t="s">
        <v>28</v>
      </c>
      <c r="C38" s="872"/>
      <c r="D38" s="871"/>
      <c r="E38" s="714"/>
      <c r="F38" s="478"/>
      <c r="G38" s="477"/>
      <c r="H38" s="858"/>
      <c r="I38" s="477"/>
      <c r="J38" s="477"/>
      <c r="K38" s="477"/>
      <c r="L38" s="477"/>
      <c r="M38" s="477"/>
      <c r="N38" s="477"/>
      <c r="O38" s="882"/>
    </row>
    <row r="39" spans="2:15" ht="18" customHeight="1">
      <c r="B39" s="871" t="s">
        <v>29</v>
      </c>
      <c r="C39" s="872"/>
      <c r="D39" s="871"/>
      <c r="E39" s="714"/>
      <c r="F39" s="478"/>
      <c r="G39" s="477"/>
      <c r="H39" s="858"/>
      <c r="I39" s="477"/>
      <c r="J39" s="477"/>
      <c r="K39" s="477"/>
      <c r="L39" s="477"/>
      <c r="M39" s="477"/>
      <c r="N39" s="477"/>
      <c r="O39" s="882"/>
    </row>
    <row r="40" spans="2:3" ht="17.25">
      <c r="B40" s="474" t="s">
        <v>1000</v>
      </c>
      <c r="C40" s="474"/>
    </row>
  </sheetData>
  <sheetProtection/>
  <mergeCells count="18">
    <mergeCell ref="Q6:R6"/>
    <mergeCell ref="I7:L7"/>
    <mergeCell ref="M7:N7"/>
    <mergeCell ref="O7:O8"/>
    <mergeCell ref="B36:G36"/>
    <mergeCell ref="A1:D1"/>
    <mergeCell ref="I1:P1"/>
    <mergeCell ref="A2:P2"/>
    <mergeCell ref="A3:P3"/>
    <mergeCell ref="B6:B8"/>
    <mergeCell ref="C6:C8"/>
    <mergeCell ref="D6:D8"/>
    <mergeCell ref="E6:E8"/>
    <mergeCell ref="F6:F8"/>
    <mergeCell ref="G6:G8"/>
    <mergeCell ref="H6:H8"/>
    <mergeCell ref="I6:O6"/>
    <mergeCell ref="P6:P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7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25" defaultRowHeight="12.75"/>
  <cols>
    <col min="1" max="1" width="3.75390625" style="857" customWidth="1"/>
    <col min="2" max="3" width="5.75390625" style="1044" customWidth="1"/>
    <col min="4" max="4" width="62.75390625" style="463" customWidth="1"/>
    <col min="5" max="5" width="12.75390625" style="1043" customWidth="1"/>
    <col min="6" max="7" width="10.75390625" style="1043" customWidth="1"/>
    <col min="8" max="8" width="6.75390625" style="860" customWidth="1"/>
    <col min="9" max="13" width="14.875" style="1043" customWidth="1"/>
    <col min="14" max="14" width="14.875" style="1207" customWidth="1"/>
    <col min="15" max="15" width="14.875" style="1043" customWidth="1"/>
    <col min="16" max="16" width="15.75390625" style="881" customWidth="1"/>
    <col min="17" max="17" width="13.875" style="1043" customWidth="1"/>
    <col min="18" max="16384" width="9.125" style="463" customWidth="1"/>
  </cols>
  <sheetData>
    <row r="1" spans="1:251" ht="18" customHeight="1">
      <c r="A1" s="1715" t="s">
        <v>1016</v>
      </c>
      <c r="B1" s="1715"/>
      <c r="C1" s="1715"/>
      <c r="D1" s="1715"/>
      <c r="E1" s="714"/>
      <c r="F1" s="714"/>
      <c r="G1" s="714"/>
      <c r="H1" s="858"/>
      <c r="I1" s="1673"/>
      <c r="J1" s="1673"/>
      <c r="K1" s="1673"/>
      <c r="L1" s="1673"/>
      <c r="M1" s="1673"/>
      <c r="N1" s="1673"/>
      <c r="O1" s="1673"/>
      <c r="P1" s="1673"/>
      <c r="Q1" s="1673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59"/>
      <c r="DE1" s="859"/>
      <c r="DF1" s="859"/>
      <c r="DG1" s="859"/>
      <c r="DH1" s="859"/>
      <c r="DI1" s="859"/>
      <c r="DJ1" s="859"/>
      <c r="DK1" s="859"/>
      <c r="DL1" s="859"/>
      <c r="DM1" s="859"/>
      <c r="DN1" s="859"/>
      <c r="DO1" s="859"/>
      <c r="DP1" s="859"/>
      <c r="DQ1" s="859"/>
      <c r="DR1" s="859"/>
      <c r="DS1" s="859"/>
      <c r="DT1" s="859"/>
      <c r="DU1" s="859"/>
      <c r="DV1" s="859"/>
      <c r="DW1" s="859"/>
      <c r="DX1" s="859"/>
      <c r="DY1" s="859"/>
      <c r="DZ1" s="859"/>
      <c r="EA1" s="859"/>
      <c r="EB1" s="859"/>
      <c r="EC1" s="859"/>
      <c r="ED1" s="859"/>
      <c r="EE1" s="859"/>
      <c r="EF1" s="859"/>
      <c r="EG1" s="859"/>
      <c r="EH1" s="859"/>
      <c r="EI1" s="859"/>
      <c r="EJ1" s="859"/>
      <c r="EK1" s="859"/>
      <c r="EL1" s="859"/>
      <c r="EM1" s="859"/>
      <c r="EN1" s="859"/>
      <c r="EO1" s="859"/>
      <c r="EP1" s="859"/>
      <c r="EQ1" s="859"/>
      <c r="ER1" s="859"/>
      <c r="ES1" s="859"/>
      <c r="ET1" s="859"/>
      <c r="EU1" s="859"/>
      <c r="EV1" s="859"/>
      <c r="EW1" s="859"/>
      <c r="EX1" s="859"/>
      <c r="EY1" s="859"/>
      <c r="EZ1" s="859"/>
      <c r="FA1" s="859"/>
      <c r="FB1" s="859"/>
      <c r="FC1" s="859"/>
      <c r="FD1" s="859"/>
      <c r="FE1" s="859"/>
      <c r="FF1" s="859"/>
      <c r="FG1" s="859"/>
      <c r="FH1" s="859"/>
      <c r="FI1" s="859"/>
      <c r="FJ1" s="859"/>
      <c r="FK1" s="859"/>
      <c r="FL1" s="859"/>
      <c r="FM1" s="859"/>
      <c r="FN1" s="859"/>
      <c r="FO1" s="859"/>
      <c r="FP1" s="859"/>
      <c r="FQ1" s="859"/>
      <c r="FR1" s="859"/>
      <c r="FS1" s="859"/>
      <c r="FT1" s="859"/>
      <c r="FU1" s="859"/>
      <c r="FV1" s="859"/>
      <c r="FW1" s="859"/>
      <c r="FX1" s="859"/>
      <c r="FY1" s="859"/>
      <c r="FZ1" s="859"/>
      <c r="GA1" s="859"/>
      <c r="GB1" s="859"/>
      <c r="GC1" s="859"/>
      <c r="GD1" s="859"/>
      <c r="GE1" s="859"/>
      <c r="GF1" s="859"/>
      <c r="GG1" s="859"/>
      <c r="GH1" s="859"/>
      <c r="GI1" s="859"/>
      <c r="GJ1" s="859"/>
      <c r="GK1" s="859"/>
      <c r="GL1" s="859"/>
      <c r="GM1" s="859"/>
      <c r="GN1" s="859"/>
      <c r="GO1" s="859"/>
      <c r="GP1" s="859"/>
      <c r="GQ1" s="859"/>
      <c r="GR1" s="859"/>
      <c r="GS1" s="859"/>
      <c r="GT1" s="859"/>
      <c r="GU1" s="859"/>
      <c r="GV1" s="859"/>
      <c r="GW1" s="859"/>
      <c r="GX1" s="859"/>
      <c r="GY1" s="859"/>
      <c r="GZ1" s="859"/>
      <c r="HA1" s="859"/>
      <c r="HB1" s="859"/>
      <c r="HC1" s="859"/>
      <c r="HD1" s="859"/>
      <c r="HE1" s="859"/>
      <c r="HF1" s="859"/>
      <c r="HG1" s="859"/>
      <c r="HH1" s="859"/>
      <c r="HI1" s="859"/>
      <c r="HJ1" s="859"/>
      <c r="HK1" s="859"/>
      <c r="HL1" s="859"/>
      <c r="HM1" s="859"/>
      <c r="HN1" s="859"/>
      <c r="HO1" s="859"/>
      <c r="HP1" s="859"/>
      <c r="HQ1" s="859"/>
      <c r="HR1" s="859"/>
      <c r="HS1" s="859"/>
      <c r="HT1" s="859"/>
      <c r="HU1" s="859"/>
      <c r="HV1" s="859"/>
      <c r="HW1" s="859"/>
      <c r="HX1" s="859"/>
      <c r="HY1" s="859"/>
      <c r="HZ1" s="859"/>
      <c r="IA1" s="859"/>
      <c r="IB1" s="859"/>
      <c r="IC1" s="859"/>
      <c r="ID1" s="859"/>
      <c r="IE1" s="859"/>
      <c r="IF1" s="859"/>
      <c r="IG1" s="859"/>
      <c r="IH1" s="859"/>
      <c r="II1" s="859"/>
      <c r="IJ1" s="859"/>
      <c r="IK1" s="859"/>
      <c r="IL1" s="859"/>
      <c r="IM1" s="859"/>
      <c r="IN1" s="859"/>
      <c r="IO1" s="859"/>
      <c r="IP1" s="859"/>
      <c r="IQ1" s="859"/>
    </row>
    <row r="2" spans="1:17" ht="24.75" customHeight="1">
      <c r="A2" s="1674" t="s">
        <v>14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  <c r="Q2" s="1674"/>
    </row>
    <row r="3" spans="1:17" ht="24.75" customHeight="1">
      <c r="A3" s="1716" t="s">
        <v>689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</row>
    <row r="4" spans="1:17" s="1152" customFormat="1" ht="18" customHeight="1">
      <c r="A4" s="857"/>
      <c r="B4" s="857"/>
      <c r="C4" s="857"/>
      <c r="E4" s="810"/>
      <c r="F4" s="810"/>
      <c r="G4" s="810"/>
      <c r="H4" s="1153"/>
      <c r="I4" s="810"/>
      <c r="J4" s="810"/>
      <c r="K4" s="810"/>
      <c r="L4" s="810"/>
      <c r="M4" s="810"/>
      <c r="N4" s="810"/>
      <c r="O4" s="810"/>
      <c r="P4" s="1154"/>
      <c r="Q4" s="816" t="s">
        <v>0</v>
      </c>
    </row>
    <row r="5" spans="1:251" s="1158" customFormat="1" ht="18" customHeight="1" thickBot="1">
      <c r="A5" s="1155"/>
      <c r="B5" s="1156" t="s">
        <v>1</v>
      </c>
      <c r="C5" s="1157" t="s">
        <v>3</v>
      </c>
      <c r="D5" s="1157" t="s">
        <v>2</v>
      </c>
      <c r="E5" s="1157" t="s">
        <v>4</v>
      </c>
      <c r="F5" s="1157" t="s">
        <v>5</v>
      </c>
      <c r="G5" s="1157" t="s">
        <v>15</v>
      </c>
      <c r="H5" s="1157" t="s">
        <v>16</v>
      </c>
      <c r="I5" s="1157" t="s">
        <v>17</v>
      </c>
      <c r="J5" s="1157" t="s">
        <v>36</v>
      </c>
      <c r="K5" s="1157" t="s">
        <v>30</v>
      </c>
      <c r="L5" s="1157" t="s">
        <v>23</v>
      </c>
      <c r="M5" s="1157" t="s">
        <v>37</v>
      </c>
      <c r="N5" s="1157" t="s">
        <v>38</v>
      </c>
      <c r="O5" s="1157" t="s">
        <v>160</v>
      </c>
      <c r="P5" s="1157" t="s">
        <v>161</v>
      </c>
      <c r="Q5" s="1157" t="s">
        <v>162</v>
      </c>
      <c r="R5" s="1155"/>
      <c r="S5" s="1155"/>
      <c r="T5" s="1155"/>
      <c r="U5" s="1155"/>
      <c r="V5" s="1155"/>
      <c r="W5" s="1155"/>
      <c r="X5" s="1155"/>
      <c r="Y5" s="1155"/>
      <c r="Z5" s="1155"/>
      <c r="AA5" s="1155"/>
      <c r="AB5" s="1155"/>
      <c r="AC5" s="1155"/>
      <c r="AD5" s="1155"/>
      <c r="AE5" s="1155"/>
      <c r="AF5" s="1155"/>
      <c r="AG5" s="1155"/>
      <c r="AH5" s="1155"/>
      <c r="AI5" s="1155"/>
      <c r="AJ5" s="1155"/>
      <c r="AK5" s="1155"/>
      <c r="AL5" s="1155"/>
      <c r="AM5" s="1155"/>
      <c r="AN5" s="1155"/>
      <c r="AO5" s="1155"/>
      <c r="AP5" s="1155"/>
      <c r="AQ5" s="1155"/>
      <c r="AR5" s="1155"/>
      <c r="AS5" s="1155"/>
      <c r="AT5" s="1155"/>
      <c r="AU5" s="1155"/>
      <c r="AV5" s="1155"/>
      <c r="AW5" s="1155"/>
      <c r="AX5" s="1155"/>
      <c r="AY5" s="1155"/>
      <c r="AZ5" s="1155"/>
      <c r="BA5" s="1155"/>
      <c r="BB5" s="1155"/>
      <c r="BC5" s="1155"/>
      <c r="BD5" s="1155"/>
      <c r="BE5" s="1155"/>
      <c r="BF5" s="1155"/>
      <c r="BG5" s="1155"/>
      <c r="BH5" s="1155"/>
      <c r="BI5" s="1155"/>
      <c r="BJ5" s="1155"/>
      <c r="BK5" s="1155"/>
      <c r="BL5" s="1155"/>
      <c r="BM5" s="1155"/>
      <c r="BN5" s="1155"/>
      <c r="BO5" s="1155"/>
      <c r="BP5" s="1155"/>
      <c r="BQ5" s="1155"/>
      <c r="BR5" s="1155"/>
      <c r="BS5" s="1155"/>
      <c r="BT5" s="1155"/>
      <c r="BU5" s="1155"/>
      <c r="BV5" s="1155"/>
      <c r="BW5" s="1155"/>
      <c r="BX5" s="1155"/>
      <c r="BY5" s="1155"/>
      <c r="BZ5" s="1155"/>
      <c r="CA5" s="1155"/>
      <c r="CB5" s="1155"/>
      <c r="CC5" s="1155"/>
      <c r="CD5" s="1155"/>
      <c r="CE5" s="1155"/>
      <c r="CF5" s="1155"/>
      <c r="CG5" s="1155"/>
      <c r="CH5" s="1155"/>
      <c r="CI5" s="1155"/>
      <c r="CJ5" s="1155"/>
      <c r="CK5" s="1155"/>
      <c r="CL5" s="1155"/>
      <c r="CM5" s="1155"/>
      <c r="CN5" s="1155"/>
      <c r="CO5" s="1155"/>
      <c r="CP5" s="1155"/>
      <c r="CQ5" s="1155"/>
      <c r="CR5" s="1155"/>
      <c r="CS5" s="1155"/>
      <c r="CT5" s="1155"/>
      <c r="CU5" s="1155"/>
      <c r="CV5" s="1155"/>
      <c r="CW5" s="1155"/>
      <c r="CX5" s="1155"/>
      <c r="CY5" s="1155"/>
      <c r="CZ5" s="1155"/>
      <c r="DA5" s="1155"/>
      <c r="DB5" s="1155"/>
      <c r="DC5" s="1155"/>
      <c r="DD5" s="1155"/>
      <c r="DE5" s="1155"/>
      <c r="DF5" s="1155"/>
      <c r="DG5" s="1155"/>
      <c r="DH5" s="1155"/>
      <c r="DI5" s="1155"/>
      <c r="DJ5" s="1155"/>
      <c r="DK5" s="1155"/>
      <c r="DL5" s="1155"/>
      <c r="DM5" s="1155"/>
      <c r="DN5" s="1155"/>
      <c r="DO5" s="1155"/>
      <c r="DP5" s="1155"/>
      <c r="DQ5" s="1155"/>
      <c r="DR5" s="1155"/>
      <c r="DS5" s="1155"/>
      <c r="DT5" s="1155"/>
      <c r="DU5" s="1155"/>
      <c r="DV5" s="1155"/>
      <c r="DW5" s="1155"/>
      <c r="DX5" s="1155"/>
      <c r="DY5" s="1155"/>
      <c r="DZ5" s="1155"/>
      <c r="EA5" s="1155"/>
      <c r="EB5" s="1155"/>
      <c r="EC5" s="1155"/>
      <c r="ED5" s="1155"/>
      <c r="EE5" s="1155"/>
      <c r="EF5" s="1155"/>
      <c r="EG5" s="1155"/>
      <c r="EH5" s="1155"/>
      <c r="EI5" s="1155"/>
      <c r="EJ5" s="1155"/>
      <c r="EK5" s="1155"/>
      <c r="EL5" s="1155"/>
      <c r="EM5" s="1155"/>
      <c r="EN5" s="1155"/>
      <c r="EO5" s="1155"/>
      <c r="EP5" s="1155"/>
      <c r="EQ5" s="1155"/>
      <c r="ER5" s="1155"/>
      <c r="ES5" s="1155"/>
      <c r="ET5" s="1155"/>
      <c r="EU5" s="1155"/>
      <c r="EV5" s="1155"/>
      <c r="EW5" s="1155"/>
      <c r="EX5" s="1155"/>
      <c r="EY5" s="1155"/>
      <c r="EZ5" s="1155"/>
      <c r="FA5" s="1155"/>
      <c r="FB5" s="1155"/>
      <c r="FC5" s="1155"/>
      <c r="FD5" s="1155"/>
      <c r="FE5" s="1155"/>
      <c r="FF5" s="1155"/>
      <c r="FG5" s="1155"/>
      <c r="FH5" s="1155"/>
      <c r="FI5" s="1155"/>
      <c r="FJ5" s="1155"/>
      <c r="FK5" s="1155"/>
      <c r="FL5" s="1155"/>
      <c r="FM5" s="1155"/>
      <c r="FN5" s="1155"/>
      <c r="FO5" s="1155"/>
      <c r="FP5" s="1155"/>
      <c r="FQ5" s="1155"/>
      <c r="FR5" s="1155"/>
      <c r="FS5" s="1155"/>
      <c r="FT5" s="1155"/>
      <c r="FU5" s="1155"/>
      <c r="FV5" s="1155"/>
      <c r="FW5" s="1155"/>
      <c r="FX5" s="1155"/>
      <c r="FY5" s="1155"/>
      <c r="FZ5" s="1155"/>
      <c r="GA5" s="1155"/>
      <c r="GB5" s="1155"/>
      <c r="GC5" s="1155"/>
      <c r="GD5" s="1155"/>
      <c r="GE5" s="1155"/>
      <c r="GF5" s="1155"/>
      <c r="GG5" s="1155"/>
      <c r="GH5" s="1155"/>
      <c r="GI5" s="1155"/>
      <c r="GJ5" s="1155"/>
      <c r="GK5" s="1155"/>
      <c r="GL5" s="1155"/>
      <c r="GM5" s="1155"/>
      <c r="GN5" s="1155"/>
      <c r="GO5" s="1155"/>
      <c r="GP5" s="1155"/>
      <c r="GQ5" s="1155"/>
      <c r="GR5" s="1155"/>
      <c r="GS5" s="1155"/>
      <c r="GT5" s="1155"/>
      <c r="GU5" s="1155"/>
      <c r="GV5" s="1155"/>
      <c r="GW5" s="1155"/>
      <c r="GX5" s="1155"/>
      <c r="GY5" s="1155"/>
      <c r="GZ5" s="1155"/>
      <c r="HA5" s="1155"/>
      <c r="HB5" s="1155"/>
      <c r="HC5" s="1155"/>
      <c r="HD5" s="1155"/>
      <c r="HE5" s="1155"/>
      <c r="HF5" s="1155"/>
      <c r="HG5" s="1155"/>
      <c r="HH5" s="1155"/>
      <c r="HI5" s="1155"/>
      <c r="HJ5" s="1155"/>
      <c r="HK5" s="1155"/>
      <c r="HL5" s="1155"/>
      <c r="HM5" s="1155"/>
      <c r="HN5" s="1155"/>
      <c r="HO5" s="1155"/>
      <c r="HP5" s="1155"/>
      <c r="HQ5" s="1155"/>
      <c r="HR5" s="1155"/>
      <c r="HS5" s="1155"/>
      <c r="HT5" s="1155"/>
      <c r="HU5" s="1155"/>
      <c r="HV5" s="1155"/>
      <c r="HW5" s="1155"/>
      <c r="HX5" s="1155"/>
      <c r="HY5" s="1155"/>
      <c r="HZ5" s="1155"/>
      <c r="IA5" s="1155"/>
      <c r="IB5" s="1155"/>
      <c r="IC5" s="1155"/>
      <c r="ID5" s="1155"/>
      <c r="IE5" s="1155"/>
      <c r="IF5" s="1155"/>
      <c r="IG5" s="1155"/>
      <c r="IH5" s="1155"/>
      <c r="II5" s="1155"/>
      <c r="IJ5" s="1155"/>
      <c r="IK5" s="1155"/>
      <c r="IL5" s="1155"/>
      <c r="IM5" s="1155"/>
      <c r="IN5" s="1155"/>
      <c r="IO5" s="1155"/>
      <c r="IP5" s="1155"/>
      <c r="IQ5" s="1155"/>
    </row>
    <row r="6" spans="2:19" ht="22.5" customHeight="1">
      <c r="B6" s="1709" t="s">
        <v>18</v>
      </c>
      <c r="C6" s="1705" t="s">
        <v>19</v>
      </c>
      <c r="D6" s="1717" t="s">
        <v>6</v>
      </c>
      <c r="E6" s="1712" t="s">
        <v>660</v>
      </c>
      <c r="F6" s="1712" t="s">
        <v>1001</v>
      </c>
      <c r="G6" s="1720" t="s">
        <v>892</v>
      </c>
      <c r="H6" s="1694" t="s">
        <v>20</v>
      </c>
      <c r="I6" s="1723" t="s">
        <v>645</v>
      </c>
      <c r="J6" s="1712"/>
      <c r="K6" s="1712"/>
      <c r="L6" s="1712"/>
      <c r="M6" s="1712"/>
      <c r="N6" s="1712"/>
      <c r="O6" s="1712"/>
      <c r="P6" s="1724"/>
      <c r="Q6" s="1725" t="s">
        <v>656</v>
      </c>
      <c r="R6" s="1708"/>
      <c r="S6" s="1708"/>
    </row>
    <row r="7" spans="2:17" ht="33" customHeight="1">
      <c r="B7" s="1710"/>
      <c r="C7" s="1706"/>
      <c r="D7" s="1718"/>
      <c r="E7" s="1713"/>
      <c r="F7" s="1713"/>
      <c r="G7" s="1721"/>
      <c r="H7" s="1695"/>
      <c r="I7" s="1728" t="s">
        <v>662</v>
      </c>
      <c r="J7" s="1729"/>
      <c r="K7" s="1730"/>
      <c r="L7" s="1730"/>
      <c r="M7" s="1699" t="s">
        <v>163</v>
      </c>
      <c r="N7" s="1699"/>
      <c r="O7" s="1699"/>
      <c r="P7" s="1700" t="s">
        <v>129</v>
      </c>
      <c r="Q7" s="1726"/>
    </row>
    <row r="8" spans="2:17" ht="53.25" customHeight="1" thickBot="1">
      <c r="B8" s="1711"/>
      <c r="C8" s="1707"/>
      <c r="D8" s="1719"/>
      <c r="E8" s="1714"/>
      <c r="F8" s="1714"/>
      <c r="G8" s="1722"/>
      <c r="H8" s="1696"/>
      <c r="I8" s="1177" t="s">
        <v>40</v>
      </c>
      <c r="J8" s="861" t="s">
        <v>657</v>
      </c>
      <c r="K8" s="862" t="s">
        <v>42</v>
      </c>
      <c r="L8" s="862" t="s">
        <v>659</v>
      </c>
      <c r="M8" s="861" t="s">
        <v>231</v>
      </c>
      <c r="N8" s="861" t="s">
        <v>232</v>
      </c>
      <c r="O8" s="861" t="s">
        <v>164</v>
      </c>
      <c r="P8" s="1701"/>
      <c r="Q8" s="1727"/>
    </row>
    <row r="9" spans="1:256" s="865" customFormat="1" ht="22.5" customHeight="1">
      <c r="A9" s="880">
        <v>1</v>
      </c>
      <c r="B9" s="863">
        <v>18</v>
      </c>
      <c r="C9" s="875" t="s">
        <v>14</v>
      </c>
      <c r="D9" s="1165"/>
      <c r="E9" s="472"/>
      <c r="F9" s="470"/>
      <c r="G9" s="471"/>
      <c r="H9" s="1182"/>
      <c r="I9" s="1178"/>
      <c r="J9" s="883"/>
      <c r="K9" s="883"/>
      <c r="L9" s="883"/>
      <c r="M9" s="883"/>
      <c r="N9" s="883"/>
      <c r="O9" s="883"/>
      <c r="P9" s="864"/>
      <c r="Q9" s="867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256" s="865" customFormat="1" ht="24.75" customHeight="1">
      <c r="A10" s="880">
        <v>2</v>
      </c>
      <c r="B10" s="863"/>
      <c r="C10" s="875"/>
      <c r="D10" s="1228" t="s">
        <v>773</v>
      </c>
      <c r="E10" s="472"/>
      <c r="F10" s="470"/>
      <c r="G10" s="471"/>
      <c r="H10" s="1182" t="s">
        <v>24</v>
      </c>
      <c r="I10" s="866"/>
      <c r="J10" s="866"/>
      <c r="K10" s="866"/>
      <c r="L10" s="866"/>
      <c r="M10" s="866"/>
      <c r="N10" s="866"/>
      <c r="O10" s="866"/>
      <c r="P10" s="874"/>
      <c r="Q10" s="867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3"/>
      <c r="FE10" s="463"/>
      <c r="FF10" s="463"/>
      <c r="FG10" s="463"/>
      <c r="FH10" s="463"/>
      <c r="FI10" s="463"/>
      <c r="FJ10" s="463"/>
      <c r="FK10" s="463"/>
      <c r="FL10" s="463"/>
      <c r="FM10" s="463"/>
      <c r="FN10" s="463"/>
      <c r="FO10" s="463"/>
      <c r="FP10" s="463"/>
      <c r="FQ10" s="463"/>
      <c r="FR10" s="463"/>
      <c r="FS10" s="463"/>
      <c r="FT10" s="463"/>
      <c r="FU10" s="463"/>
      <c r="FV10" s="463"/>
      <c r="FW10" s="463"/>
      <c r="FX10" s="463"/>
      <c r="FY10" s="463"/>
      <c r="FZ10" s="463"/>
      <c r="GA10" s="463"/>
      <c r="GB10" s="463"/>
      <c r="GC10" s="463"/>
      <c r="GD10" s="463"/>
      <c r="GE10" s="463"/>
      <c r="GF10" s="463"/>
      <c r="GG10" s="463"/>
      <c r="GH10" s="463"/>
      <c r="GI10" s="463"/>
      <c r="GJ10" s="463"/>
      <c r="GK10" s="463"/>
      <c r="GL10" s="463"/>
      <c r="GM10" s="463"/>
      <c r="GN10" s="463"/>
      <c r="GO10" s="463"/>
      <c r="GP10" s="463"/>
      <c r="GQ10" s="463"/>
      <c r="GR10" s="463"/>
      <c r="GS10" s="463"/>
      <c r="GT10" s="463"/>
      <c r="GU10" s="463"/>
      <c r="GV10" s="463"/>
      <c r="GW10" s="463"/>
      <c r="GX10" s="463"/>
      <c r="GY10" s="463"/>
      <c r="GZ10" s="463"/>
      <c r="HA10" s="463"/>
      <c r="HB10" s="463"/>
      <c r="HC10" s="463"/>
      <c r="HD10" s="463"/>
      <c r="HE10" s="463"/>
      <c r="HF10" s="463"/>
      <c r="HG10" s="463"/>
      <c r="HH10" s="463"/>
      <c r="HI10" s="463"/>
      <c r="HJ10" s="463"/>
      <c r="HK10" s="463"/>
      <c r="HL10" s="463"/>
      <c r="HM10" s="463"/>
      <c r="HN10" s="463"/>
      <c r="HO10" s="463"/>
      <c r="HP10" s="463"/>
      <c r="HQ10" s="463"/>
      <c r="HR10" s="463"/>
      <c r="HS10" s="463"/>
      <c r="HT10" s="463"/>
      <c r="HU10" s="463"/>
      <c r="HV10" s="463"/>
      <c r="HW10" s="463"/>
      <c r="HX10" s="463"/>
      <c r="HY10" s="463"/>
      <c r="HZ10" s="463"/>
      <c r="IA10" s="463"/>
      <c r="IB10" s="463"/>
      <c r="IC10" s="463"/>
      <c r="ID10" s="463"/>
      <c r="IE10" s="463"/>
      <c r="IF10" s="463"/>
      <c r="IG10" s="463"/>
      <c r="IH10" s="463"/>
      <c r="II10" s="463"/>
      <c r="IJ10" s="463"/>
      <c r="IK10" s="463"/>
      <c r="IL10" s="463"/>
      <c r="IM10" s="463"/>
      <c r="IN10" s="463"/>
      <c r="IO10" s="463"/>
      <c r="IP10" s="463"/>
      <c r="IQ10" s="463"/>
      <c r="IR10" s="463"/>
      <c r="IS10" s="463"/>
      <c r="IT10" s="463"/>
      <c r="IU10" s="463"/>
      <c r="IV10" s="463"/>
    </row>
    <row r="11" spans="1:256" s="865" customFormat="1" ht="22.5" customHeight="1">
      <c r="A11" s="880">
        <v>3</v>
      </c>
      <c r="B11" s="873"/>
      <c r="C11" s="517">
        <v>1</v>
      </c>
      <c r="D11" s="1208" t="s">
        <v>771</v>
      </c>
      <c r="E11" s="475"/>
      <c r="F11" s="869"/>
      <c r="G11" s="476"/>
      <c r="H11" s="1183"/>
      <c r="I11" s="1179"/>
      <c r="J11" s="866"/>
      <c r="K11" s="866"/>
      <c r="L11" s="866"/>
      <c r="M11" s="866"/>
      <c r="N11" s="866"/>
      <c r="O11" s="866"/>
      <c r="P11" s="874"/>
      <c r="Q11" s="870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3"/>
      <c r="CZ11" s="463"/>
      <c r="DA11" s="463"/>
      <c r="DB11" s="463"/>
      <c r="DC11" s="463"/>
      <c r="DD11" s="463"/>
      <c r="DE11" s="463"/>
      <c r="DF11" s="463"/>
      <c r="DG11" s="463"/>
      <c r="DH11" s="463"/>
      <c r="DI11" s="463"/>
      <c r="DJ11" s="463"/>
      <c r="DK11" s="463"/>
      <c r="DL11" s="463"/>
      <c r="DM11" s="463"/>
      <c r="DN11" s="463"/>
      <c r="DO11" s="463"/>
      <c r="DP11" s="463"/>
      <c r="DQ11" s="463"/>
      <c r="DR11" s="463"/>
      <c r="DS11" s="463"/>
      <c r="DT11" s="463"/>
      <c r="DU11" s="463"/>
      <c r="DV11" s="463"/>
      <c r="DW11" s="463"/>
      <c r="DX11" s="463"/>
      <c r="DY11" s="463"/>
      <c r="DZ11" s="463"/>
      <c r="EA11" s="463"/>
      <c r="EB11" s="463"/>
      <c r="EC11" s="463"/>
      <c r="ED11" s="463"/>
      <c r="EE11" s="463"/>
      <c r="EF11" s="463"/>
      <c r="EG11" s="463"/>
      <c r="EH11" s="463"/>
      <c r="EI11" s="463"/>
      <c r="EJ11" s="463"/>
      <c r="EK11" s="463"/>
      <c r="EL11" s="463"/>
      <c r="EM11" s="463"/>
      <c r="EN11" s="463"/>
      <c r="EO11" s="463"/>
      <c r="EP11" s="463"/>
      <c r="EQ11" s="463"/>
      <c r="ER11" s="463"/>
      <c r="ES11" s="463"/>
      <c r="ET11" s="463"/>
      <c r="EU11" s="463"/>
      <c r="EV11" s="463"/>
      <c r="EW11" s="463"/>
      <c r="EX11" s="463"/>
      <c r="EY11" s="463"/>
      <c r="EZ11" s="463"/>
      <c r="FA11" s="463"/>
      <c r="FB11" s="463"/>
      <c r="FC11" s="463"/>
      <c r="FD11" s="463"/>
      <c r="FE11" s="463"/>
      <c r="FF11" s="463"/>
      <c r="FG11" s="463"/>
      <c r="FH11" s="463"/>
      <c r="FI11" s="463"/>
      <c r="FJ11" s="463"/>
      <c r="FK11" s="463"/>
      <c r="FL11" s="463"/>
      <c r="FM11" s="463"/>
      <c r="FN11" s="463"/>
      <c r="FO11" s="463"/>
      <c r="FP11" s="463"/>
      <c r="FQ11" s="463"/>
      <c r="FR11" s="463"/>
      <c r="FS11" s="463"/>
      <c r="FT11" s="463"/>
      <c r="FU11" s="463"/>
      <c r="FV11" s="463"/>
      <c r="FW11" s="463"/>
      <c r="FX11" s="463"/>
      <c r="FY11" s="463"/>
      <c r="FZ11" s="463"/>
      <c r="GA11" s="463"/>
      <c r="GB11" s="463"/>
      <c r="GC11" s="463"/>
      <c r="GD11" s="463"/>
      <c r="GE11" s="463"/>
      <c r="GF11" s="463"/>
      <c r="GG11" s="463"/>
      <c r="GH11" s="463"/>
      <c r="GI11" s="463"/>
      <c r="GJ11" s="463"/>
      <c r="GK11" s="463"/>
      <c r="GL11" s="463"/>
      <c r="GM11" s="463"/>
      <c r="GN11" s="463"/>
      <c r="GO11" s="463"/>
      <c r="GP11" s="463"/>
      <c r="GQ11" s="463"/>
      <c r="GR11" s="463"/>
      <c r="GS11" s="463"/>
      <c r="GT11" s="463"/>
      <c r="GU11" s="463"/>
      <c r="GV11" s="463"/>
      <c r="GW11" s="463"/>
      <c r="GX11" s="463"/>
      <c r="GY11" s="463"/>
      <c r="GZ11" s="463"/>
      <c r="HA11" s="463"/>
      <c r="HB11" s="463"/>
      <c r="HC11" s="463"/>
      <c r="HD11" s="463"/>
      <c r="HE11" s="463"/>
      <c r="HF11" s="463"/>
      <c r="HG11" s="463"/>
      <c r="HH11" s="463"/>
      <c r="HI11" s="463"/>
      <c r="HJ11" s="463"/>
      <c r="HK11" s="463"/>
      <c r="HL11" s="463"/>
      <c r="HM11" s="463"/>
      <c r="HN11" s="463"/>
      <c r="HO11" s="463"/>
      <c r="HP11" s="463"/>
      <c r="HQ11" s="463"/>
      <c r="HR11" s="463"/>
      <c r="HS11" s="463"/>
      <c r="HT11" s="463"/>
      <c r="HU11" s="463"/>
      <c r="HV11" s="463"/>
      <c r="HW11" s="463"/>
      <c r="HX11" s="463"/>
      <c r="HY11" s="463"/>
      <c r="HZ11" s="463"/>
      <c r="IA11" s="463"/>
      <c r="IB11" s="463"/>
      <c r="IC11" s="463"/>
      <c r="ID11" s="463"/>
      <c r="IE11" s="463"/>
      <c r="IF11" s="463"/>
      <c r="IG11" s="463"/>
      <c r="IH11" s="463"/>
      <c r="II11" s="463"/>
      <c r="IJ11" s="463"/>
      <c r="IK11" s="463"/>
      <c r="IL11" s="463"/>
      <c r="IM11" s="463"/>
      <c r="IN11" s="463"/>
      <c r="IO11" s="463"/>
      <c r="IP11" s="463"/>
      <c r="IQ11" s="463"/>
      <c r="IR11" s="463"/>
      <c r="IS11" s="463"/>
      <c r="IT11" s="463"/>
      <c r="IU11" s="463"/>
      <c r="IV11" s="463"/>
    </row>
    <row r="12" spans="1:17" s="1175" customFormat="1" ht="18" customHeight="1">
      <c r="A12" s="880">
        <v>4</v>
      </c>
      <c r="B12" s="1167"/>
      <c r="C12" s="517"/>
      <c r="D12" s="1169" t="s">
        <v>312</v>
      </c>
      <c r="E12" s="475">
        <f>F12+G12+P12+2261</f>
        <v>391256</v>
      </c>
      <c r="F12" s="1210"/>
      <c r="G12" s="476">
        <f>50667+10996+4445+8177+635-1891</f>
        <v>73029</v>
      </c>
      <c r="H12" s="1184"/>
      <c r="I12" s="1201">
        <v>1000</v>
      </c>
      <c r="J12" s="1197">
        <v>500</v>
      </c>
      <c r="K12" s="1197">
        <f>320196-4230-1500</f>
        <v>314466</v>
      </c>
      <c r="L12" s="1173"/>
      <c r="M12" s="1197"/>
      <c r="N12" s="1197"/>
      <c r="O12" s="1173"/>
      <c r="P12" s="1166">
        <f>SUM(I12:O12)</f>
        <v>315966</v>
      </c>
      <c r="Q12" s="1174"/>
    </row>
    <row r="13" spans="1:17" s="1175" customFormat="1" ht="22.5" customHeight="1">
      <c r="A13" s="880">
        <v>5</v>
      </c>
      <c r="B13" s="1167"/>
      <c r="C13" s="517"/>
      <c r="D13" s="1208" t="s">
        <v>772</v>
      </c>
      <c r="E13" s="475"/>
      <c r="F13" s="1210"/>
      <c r="G13" s="476"/>
      <c r="H13" s="1184"/>
      <c r="I13" s="1180"/>
      <c r="J13" s="1173"/>
      <c r="K13" s="1197"/>
      <c r="L13" s="1173"/>
      <c r="M13" s="1197"/>
      <c r="N13" s="1197"/>
      <c r="O13" s="1173"/>
      <c r="P13" s="1166"/>
      <c r="Q13" s="1174"/>
    </row>
    <row r="14" spans="1:17" s="1175" customFormat="1" ht="22.5" customHeight="1">
      <c r="A14" s="880">
        <v>6</v>
      </c>
      <c r="B14" s="1167"/>
      <c r="C14" s="517">
        <v>2</v>
      </c>
      <c r="D14" s="868" t="s">
        <v>871</v>
      </c>
      <c r="E14" s="475"/>
      <c r="F14" s="1210"/>
      <c r="G14" s="476"/>
      <c r="H14" s="1184"/>
      <c r="I14" s="1180"/>
      <c r="J14" s="1173"/>
      <c r="K14" s="1197"/>
      <c r="L14" s="1173"/>
      <c r="M14" s="1197"/>
      <c r="N14" s="1197"/>
      <c r="O14" s="1173"/>
      <c r="P14" s="1166"/>
      <c r="Q14" s="1174"/>
    </row>
    <row r="15" spans="1:17" s="1175" customFormat="1" ht="18" customHeight="1">
      <c r="A15" s="880">
        <v>7</v>
      </c>
      <c r="B15" s="1167"/>
      <c r="C15" s="517"/>
      <c r="D15" s="1169" t="s">
        <v>312</v>
      </c>
      <c r="E15" s="475">
        <f>F15+G15+P15</f>
        <v>68500</v>
      </c>
      <c r="F15" s="1210"/>
      <c r="G15" s="476"/>
      <c r="H15" s="1184"/>
      <c r="I15" s="1180"/>
      <c r="J15" s="1173"/>
      <c r="K15" s="1197"/>
      <c r="L15" s="1173"/>
      <c r="M15" s="1197"/>
      <c r="N15" s="1197">
        <v>68500</v>
      </c>
      <c r="O15" s="1173"/>
      <c r="P15" s="1166">
        <f>SUM(I15:O15)</f>
        <v>68500</v>
      </c>
      <c r="Q15" s="1174"/>
    </row>
    <row r="16" spans="1:17" s="1175" customFormat="1" ht="22.5" customHeight="1">
      <c r="A16" s="880">
        <v>8</v>
      </c>
      <c r="B16" s="1167"/>
      <c r="C16" s="517">
        <v>3</v>
      </c>
      <c r="D16" s="868" t="s">
        <v>769</v>
      </c>
      <c r="E16" s="475"/>
      <c r="F16" s="1210"/>
      <c r="G16" s="476"/>
      <c r="H16" s="1184"/>
      <c r="I16" s="1180"/>
      <c r="J16" s="1173"/>
      <c r="K16" s="1197"/>
      <c r="L16" s="1173"/>
      <c r="M16" s="1197"/>
      <c r="N16" s="1197"/>
      <c r="O16" s="1173"/>
      <c r="P16" s="1166"/>
      <c r="Q16" s="1174"/>
    </row>
    <row r="17" spans="1:17" s="1175" customFormat="1" ht="18" customHeight="1">
      <c r="A17" s="880">
        <v>9</v>
      </c>
      <c r="B17" s="1167"/>
      <c r="C17" s="517"/>
      <c r="D17" s="1169" t="s">
        <v>312</v>
      </c>
      <c r="E17" s="475">
        <f>F17+G17+P17</f>
        <v>38500</v>
      </c>
      <c r="F17" s="1210"/>
      <c r="G17" s="476"/>
      <c r="H17" s="1184"/>
      <c r="I17" s="1180"/>
      <c r="J17" s="1173"/>
      <c r="K17" s="1197"/>
      <c r="L17" s="1173"/>
      <c r="M17" s="1197">
        <v>38500</v>
      </c>
      <c r="N17" s="1197"/>
      <c r="O17" s="1173"/>
      <c r="P17" s="1166">
        <f>SUM(I17:O17)</f>
        <v>38500</v>
      </c>
      <c r="Q17" s="1174"/>
    </row>
    <row r="18" spans="1:256" s="865" customFormat="1" ht="22.5" customHeight="1">
      <c r="A18" s="880">
        <v>10</v>
      </c>
      <c r="B18" s="873"/>
      <c r="C18" s="517">
        <v>4</v>
      </c>
      <c r="D18" s="868" t="s">
        <v>728</v>
      </c>
      <c r="E18" s="475"/>
      <c r="F18" s="869"/>
      <c r="G18" s="476"/>
      <c r="H18" s="1183"/>
      <c r="I18" s="1179"/>
      <c r="J18" s="866"/>
      <c r="K18" s="866"/>
      <c r="L18" s="866"/>
      <c r="M18" s="866"/>
      <c r="N18" s="866"/>
      <c r="O18" s="866"/>
      <c r="P18" s="874"/>
      <c r="Q18" s="870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  <c r="FL18" s="463"/>
      <c r="FM18" s="463"/>
      <c r="FN18" s="463"/>
      <c r="FO18" s="463"/>
      <c r="FP18" s="463"/>
      <c r="FQ18" s="463"/>
      <c r="FR18" s="463"/>
      <c r="FS18" s="463"/>
      <c r="FT18" s="463"/>
      <c r="FU18" s="463"/>
      <c r="FV18" s="463"/>
      <c r="FW18" s="463"/>
      <c r="FX18" s="463"/>
      <c r="FY18" s="463"/>
      <c r="FZ18" s="463"/>
      <c r="GA18" s="463"/>
      <c r="GB18" s="463"/>
      <c r="GC18" s="463"/>
      <c r="GD18" s="463"/>
      <c r="GE18" s="463"/>
      <c r="GF18" s="463"/>
      <c r="GG18" s="463"/>
      <c r="GH18" s="463"/>
      <c r="GI18" s="463"/>
      <c r="GJ18" s="463"/>
      <c r="GK18" s="463"/>
      <c r="GL18" s="463"/>
      <c r="GM18" s="463"/>
      <c r="GN18" s="463"/>
      <c r="GO18" s="463"/>
      <c r="GP18" s="463"/>
      <c r="GQ18" s="463"/>
      <c r="GR18" s="463"/>
      <c r="GS18" s="463"/>
      <c r="GT18" s="463"/>
      <c r="GU18" s="463"/>
      <c r="GV18" s="463"/>
      <c r="GW18" s="463"/>
      <c r="GX18" s="463"/>
      <c r="GY18" s="463"/>
      <c r="GZ18" s="463"/>
      <c r="HA18" s="463"/>
      <c r="HB18" s="463"/>
      <c r="HC18" s="463"/>
      <c r="HD18" s="463"/>
      <c r="HE18" s="463"/>
      <c r="HF18" s="463"/>
      <c r="HG18" s="463"/>
      <c r="HH18" s="463"/>
      <c r="HI18" s="463"/>
      <c r="HJ18" s="463"/>
      <c r="HK18" s="463"/>
      <c r="HL18" s="463"/>
      <c r="HM18" s="463"/>
      <c r="HN18" s="463"/>
      <c r="HO18" s="463"/>
      <c r="HP18" s="463"/>
      <c r="HQ18" s="463"/>
      <c r="HR18" s="463"/>
      <c r="HS18" s="463"/>
      <c r="HT18" s="463"/>
      <c r="HU18" s="463"/>
      <c r="HV18" s="463"/>
      <c r="HW18" s="463"/>
      <c r="HX18" s="463"/>
      <c r="HY18" s="463"/>
      <c r="HZ18" s="463"/>
      <c r="IA18" s="463"/>
      <c r="IB18" s="463"/>
      <c r="IC18" s="463"/>
      <c r="ID18" s="463"/>
      <c r="IE18" s="463"/>
      <c r="IF18" s="463"/>
      <c r="IG18" s="463"/>
      <c r="IH18" s="463"/>
      <c r="II18" s="463"/>
      <c r="IJ18" s="463"/>
      <c r="IK18" s="463"/>
      <c r="IL18" s="463"/>
      <c r="IM18" s="463"/>
      <c r="IN18" s="463"/>
      <c r="IO18" s="463"/>
      <c r="IP18" s="463"/>
      <c r="IQ18" s="463"/>
      <c r="IR18" s="463"/>
      <c r="IS18" s="463"/>
      <c r="IT18" s="463"/>
      <c r="IU18" s="463"/>
      <c r="IV18" s="463"/>
    </row>
    <row r="19" spans="1:17" s="1175" customFormat="1" ht="18" customHeight="1" thickBot="1">
      <c r="A19" s="880">
        <v>11</v>
      </c>
      <c r="B19" s="1167"/>
      <c r="C19" s="1269"/>
      <c r="D19" s="1270" t="s">
        <v>312</v>
      </c>
      <c r="E19" s="1281">
        <f>F19+G19+P19</f>
        <v>6121</v>
      </c>
      <c r="F19" s="1271"/>
      <c r="G19" s="1283">
        <v>1891</v>
      </c>
      <c r="H19" s="1272"/>
      <c r="I19" s="1273"/>
      <c r="J19" s="1274"/>
      <c r="K19" s="1275">
        <v>4230</v>
      </c>
      <c r="L19" s="1274"/>
      <c r="M19" s="1274"/>
      <c r="N19" s="1274"/>
      <c r="O19" s="1274"/>
      <c r="P19" s="1276">
        <f>SUM(I19:O19)</f>
        <v>4230</v>
      </c>
      <c r="Q19" s="1266"/>
    </row>
    <row r="20" spans="1:17" s="1175" customFormat="1" ht="21.75" customHeight="1" thickBot="1" thickTop="1">
      <c r="A20" s="880">
        <v>12</v>
      </c>
      <c r="B20" s="1167"/>
      <c r="C20" s="1277"/>
      <c r="D20" s="1278" t="s">
        <v>875</v>
      </c>
      <c r="E20" s="1297">
        <f>E19+E17+E15+E12</f>
        <v>504377</v>
      </c>
      <c r="F20" s="1297">
        <f>F19+F17+F15+F12+F11</f>
        <v>0</v>
      </c>
      <c r="G20" s="1297">
        <f>G19+G17+G15+G12</f>
        <v>74920</v>
      </c>
      <c r="H20" s="1292"/>
      <c r="I20" s="1293">
        <f>I19+I17+I15+I12</f>
        <v>1000</v>
      </c>
      <c r="J20" s="1293">
        <f aca="true" t="shared" si="0" ref="J20:P20">J19+J17+J15+J12</f>
        <v>500</v>
      </c>
      <c r="K20" s="1293">
        <f t="shared" si="0"/>
        <v>318696</v>
      </c>
      <c r="L20" s="1293">
        <f t="shared" si="0"/>
        <v>0</v>
      </c>
      <c r="M20" s="1293">
        <f t="shared" si="0"/>
        <v>38500</v>
      </c>
      <c r="N20" s="1293">
        <f t="shared" si="0"/>
        <v>68500</v>
      </c>
      <c r="O20" s="1293">
        <f t="shared" si="0"/>
        <v>0</v>
      </c>
      <c r="P20" s="1293">
        <f t="shared" si="0"/>
        <v>427196</v>
      </c>
      <c r="Q20" s="1279"/>
    </row>
    <row r="21" spans="1:17" s="1175" customFormat="1" ht="24.75" customHeight="1" thickTop="1">
      <c r="A21" s="880">
        <v>13</v>
      </c>
      <c r="B21" s="1167"/>
      <c r="C21" s="1257"/>
      <c r="D21" s="1265" t="s">
        <v>770</v>
      </c>
      <c r="E21" s="1258"/>
      <c r="F21" s="1259"/>
      <c r="G21" s="1260"/>
      <c r="H21" s="1182" t="s">
        <v>24</v>
      </c>
      <c r="I21" s="1261"/>
      <c r="J21" s="1262"/>
      <c r="K21" s="1263"/>
      <c r="L21" s="1262"/>
      <c r="M21" s="1262"/>
      <c r="N21" s="1262"/>
      <c r="O21" s="1262"/>
      <c r="P21" s="1264"/>
      <c r="Q21" s="1267"/>
    </row>
    <row r="22" spans="1:256" s="865" customFormat="1" ht="22.5" customHeight="1">
      <c r="A22" s="880">
        <v>14</v>
      </c>
      <c r="B22" s="873"/>
      <c r="C22" s="517">
        <v>5</v>
      </c>
      <c r="D22" s="1208" t="s">
        <v>771</v>
      </c>
      <c r="E22" s="475"/>
      <c r="F22" s="869"/>
      <c r="G22" s="476"/>
      <c r="H22" s="1183"/>
      <c r="I22" s="1179"/>
      <c r="J22" s="866"/>
      <c r="K22" s="866"/>
      <c r="L22" s="866"/>
      <c r="M22" s="866"/>
      <c r="N22" s="866"/>
      <c r="O22" s="866"/>
      <c r="P22" s="874"/>
      <c r="Q22" s="870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  <c r="CW22" s="463"/>
      <c r="CX22" s="463"/>
      <c r="CY22" s="463"/>
      <c r="CZ22" s="463"/>
      <c r="DA22" s="463"/>
      <c r="DB22" s="463"/>
      <c r="DC22" s="463"/>
      <c r="DD22" s="463"/>
      <c r="DE22" s="463"/>
      <c r="DF22" s="463"/>
      <c r="DG22" s="463"/>
      <c r="DH22" s="463"/>
      <c r="DI22" s="463"/>
      <c r="DJ22" s="463"/>
      <c r="DK22" s="463"/>
      <c r="DL22" s="463"/>
      <c r="DM22" s="463"/>
      <c r="DN22" s="463"/>
      <c r="DO22" s="463"/>
      <c r="DP22" s="463"/>
      <c r="DQ22" s="463"/>
      <c r="DR22" s="463"/>
      <c r="DS22" s="463"/>
      <c r="DT22" s="463"/>
      <c r="DU22" s="463"/>
      <c r="DV22" s="463"/>
      <c r="DW22" s="463"/>
      <c r="DX22" s="463"/>
      <c r="DY22" s="463"/>
      <c r="DZ22" s="463"/>
      <c r="EA22" s="463"/>
      <c r="EB22" s="463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3"/>
      <c r="EN22" s="463"/>
      <c r="EO22" s="463"/>
      <c r="EP22" s="463"/>
      <c r="EQ22" s="463"/>
      <c r="ER22" s="463"/>
      <c r="ES22" s="463"/>
      <c r="ET22" s="463"/>
      <c r="EU22" s="463"/>
      <c r="EV22" s="463"/>
      <c r="EW22" s="463"/>
      <c r="EX22" s="463"/>
      <c r="EY22" s="463"/>
      <c r="EZ22" s="463"/>
      <c r="FA22" s="463"/>
      <c r="FB22" s="463"/>
      <c r="FC22" s="463"/>
      <c r="FD22" s="463"/>
      <c r="FE22" s="463"/>
      <c r="FF22" s="463"/>
      <c r="FG22" s="463"/>
      <c r="FH22" s="463"/>
      <c r="FI22" s="463"/>
      <c r="FJ22" s="463"/>
      <c r="FK22" s="463"/>
      <c r="FL22" s="463"/>
      <c r="FM22" s="463"/>
      <c r="FN22" s="463"/>
      <c r="FO22" s="463"/>
      <c r="FP22" s="463"/>
      <c r="FQ22" s="463"/>
      <c r="FR22" s="463"/>
      <c r="FS22" s="463"/>
      <c r="FT22" s="463"/>
      <c r="FU22" s="463"/>
      <c r="FV22" s="463"/>
      <c r="FW22" s="463"/>
      <c r="FX22" s="463"/>
      <c r="FY22" s="463"/>
      <c r="FZ22" s="463"/>
      <c r="GA22" s="463"/>
      <c r="GB22" s="463"/>
      <c r="GC22" s="463"/>
      <c r="GD22" s="463"/>
      <c r="GE22" s="463"/>
      <c r="GF22" s="463"/>
      <c r="GG22" s="463"/>
      <c r="GH22" s="463"/>
      <c r="GI22" s="463"/>
      <c r="GJ22" s="463"/>
      <c r="GK22" s="463"/>
      <c r="GL22" s="463"/>
      <c r="GM22" s="463"/>
      <c r="GN22" s="463"/>
      <c r="GO22" s="463"/>
      <c r="GP22" s="463"/>
      <c r="GQ22" s="463"/>
      <c r="GR22" s="463"/>
      <c r="GS22" s="463"/>
      <c r="GT22" s="463"/>
      <c r="GU22" s="463"/>
      <c r="GV22" s="463"/>
      <c r="GW22" s="463"/>
      <c r="GX22" s="463"/>
      <c r="GY22" s="463"/>
      <c r="GZ22" s="463"/>
      <c r="HA22" s="463"/>
      <c r="HB22" s="463"/>
      <c r="HC22" s="463"/>
      <c r="HD22" s="463"/>
      <c r="HE22" s="463"/>
      <c r="HF22" s="463"/>
      <c r="HG22" s="463"/>
      <c r="HH22" s="463"/>
      <c r="HI22" s="463"/>
      <c r="HJ22" s="463"/>
      <c r="HK22" s="463"/>
      <c r="HL22" s="463"/>
      <c r="HM22" s="463"/>
      <c r="HN22" s="463"/>
      <c r="HO22" s="463"/>
      <c r="HP22" s="463"/>
      <c r="HQ22" s="463"/>
      <c r="HR22" s="463"/>
      <c r="HS22" s="463"/>
      <c r="HT22" s="463"/>
      <c r="HU22" s="463"/>
      <c r="HV22" s="463"/>
      <c r="HW22" s="463"/>
      <c r="HX22" s="463"/>
      <c r="HY22" s="463"/>
      <c r="HZ22" s="463"/>
      <c r="IA22" s="463"/>
      <c r="IB22" s="463"/>
      <c r="IC22" s="463"/>
      <c r="ID22" s="463"/>
      <c r="IE22" s="463"/>
      <c r="IF22" s="463"/>
      <c r="IG22" s="463"/>
      <c r="IH22" s="463"/>
      <c r="II22" s="463"/>
      <c r="IJ22" s="463"/>
      <c r="IK22" s="463"/>
      <c r="IL22" s="463"/>
      <c r="IM22" s="463"/>
      <c r="IN22" s="463"/>
      <c r="IO22" s="463"/>
      <c r="IP22" s="463"/>
      <c r="IQ22" s="463"/>
      <c r="IR22" s="463"/>
      <c r="IS22" s="463"/>
      <c r="IT22" s="463"/>
      <c r="IU22" s="463"/>
      <c r="IV22" s="463"/>
    </row>
    <row r="23" spans="1:17" s="1175" customFormat="1" ht="18" customHeight="1">
      <c r="A23" s="880">
        <v>15</v>
      </c>
      <c r="B23" s="1167"/>
      <c r="C23" s="517"/>
      <c r="D23" s="1169" t="s">
        <v>312</v>
      </c>
      <c r="E23" s="1170"/>
      <c r="F23" s="1171"/>
      <c r="G23" s="1172"/>
      <c r="H23" s="1184"/>
      <c r="I23" s="1180"/>
      <c r="J23" s="1173"/>
      <c r="K23" s="1197">
        <f>197850-25400</f>
        <v>172450</v>
      </c>
      <c r="L23" s="1197">
        <v>165075</v>
      </c>
      <c r="M23" s="1173"/>
      <c r="N23" s="1173"/>
      <c r="O23" s="1173"/>
      <c r="P23" s="1166">
        <f>SUM(I23:O23)</f>
        <v>337525</v>
      </c>
      <c r="Q23" s="1174"/>
    </row>
    <row r="24" spans="1:17" s="1175" customFormat="1" ht="22.5" customHeight="1">
      <c r="A24" s="880">
        <v>16</v>
      </c>
      <c r="B24" s="1167"/>
      <c r="C24" s="517">
        <v>6</v>
      </c>
      <c r="D24" s="868" t="s">
        <v>804</v>
      </c>
      <c r="E24" s="1170"/>
      <c r="F24" s="1171"/>
      <c r="G24" s="1172"/>
      <c r="H24" s="1184"/>
      <c r="I24" s="1180"/>
      <c r="J24" s="1173"/>
      <c r="K24" s="1197"/>
      <c r="L24" s="1197"/>
      <c r="M24" s="1173"/>
      <c r="N24" s="1173"/>
      <c r="O24" s="1173"/>
      <c r="P24" s="1166"/>
      <c r="Q24" s="1174"/>
    </row>
    <row r="25" spans="1:17" s="1175" customFormat="1" ht="18" customHeight="1">
      <c r="A25" s="880">
        <v>17</v>
      </c>
      <c r="B25" s="1167"/>
      <c r="C25" s="517"/>
      <c r="D25" s="1169" t="s">
        <v>312</v>
      </c>
      <c r="E25" s="1170"/>
      <c r="F25" s="1171"/>
      <c r="G25" s="1172"/>
      <c r="H25" s="1184"/>
      <c r="I25" s="1180"/>
      <c r="J25" s="1173"/>
      <c r="K25" s="1197">
        <v>25400</v>
      </c>
      <c r="L25" s="1197"/>
      <c r="M25" s="1173"/>
      <c r="N25" s="1173"/>
      <c r="O25" s="1173"/>
      <c r="P25" s="1166">
        <f>SUM(I25:O25)</f>
        <v>25400</v>
      </c>
      <c r="Q25" s="1174"/>
    </row>
    <row r="26" spans="1:256" s="865" customFormat="1" ht="22.5" customHeight="1">
      <c r="A26" s="880">
        <v>18</v>
      </c>
      <c r="B26" s="873"/>
      <c r="C26" s="465"/>
      <c r="D26" s="1208" t="s">
        <v>989</v>
      </c>
      <c r="E26" s="475"/>
      <c r="F26" s="869"/>
      <c r="G26" s="476"/>
      <c r="H26" s="1183"/>
      <c r="I26" s="1179"/>
      <c r="J26" s="866"/>
      <c r="K26" s="866"/>
      <c r="L26" s="866"/>
      <c r="M26" s="866"/>
      <c r="N26" s="866"/>
      <c r="O26" s="866"/>
      <c r="P26" s="874"/>
      <c r="Q26" s="870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  <c r="CW26" s="463"/>
      <c r="CX26" s="463"/>
      <c r="CY26" s="463"/>
      <c r="CZ26" s="463"/>
      <c r="DA26" s="463"/>
      <c r="DB26" s="463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3"/>
      <c r="FL26" s="463"/>
      <c r="FM26" s="463"/>
      <c r="FN26" s="463"/>
      <c r="FO26" s="463"/>
      <c r="FP26" s="463"/>
      <c r="FQ26" s="463"/>
      <c r="FR26" s="463"/>
      <c r="FS26" s="463"/>
      <c r="FT26" s="463"/>
      <c r="FU26" s="463"/>
      <c r="FV26" s="463"/>
      <c r="FW26" s="463"/>
      <c r="FX26" s="463"/>
      <c r="FY26" s="463"/>
      <c r="FZ26" s="463"/>
      <c r="GA26" s="463"/>
      <c r="GB26" s="463"/>
      <c r="GC26" s="463"/>
      <c r="GD26" s="463"/>
      <c r="GE26" s="463"/>
      <c r="GF26" s="463"/>
      <c r="GG26" s="463"/>
      <c r="GH26" s="463"/>
      <c r="GI26" s="463"/>
      <c r="GJ26" s="463"/>
      <c r="GK26" s="463"/>
      <c r="GL26" s="463"/>
      <c r="GM26" s="463"/>
      <c r="GN26" s="463"/>
      <c r="GO26" s="463"/>
      <c r="GP26" s="463"/>
      <c r="GQ26" s="463"/>
      <c r="GR26" s="463"/>
      <c r="GS26" s="463"/>
      <c r="GT26" s="463"/>
      <c r="GU26" s="463"/>
      <c r="GV26" s="463"/>
      <c r="GW26" s="463"/>
      <c r="GX26" s="463"/>
      <c r="GY26" s="463"/>
      <c r="GZ26" s="463"/>
      <c r="HA26" s="463"/>
      <c r="HB26" s="463"/>
      <c r="HC26" s="463"/>
      <c r="HD26" s="463"/>
      <c r="HE26" s="463"/>
      <c r="HF26" s="463"/>
      <c r="HG26" s="463"/>
      <c r="HH26" s="463"/>
      <c r="HI26" s="463"/>
      <c r="HJ26" s="463"/>
      <c r="HK26" s="463"/>
      <c r="HL26" s="463"/>
      <c r="HM26" s="463"/>
      <c r="HN26" s="463"/>
      <c r="HO26" s="463"/>
      <c r="HP26" s="463"/>
      <c r="HQ26" s="463"/>
      <c r="HR26" s="463"/>
      <c r="HS26" s="463"/>
      <c r="HT26" s="463"/>
      <c r="HU26" s="463"/>
      <c r="HV26" s="463"/>
      <c r="HW26" s="463"/>
      <c r="HX26" s="463"/>
      <c r="HY26" s="463"/>
      <c r="HZ26" s="463"/>
      <c r="IA26" s="463"/>
      <c r="IB26" s="463"/>
      <c r="IC26" s="463"/>
      <c r="ID26" s="463"/>
      <c r="IE26" s="463"/>
      <c r="IF26" s="463"/>
      <c r="IG26" s="463"/>
      <c r="IH26" s="463"/>
      <c r="II26" s="463"/>
      <c r="IJ26" s="463"/>
      <c r="IK26" s="463"/>
      <c r="IL26" s="463"/>
      <c r="IM26" s="463"/>
      <c r="IN26" s="463"/>
      <c r="IO26" s="463"/>
      <c r="IP26" s="463"/>
      <c r="IQ26" s="463"/>
      <c r="IR26" s="463"/>
      <c r="IS26" s="463"/>
      <c r="IT26" s="463"/>
      <c r="IU26" s="463"/>
      <c r="IV26" s="463"/>
    </row>
    <row r="27" spans="1:256" s="865" customFormat="1" ht="22.5" customHeight="1">
      <c r="A27" s="880">
        <v>19</v>
      </c>
      <c r="B27" s="873"/>
      <c r="C27" s="517">
        <v>7</v>
      </c>
      <c r="D27" s="868" t="s">
        <v>804</v>
      </c>
      <c r="E27" s="475"/>
      <c r="F27" s="869"/>
      <c r="G27" s="476"/>
      <c r="H27" s="1183"/>
      <c r="I27" s="1179"/>
      <c r="J27" s="866"/>
      <c r="K27" s="866"/>
      <c r="L27" s="866"/>
      <c r="M27" s="866"/>
      <c r="N27" s="866"/>
      <c r="O27" s="866"/>
      <c r="P27" s="874"/>
      <c r="Q27" s="870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  <c r="CW27" s="463"/>
      <c r="CX27" s="463"/>
      <c r="CY27" s="463"/>
      <c r="CZ27" s="463"/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3"/>
      <c r="FL27" s="463"/>
      <c r="FM27" s="463"/>
      <c r="FN27" s="463"/>
      <c r="FO27" s="463"/>
      <c r="FP27" s="463"/>
      <c r="FQ27" s="463"/>
      <c r="FR27" s="463"/>
      <c r="FS27" s="463"/>
      <c r="FT27" s="463"/>
      <c r="FU27" s="463"/>
      <c r="FV27" s="463"/>
      <c r="FW27" s="463"/>
      <c r="FX27" s="463"/>
      <c r="FY27" s="463"/>
      <c r="FZ27" s="463"/>
      <c r="GA27" s="463"/>
      <c r="GB27" s="463"/>
      <c r="GC27" s="463"/>
      <c r="GD27" s="463"/>
      <c r="GE27" s="463"/>
      <c r="GF27" s="463"/>
      <c r="GG27" s="463"/>
      <c r="GH27" s="463"/>
      <c r="GI27" s="463"/>
      <c r="GJ27" s="463"/>
      <c r="GK27" s="463"/>
      <c r="GL27" s="463"/>
      <c r="GM27" s="463"/>
      <c r="GN27" s="463"/>
      <c r="GO27" s="463"/>
      <c r="GP27" s="463"/>
      <c r="GQ27" s="463"/>
      <c r="GR27" s="463"/>
      <c r="GS27" s="463"/>
      <c r="GT27" s="463"/>
      <c r="GU27" s="463"/>
      <c r="GV27" s="463"/>
      <c r="GW27" s="463"/>
      <c r="GX27" s="463"/>
      <c r="GY27" s="463"/>
      <c r="GZ27" s="463"/>
      <c r="HA27" s="463"/>
      <c r="HB27" s="463"/>
      <c r="HC27" s="463"/>
      <c r="HD27" s="463"/>
      <c r="HE27" s="463"/>
      <c r="HF27" s="463"/>
      <c r="HG27" s="463"/>
      <c r="HH27" s="463"/>
      <c r="HI27" s="463"/>
      <c r="HJ27" s="463"/>
      <c r="HK27" s="463"/>
      <c r="HL27" s="463"/>
      <c r="HM27" s="463"/>
      <c r="HN27" s="463"/>
      <c r="HO27" s="463"/>
      <c r="HP27" s="463"/>
      <c r="HQ27" s="463"/>
      <c r="HR27" s="463"/>
      <c r="HS27" s="463"/>
      <c r="HT27" s="463"/>
      <c r="HU27" s="463"/>
      <c r="HV27" s="463"/>
      <c r="HW27" s="463"/>
      <c r="HX27" s="463"/>
      <c r="HY27" s="463"/>
      <c r="HZ27" s="463"/>
      <c r="IA27" s="463"/>
      <c r="IB27" s="463"/>
      <c r="IC27" s="463"/>
      <c r="ID27" s="463"/>
      <c r="IE27" s="463"/>
      <c r="IF27" s="463"/>
      <c r="IG27" s="463"/>
      <c r="IH27" s="463"/>
      <c r="II27" s="463"/>
      <c r="IJ27" s="463"/>
      <c r="IK27" s="463"/>
      <c r="IL27" s="463"/>
      <c r="IM27" s="463"/>
      <c r="IN27" s="463"/>
      <c r="IO27" s="463"/>
      <c r="IP27" s="463"/>
      <c r="IQ27" s="463"/>
      <c r="IR27" s="463"/>
      <c r="IS27" s="463"/>
      <c r="IT27" s="463"/>
      <c r="IU27" s="463"/>
      <c r="IV27" s="463"/>
    </row>
    <row r="28" spans="1:256" s="865" customFormat="1" ht="19.5" customHeight="1">
      <c r="A28" s="880">
        <v>20</v>
      </c>
      <c r="B28" s="873"/>
      <c r="C28" s="465"/>
      <c r="D28" s="1169" t="s">
        <v>312</v>
      </c>
      <c r="E28" s="475"/>
      <c r="F28" s="869"/>
      <c r="G28" s="476"/>
      <c r="H28" s="1183"/>
      <c r="I28" s="1179"/>
      <c r="J28" s="866"/>
      <c r="K28" s="866"/>
      <c r="L28" s="866"/>
      <c r="M28" s="1197">
        <v>408940</v>
      </c>
      <c r="N28" s="866"/>
      <c r="O28" s="866"/>
      <c r="P28" s="1166">
        <f>SUM(I28:O28)</f>
        <v>408940</v>
      </c>
      <c r="Q28" s="870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3"/>
      <c r="FL28" s="463"/>
      <c r="FM28" s="463"/>
      <c r="FN28" s="463"/>
      <c r="FO28" s="463"/>
      <c r="FP28" s="463"/>
      <c r="FQ28" s="463"/>
      <c r="FR28" s="463"/>
      <c r="FS28" s="463"/>
      <c r="FT28" s="463"/>
      <c r="FU28" s="463"/>
      <c r="FV28" s="463"/>
      <c r="FW28" s="463"/>
      <c r="FX28" s="463"/>
      <c r="FY28" s="463"/>
      <c r="FZ28" s="463"/>
      <c r="GA28" s="463"/>
      <c r="GB28" s="463"/>
      <c r="GC28" s="463"/>
      <c r="GD28" s="463"/>
      <c r="GE28" s="463"/>
      <c r="GF28" s="463"/>
      <c r="GG28" s="463"/>
      <c r="GH28" s="463"/>
      <c r="GI28" s="463"/>
      <c r="GJ28" s="463"/>
      <c r="GK28" s="463"/>
      <c r="GL28" s="463"/>
      <c r="GM28" s="463"/>
      <c r="GN28" s="463"/>
      <c r="GO28" s="463"/>
      <c r="GP28" s="463"/>
      <c r="GQ28" s="463"/>
      <c r="GR28" s="463"/>
      <c r="GS28" s="463"/>
      <c r="GT28" s="463"/>
      <c r="GU28" s="463"/>
      <c r="GV28" s="463"/>
      <c r="GW28" s="463"/>
      <c r="GX28" s="463"/>
      <c r="GY28" s="463"/>
      <c r="GZ28" s="463"/>
      <c r="HA28" s="463"/>
      <c r="HB28" s="463"/>
      <c r="HC28" s="463"/>
      <c r="HD28" s="463"/>
      <c r="HE28" s="463"/>
      <c r="HF28" s="463"/>
      <c r="HG28" s="463"/>
      <c r="HH28" s="463"/>
      <c r="HI28" s="463"/>
      <c r="HJ28" s="463"/>
      <c r="HK28" s="463"/>
      <c r="HL28" s="463"/>
      <c r="HM28" s="463"/>
      <c r="HN28" s="463"/>
      <c r="HO28" s="463"/>
      <c r="HP28" s="463"/>
      <c r="HQ28" s="463"/>
      <c r="HR28" s="463"/>
      <c r="HS28" s="463"/>
      <c r="HT28" s="463"/>
      <c r="HU28" s="463"/>
      <c r="HV28" s="463"/>
      <c r="HW28" s="463"/>
      <c r="HX28" s="463"/>
      <c r="HY28" s="463"/>
      <c r="HZ28" s="463"/>
      <c r="IA28" s="463"/>
      <c r="IB28" s="463"/>
      <c r="IC28" s="463"/>
      <c r="ID28" s="463"/>
      <c r="IE28" s="463"/>
      <c r="IF28" s="463"/>
      <c r="IG28" s="463"/>
      <c r="IH28" s="463"/>
      <c r="II28" s="463"/>
      <c r="IJ28" s="463"/>
      <c r="IK28" s="463"/>
      <c r="IL28" s="463"/>
      <c r="IM28" s="463"/>
      <c r="IN28" s="463"/>
      <c r="IO28" s="463"/>
      <c r="IP28" s="463"/>
      <c r="IQ28" s="463"/>
      <c r="IR28" s="463"/>
      <c r="IS28" s="463"/>
      <c r="IT28" s="463"/>
      <c r="IU28" s="463"/>
      <c r="IV28" s="463"/>
    </row>
    <row r="29" spans="1:17" s="1175" customFormat="1" ht="22.5" customHeight="1">
      <c r="A29" s="880">
        <v>21</v>
      </c>
      <c r="B29" s="1167"/>
      <c r="C29" s="517">
        <v>8</v>
      </c>
      <c r="D29" s="868" t="s">
        <v>736</v>
      </c>
      <c r="E29" s="1170"/>
      <c r="F29" s="1171"/>
      <c r="G29" s="1172"/>
      <c r="H29" s="1184"/>
      <c r="I29" s="1180"/>
      <c r="J29" s="1173"/>
      <c r="K29" s="1173"/>
      <c r="L29" s="1173"/>
      <c r="M29" s="1197"/>
      <c r="N29" s="1173"/>
      <c r="O29" s="1173"/>
      <c r="P29" s="1166"/>
      <c r="Q29" s="1174"/>
    </row>
    <row r="30" spans="1:256" s="865" customFormat="1" ht="18" customHeight="1">
      <c r="A30" s="880">
        <v>22</v>
      </c>
      <c r="B30" s="873"/>
      <c r="C30" s="517"/>
      <c r="D30" s="1176" t="s">
        <v>312</v>
      </c>
      <c r="E30" s="475"/>
      <c r="F30" s="475"/>
      <c r="G30" s="476"/>
      <c r="H30" s="1183"/>
      <c r="I30" s="1181"/>
      <c r="J30" s="475"/>
      <c r="K30" s="475"/>
      <c r="L30" s="475"/>
      <c r="M30" s="1197">
        <v>37000</v>
      </c>
      <c r="N30" s="475"/>
      <c r="O30" s="475"/>
      <c r="P30" s="1166">
        <f>SUM(I30:O30)</f>
        <v>37000</v>
      </c>
      <c r="Q30" s="870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  <c r="CG30" s="463"/>
      <c r="CH30" s="463"/>
      <c r="CI30" s="463"/>
      <c r="CJ30" s="463"/>
      <c r="CK30" s="463"/>
      <c r="CL30" s="463"/>
      <c r="CM30" s="463"/>
      <c r="CN30" s="463"/>
      <c r="CO30" s="463"/>
      <c r="CP30" s="463"/>
      <c r="CQ30" s="463"/>
      <c r="CR30" s="463"/>
      <c r="CS30" s="463"/>
      <c r="CT30" s="463"/>
      <c r="CU30" s="463"/>
      <c r="CV30" s="463"/>
      <c r="CW30" s="463"/>
      <c r="CX30" s="463"/>
      <c r="CY30" s="463"/>
      <c r="CZ30" s="463"/>
      <c r="DA30" s="463"/>
      <c r="DB30" s="463"/>
      <c r="DC30" s="463"/>
      <c r="DD30" s="463"/>
      <c r="DE30" s="463"/>
      <c r="DF30" s="463"/>
      <c r="DG30" s="463"/>
      <c r="DH30" s="463"/>
      <c r="DI30" s="463"/>
      <c r="DJ30" s="463"/>
      <c r="DK30" s="463"/>
      <c r="DL30" s="463"/>
      <c r="DM30" s="463"/>
      <c r="DN30" s="463"/>
      <c r="DO30" s="463"/>
      <c r="DP30" s="463"/>
      <c r="DQ30" s="463"/>
      <c r="DR30" s="463"/>
      <c r="DS30" s="463"/>
      <c r="DT30" s="463"/>
      <c r="DU30" s="463"/>
      <c r="DV30" s="463"/>
      <c r="DW30" s="463"/>
      <c r="DX30" s="463"/>
      <c r="DY30" s="463"/>
      <c r="DZ30" s="463"/>
      <c r="EA30" s="463"/>
      <c r="EB30" s="463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3"/>
      <c r="EN30" s="463"/>
      <c r="EO30" s="463"/>
      <c r="EP30" s="463"/>
      <c r="EQ30" s="463"/>
      <c r="ER30" s="463"/>
      <c r="ES30" s="463"/>
      <c r="ET30" s="463"/>
      <c r="EU30" s="463"/>
      <c r="EV30" s="463"/>
      <c r="EW30" s="463"/>
      <c r="EX30" s="463"/>
      <c r="EY30" s="463"/>
      <c r="EZ30" s="463"/>
      <c r="FA30" s="463"/>
      <c r="FB30" s="463"/>
      <c r="FC30" s="463"/>
      <c r="FD30" s="463"/>
      <c r="FE30" s="463"/>
      <c r="FF30" s="463"/>
      <c r="FG30" s="463"/>
      <c r="FH30" s="463"/>
      <c r="FI30" s="463"/>
      <c r="FJ30" s="463"/>
      <c r="FK30" s="463"/>
      <c r="FL30" s="463"/>
      <c r="FM30" s="463"/>
      <c r="FN30" s="463"/>
      <c r="FO30" s="463"/>
      <c r="FP30" s="463"/>
      <c r="FQ30" s="463"/>
      <c r="FR30" s="463"/>
      <c r="FS30" s="463"/>
      <c r="FT30" s="463"/>
      <c r="FU30" s="463"/>
      <c r="FV30" s="463"/>
      <c r="FW30" s="463"/>
      <c r="FX30" s="463"/>
      <c r="FY30" s="463"/>
      <c r="FZ30" s="463"/>
      <c r="GA30" s="463"/>
      <c r="GB30" s="463"/>
      <c r="GC30" s="463"/>
      <c r="GD30" s="463"/>
      <c r="GE30" s="463"/>
      <c r="GF30" s="463"/>
      <c r="GG30" s="463"/>
      <c r="GH30" s="463"/>
      <c r="GI30" s="463"/>
      <c r="GJ30" s="463"/>
      <c r="GK30" s="463"/>
      <c r="GL30" s="463"/>
      <c r="GM30" s="463"/>
      <c r="GN30" s="463"/>
      <c r="GO30" s="463"/>
      <c r="GP30" s="463"/>
      <c r="GQ30" s="463"/>
      <c r="GR30" s="463"/>
      <c r="GS30" s="463"/>
      <c r="GT30" s="463"/>
      <c r="GU30" s="463"/>
      <c r="GV30" s="463"/>
      <c r="GW30" s="463"/>
      <c r="GX30" s="463"/>
      <c r="GY30" s="463"/>
      <c r="GZ30" s="463"/>
      <c r="HA30" s="463"/>
      <c r="HB30" s="463"/>
      <c r="HC30" s="463"/>
      <c r="HD30" s="463"/>
      <c r="HE30" s="463"/>
      <c r="HF30" s="463"/>
      <c r="HG30" s="463"/>
      <c r="HH30" s="463"/>
      <c r="HI30" s="463"/>
      <c r="HJ30" s="463"/>
      <c r="HK30" s="463"/>
      <c r="HL30" s="463"/>
      <c r="HM30" s="463"/>
      <c r="HN30" s="463"/>
      <c r="HO30" s="463"/>
      <c r="HP30" s="463"/>
      <c r="HQ30" s="463"/>
      <c r="HR30" s="463"/>
      <c r="HS30" s="463"/>
      <c r="HT30" s="463"/>
      <c r="HU30" s="463"/>
      <c r="HV30" s="463"/>
      <c r="HW30" s="463"/>
      <c r="HX30" s="463"/>
      <c r="HY30" s="463"/>
      <c r="HZ30" s="463"/>
      <c r="IA30" s="463"/>
      <c r="IB30" s="463"/>
      <c r="IC30" s="463"/>
      <c r="ID30" s="463"/>
      <c r="IE30" s="463"/>
      <c r="IF30" s="463"/>
      <c r="IG30" s="463"/>
      <c r="IH30" s="463"/>
      <c r="II30" s="463"/>
      <c r="IJ30" s="463"/>
      <c r="IK30" s="463"/>
      <c r="IL30" s="463"/>
      <c r="IM30" s="463"/>
      <c r="IN30" s="463"/>
      <c r="IO30" s="463"/>
      <c r="IP30" s="463"/>
      <c r="IQ30" s="463"/>
      <c r="IR30" s="463"/>
      <c r="IS30" s="463"/>
      <c r="IT30" s="463"/>
      <c r="IU30" s="463"/>
      <c r="IV30" s="463"/>
    </row>
    <row r="31" spans="1:17" ht="22.5" customHeight="1">
      <c r="A31" s="880">
        <v>23</v>
      </c>
      <c r="B31" s="694"/>
      <c r="C31" s="517">
        <v>9</v>
      </c>
      <c r="D31" s="868" t="s">
        <v>729</v>
      </c>
      <c r="E31" s="475"/>
      <c r="F31" s="475"/>
      <c r="G31" s="476"/>
      <c r="H31" s="1183"/>
      <c r="I31" s="1181"/>
      <c r="J31" s="475"/>
      <c r="K31" s="475"/>
      <c r="L31" s="475"/>
      <c r="M31" s="475"/>
      <c r="N31" s="475"/>
      <c r="O31" s="475"/>
      <c r="P31" s="879"/>
      <c r="Q31" s="870"/>
    </row>
    <row r="32" spans="1:256" s="865" customFormat="1" ht="18" customHeight="1">
      <c r="A32" s="880">
        <v>24</v>
      </c>
      <c r="B32" s="873"/>
      <c r="C32" s="517"/>
      <c r="D32" s="1176" t="s">
        <v>312</v>
      </c>
      <c r="E32" s="475"/>
      <c r="F32" s="869"/>
      <c r="G32" s="476"/>
      <c r="H32" s="1183"/>
      <c r="I32" s="1179"/>
      <c r="J32" s="866"/>
      <c r="K32" s="866"/>
      <c r="L32" s="866"/>
      <c r="M32" s="1197">
        <v>10000</v>
      </c>
      <c r="N32" s="866"/>
      <c r="O32" s="866"/>
      <c r="P32" s="1166">
        <f>SUM(I32:O32)</f>
        <v>10000</v>
      </c>
      <c r="Q32" s="870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3"/>
      <c r="DA32" s="463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  <c r="FF32" s="463"/>
      <c r="FG32" s="463"/>
      <c r="FH32" s="463"/>
      <c r="FI32" s="463"/>
      <c r="FJ32" s="463"/>
      <c r="FK32" s="463"/>
      <c r="FL32" s="463"/>
      <c r="FM32" s="463"/>
      <c r="FN32" s="463"/>
      <c r="FO32" s="463"/>
      <c r="FP32" s="463"/>
      <c r="FQ32" s="463"/>
      <c r="FR32" s="463"/>
      <c r="FS32" s="463"/>
      <c r="FT32" s="463"/>
      <c r="FU32" s="463"/>
      <c r="FV32" s="463"/>
      <c r="FW32" s="463"/>
      <c r="FX32" s="463"/>
      <c r="FY32" s="463"/>
      <c r="FZ32" s="463"/>
      <c r="GA32" s="463"/>
      <c r="GB32" s="463"/>
      <c r="GC32" s="463"/>
      <c r="GD32" s="463"/>
      <c r="GE32" s="463"/>
      <c r="GF32" s="463"/>
      <c r="GG32" s="463"/>
      <c r="GH32" s="463"/>
      <c r="GI32" s="463"/>
      <c r="GJ32" s="463"/>
      <c r="GK32" s="463"/>
      <c r="GL32" s="463"/>
      <c r="GM32" s="463"/>
      <c r="GN32" s="463"/>
      <c r="GO32" s="463"/>
      <c r="GP32" s="463"/>
      <c r="GQ32" s="463"/>
      <c r="GR32" s="463"/>
      <c r="GS32" s="463"/>
      <c r="GT32" s="463"/>
      <c r="GU32" s="463"/>
      <c r="GV32" s="463"/>
      <c r="GW32" s="463"/>
      <c r="GX32" s="463"/>
      <c r="GY32" s="463"/>
      <c r="GZ32" s="463"/>
      <c r="HA32" s="463"/>
      <c r="HB32" s="463"/>
      <c r="HC32" s="463"/>
      <c r="HD32" s="463"/>
      <c r="HE32" s="463"/>
      <c r="HF32" s="463"/>
      <c r="HG32" s="463"/>
      <c r="HH32" s="463"/>
      <c r="HI32" s="463"/>
      <c r="HJ32" s="463"/>
      <c r="HK32" s="463"/>
      <c r="HL32" s="463"/>
      <c r="HM32" s="463"/>
      <c r="HN32" s="463"/>
      <c r="HO32" s="463"/>
      <c r="HP32" s="463"/>
      <c r="HQ32" s="463"/>
      <c r="HR32" s="463"/>
      <c r="HS32" s="463"/>
      <c r="HT32" s="463"/>
      <c r="HU32" s="463"/>
      <c r="HV32" s="463"/>
      <c r="HW32" s="463"/>
      <c r="HX32" s="463"/>
      <c r="HY32" s="463"/>
      <c r="HZ32" s="463"/>
      <c r="IA32" s="463"/>
      <c r="IB32" s="463"/>
      <c r="IC32" s="463"/>
      <c r="ID32" s="463"/>
      <c r="IE32" s="463"/>
      <c r="IF32" s="463"/>
      <c r="IG32" s="463"/>
      <c r="IH32" s="463"/>
      <c r="II32" s="463"/>
      <c r="IJ32" s="463"/>
      <c r="IK32" s="463"/>
      <c r="IL32" s="463"/>
      <c r="IM32" s="463"/>
      <c r="IN32" s="463"/>
      <c r="IO32" s="463"/>
      <c r="IP32" s="463"/>
      <c r="IQ32" s="463"/>
      <c r="IR32" s="463"/>
      <c r="IS32" s="463"/>
      <c r="IT32" s="463"/>
      <c r="IU32" s="463"/>
      <c r="IV32" s="463"/>
    </row>
    <row r="33" spans="1:17" ht="22.5" customHeight="1">
      <c r="A33" s="880">
        <v>25</v>
      </c>
      <c r="B33" s="694"/>
      <c r="C33" s="517">
        <v>10</v>
      </c>
      <c r="D33" s="878" t="s">
        <v>990</v>
      </c>
      <c r="E33" s="475"/>
      <c r="F33" s="869"/>
      <c r="G33" s="476"/>
      <c r="H33" s="1183"/>
      <c r="I33" s="1179"/>
      <c r="J33" s="866"/>
      <c r="K33" s="866"/>
      <c r="L33" s="866"/>
      <c r="M33" s="1197"/>
      <c r="N33" s="866"/>
      <c r="O33" s="866"/>
      <c r="P33" s="874"/>
      <c r="Q33" s="870"/>
    </row>
    <row r="34" spans="1:256" s="865" customFormat="1" ht="18" customHeight="1">
      <c r="A34" s="880">
        <v>26</v>
      </c>
      <c r="B34" s="873"/>
      <c r="C34" s="465"/>
      <c r="D34" s="1176" t="s">
        <v>312</v>
      </c>
      <c r="E34" s="475"/>
      <c r="F34" s="869"/>
      <c r="G34" s="476"/>
      <c r="H34" s="1183"/>
      <c r="I34" s="1179"/>
      <c r="J34" s="866"/>
      <c r="K34" s="866"/>
      <c r="L34" s="866"/>
      <c r="M34" s="1197">
        <v>8200</v>
      </c>
      <c r="N34" s="866"/>
      <c r="O34" s="866"/>
      <c r="P34" s="1166">
        <f>SUM(I34:O34)</f>
        <v>8200</v>
      </c>
      <c r="Q34" s="870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463"/>
      <c r="FK34" s="463"/>
      <c r="FL34" s="463"/>
      <c r="FM34" s="463"/>
      <c r="FN34" s="463"/>
      <c r="FO34" s="463"/>
      <c r="FP34" s="463"/>
      <c r="FQ34" s="463"/>
      <c r="FR34" s="463"/>
      <c r="FS34" s="463"/>
      <c r="FT34" s="463"/>
      <c r="FU34" s="463"/>
      <c r="FV34" s="463"/>
      <c r="FW34" s="463"/>
      <c r="FX34" s="463"/>
      <c r="FY34" s="463"/>
      <c r="FZ34" s="463"/>
      <c r="GA34" s="463"/>
      <c r="GB34" s="463"/>
      <c r="GC34" s="463"/>
      <c r="GD34" s="463"/>
      <c r="GE34" s="463"/>
      <c r="GF34" s="463"/>
      <c r="GG34" s="463"/>
      <c r="GH34" s="463"/>
      <c r="GI34" s="463"/>
      <c r="GJ34" s="463"/>
      <c r="GK34" s="463"/>
      <c r="GL34" s="463"/>
      <c r="GM34" s="463"/>
      <c r="GN34" s="463"/>
      <c r="GO34" s="463"/>
      <c r="GP34" s="463"/>
      <c r="GQ34" s="463"/>
      <c r="GR34" s="463"/>
      <c r="GS34" s="463"/>
      <c r="GT34" s="463"/>
      <c r="GU34" s="463"/>
      <c r="GV34" s="463"/>
      <c r="GW34" s="463"/>
      <c r="GX34" s="463"/>
      <c r="GY34" s="463"/>
      <c r="GZ34" s="463"/>
      <c r="HA34" s="463"/>
      <c r="HB34" s="463"/>
      <c r="HC34" s="463"/>
      <c r="HD34" s="463"/>
      <c r="HE34" s="463"/>
      <c r="HF34" s="463"/>
      <c r="HG34" s="463"/>
      <c r="HH34" s="463"/>
      <c r="HI34" s="463"/>
      <c r="HJ34" s="463"/>
      <c r="HK34" s="463"/>
      <c r="HL34" s="463"/>
      <c r="HM34" s="463"/>
      <c r="HN34" s="463"/>
      <c r="HO34" s="463"/>
      <c r="HP34" s="463"/>
      <c r="HQ34" s="463"/>
      <c r="HR34" s="463"/>
      <c r="HS34" s="463"/>
      <c r="HT34" s="463"/>
      <c r="HU34" s="463"/>
      <c r="HV34" s="463"/>
      <c r="HW34" s="463"/>
      <c r="HX34" s="463"/>
      <c r="HY34" s="463"/>
      <c r="HZ34" s="463"/>
      <c r="IA34" s="463"/>
      <c r="IB34" s="463"/>
      <c r="IC34" s="463"/>
      <c r="ID34" s="463"/>
      <c r="IE34" s="463"/>
      <c r="IF34" s="463"/>
      <c r="IG34" s="463"/>
      <c r="IH34" s="463"/>
      <c r="II34" s="463"/>
      <c r="IJ34" s="463"/>
      <c r="IK34" s="463"/>
      <c r="IL34" s="463"/>
      <c r="IM34" s="463"/>
      <c r="IN34" s="463"/>
      <c r="IO34" s="463"/>
      <c r="IP34" s="463"/>
      <c r="IQ34" s="463"/>
      <c r="IR34" s="463"/>
      <c r="IS34" s="463"/>
      <c r="IT34" s="463"/>
      <c r="IU34" s="463"/>
      <c r="IV34" s="463"/>
    </row>
    <row r="35" spans="1:17" ht="22.5" customHeight="1">
      <c r="A35" s="880">
        <v>27</v>
      </c>
      <c r="B35" s="694"/>
      <c r="C35" s="517">
        <v>11</v>
      </c>
      <c r="D35" s="877" t="s">
        <v>991</v>
      </c>
      <c r="E35" s="475"/>
      <c r="F35" s="869"/>
      <c r="G35" s="476"/>
      <c r="H35" s="1183"/>
      <c r="I35" s="1179"/>
      <c r="J35" s="866"/>
      <c r="K35" s="866"/>
      <c r="L35" s="866"/>
      <c r="M35" s="1197"/>
      <c r="N35" s="866"/>
      <c r="O35" s="866"/>
      <c r="P35" s="874"/>
      <c r="Q35" s="870"/>
    </row>
    <row r="36" spans="1:17" ht="18" customHeight="1">
      <c r="A36" s="880">
        <v>28</v>
      </c>
      <c r="B36" s="694"/>
      <c r="C36" s="517"/>
      <c r="D36" s="1176" t="s">
        <v>312</v>
      </c>
      <c r="E36" s="475"/>
      <c r="F36" s="869"/>
      <c r="G36" s="476"/>
      <c r="H36" s="1183"/>
      <c r="I36" s="1179"/>
      <c r="J36" s="866"/>
      <c r="K36" s="866"/>
      <c r="L36" s="866"/>
      <c r="M36" s="1197">
        <v>10000</v>
      </c>
      <c r="N36" s="866"/>
      <c r="O36" s="866"/>
      <c r="P36" s="1166">
        <f>SUM(I36:O36)</f>
        <v>10000</v>
      </c>
      <c r="Q36" s="870"/>
    </row>
    <row r="37" spans="1:256" s="865" customFormat="1" ht="22.5" customHeight="1">
      <c r="A37" s="880">
        <v>29</v>
      </c>
      <c r="B37" s="873"/>
      <c r="C37" s="517">
        <v>12</v>
      </c>
      <c r="D37" s="1479" t="s">
        <v>730</v>
      </c>
      <c r="E37" s="475"/>
      <c r="F37" s="869"/>
      <c r="G37" s="476"/>
      <c r="H37" s="1183"/>
      <c r="I37" s="1179"/>
      <c r="J37" s="866"/>
      <c r="K37" s="866"/>
      <c r="L37" s="866"/>
      <c r="M37" s="1197"/>
      <c r="N37" s="866"/>
      <c r="O37" s="866"/>
      <c r="P37" s="874"/>
      <c r="Q37" s="870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3"/>
      <c r="DI37" s="463"/>
      <c r="DJ37" s="463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3"/>
      <c r="EL37" s="463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3"/>
      <c r="FL37" s="463"/>
      <c r="FM37" s="463"/>
      <c r="FN37" s="463"/>
      <c r="FO37" s="463"/>
      <c r="FP37" s="463"/>
      <c r="FQ37" s="463"/>
      <c r="FR37" s="463"/>
      <c r="FS37" s="463"/>
      <c r="FT37" s="463"/>
      <c r="FU37" s="463"/>
      <c r="FV37" s="463"/>
      <c r="FW37" s="463"/>
      <c r="FX37" s="463"/>
      <c r="FY37" s="463"/>
      <c r="FZ37" s="463"/>
      <c r="GA37" s="463"/>
      <c r="GB37" s="463"/>
      <c r="GC37" s="463"/>
      <c r="GD37" s="463"/>
      <c r="GE37" s="463"/>
      <c r="GF37" s="463"/>
      <c r="GG37" s="463"/>
      <c r="GH37" s="463"/>
      <c r="GI37" s="463"/>
      <c r="GJ37" s="463"/>
      <c r="GK37" s="463"/>
      <c r="GL37" s="463"/>
      <c r="GM37" s="463"/>
      <c r="GN37" s="463"/>
      <c r="GO37" s="463"/>
      <c r="GP37" s="463"/>
      <c r="GQ37" s="463"/>
      <c r="GR37" s="463"/>
      <c r="GS37" s="463"/>
      <c r="GT37" s="463"/>
      <c r="GU37" s="463"/>
      <c r="GV37" s="463"/>
      <c r="GW37" s="463"/>
      <c r="GX37" s="463"/>
      <c r="GY37" s="463"/>
      <c r="GZ37" s="463"/>
      <c r="HA37" s="463"/>
      <c r="HB37" s="463"/>
      <c r="HC37" s="463"/>
      <c r="HD37" s="463"/>
      <c r="HE37" s="463"/>
      <c r="HF37" s="463"/>
      <c r="HG37" s="463"/>
      <c r="HH37" s="463"/>
      <c r="HI37" s="463"/>
      <c r="HJ37" s="463"/>
      <c r="HK37" s="463"/>
      <c r="HL37" s="463"/>
      <c r="HM37" s="463"/>
      <c r="HN37" s="463"/>
      <c r="HO37" s="463"/>
      <c r="HP37" s="463"/>
      <c r="HQ37" s="463"/>
      <c r="HR37" s="463"/>
      <c r="HS37" s="463"/>
      <c r="HT37" s="463"/>
      <c r="HU37" s="463"/>
      <c r="HV37" s="463"/>
      <c r="HW37" s="463"/>
      <c r="HX37" s="463"/>
      <c r="HY37" s="463"/>
      <c r="HZ37" s="463"/>
      <c r="IA37" s="463"/>
      <c r="IB37" s="463"/>
      <c r="IC37" s="463"/>
      <c r="ID37" s="463"/>
      <c r="IE37" s="463"/>
      <c r="IF37" s="463"/>
      <c r="IG37" s="463"/>
      <c r="IH37" s="463"/>
      <c r="II37" s="463"/>
      <c r="IJ37" s="463"/>
      <c r="IK37" s="463"/>
      <c r="IL37" s="463"/>
      <c r="IM37" s="463"/>
      <c r="IN37" s="463"/>
      <c r="IO37" s="463"/>
      <c r="IP37" s="463"/>
      <c r="IQ37" s="463"/>
      <c r="IR37" s="463"/>
      <c r="IS37" s="463"/>
      <c r="IT37" s="463"/>
      <c r="IU37" s="463"/>
      <c r="IV37" s="463"/>
    </row>
    <row r="38" spans="1:17" ht="18" customHeight="1">
      <c r="A38" s="880">
        <v>30</v>
      </c>
      <c r="B38" s="694"/>
      <c r="C38" s="517"/>
      <c r="D38" s="1176" t="s">
        <v>312</v>
      </c>
      <c r="E38" s="475"/>
      <c r="F38" s="869"/>
      <c r="G38" s="476"/>
      <c r="H38" s="1183"/>
      <c r="I38" s="1179"/>
      <c r="J38" s="866"/>
      <c r="K38" s="866"/>
      <c r="L38" s="866"/>
      <c r="M38" s="1197">
        <v>10000</v>
      </c>
      <c r="N38" s="866"/>
      <c r="O38" s="866"/>
      <c r="P38" s="1166">
        <f>SUM(I38:O38)</f>
        <v>10000</v>
      </c>
      <c r="Q38" s="870"/>
    </row>
    <row r="39" spans="1:256" s="865" customFormat="1" ht="22.5" customHeight="1">
      <c r="A39" s="880">
        <v>31</v>
      </c>
      <c r="B39" s="873"/>
      <c r="C39" s="517">
        <v>13</v>
      </c>
      <c r="D39" s="1478" t="s">
        <v>731</v>
      </c>
      <c r="E39" s="475"/>
      <c r="F39" s="869"/>
      <c r="G39" s="476"/>
      <c r="H39" s="1183"/>
      <c r="I39" s="1179"/>
      <c r="J39" s="866"/>
      <c r="K39" s="866"/>
      <c r="L39" s="866"/>
      <c r="M39" s="1197"/>
      <c r="N39" s="866"/>
      <c r="O39" s="866"/>
      <c r="P39" s="874"/>
      <c r="Q39" s="870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3"/>
      <c r="FK39" s="463"/>
      <c r="FL39" s="463"/>
      <c r="FM39" s="463"/>
      <c r="FN39" s="463"/>
      <c r="FO39" s="463"/>
      <c r="FP39" s="463"/>
      <c r="FQ39" s="463"/>
      <c r="FR39" s="463"/>
      <c r="FS39" s="463"/>
      <c r="FT39" s="463"/>
      <c r="FU39" s="463"/>
      <c r="FV39" s="463"/>
      <c r="FW39" s="463"/>
      <c r="FX39" s="463"/>
      <c r="FY39" s="463"/>
      <c r="FZ39" s="463"/>
      <c r="GA39" s="463"/>
      <c r="GB39" s="463"/>
      <c r="GC39" s="463"/>
      <c r="GD39" s="463"/>
      <c r="GE39" s="463"/>
      <c r="GF39" s="463"/>
      <c r="GG39" s="463"/>
      <c r="GH39" s="463"/>
      <c r="GI39" s="463"/>
      <c r="GJ39" s="463"/>
      <c r="GK39" s="463"/>
      <c r="GL39" s="463"/>
      <c r="GM39" s="463"/>
      <c r="GN39" s="463"/>
      <c r="GO39" s="463"/>
      <c r="GP39" s="463"/>
      <c r="GQ39" s="463"/>
      <c r="GR39" s="463"/>
      <c r="GS39" s="463"/>
      <c r="GT39" s="463"/>
      <c r="GU39" s="463"/>
      <c r="GV39" s="463"/>
      <c r="GW39" s="463"/>
      <c r="GX39" s="463"/>
      <c r="GY39" s="463"/>
      <c r="GZ39" s="463"/>
      <c r="HA39" s="463"/>
      <c r="HB39" s="463"/>
      <c r="HC39" s="463"/>
      <c r="HD39" s="463"/>
      <c r="HE39" s="463"/>
      <c r="HF39" s="463"/>
      <c r="HG39" s="463"/>
      <c r="HH39" s="463"/>
      <c r="HI39" s="463"/>
      <c r="HJ39" s="463"/>
      <c r="HK39" s="463"/>
      <c r="HL39" s="463"/>
      <c r="HM39" s="463"/>
      <c r="HN39" s="463"/>
      <c r="HO39" s="463"/>
      <c r="HP39" s="463"/>
      <c r="HQ39" s="463"/>
      <c r="HR39" s="463"/>
      <c r="HS39" s="463"/>
      <c r="HT39" s="463"/>
      <c r="HU39" s="463"/>
      <c r="HV39" s="463"/>
      <c r="HW39" s="463"/>
      <c r="HX39" s="463"/>
      <c r="HY39" s="463"/>
      <c r="HZ39" s="463"/>
      <c r="IA39" s="463"/>
      <c r="IB39" s="463"/>
      <c r="IC39" s="463"/>
      <c r="ID39" s="463"/>
      <c r="IE39" s="463"/>
      <c r="IF39" s="463"/>
      <c r="IG39" s="463"/>
      <c r="IH39" s="463"/>
      <c r="II39" s="463"/>
      <c r="IJ39" s="463"/>
      <c r="IK39" s="463"/>
      <c r="IL39" s="463"/>
      <c r="IM39" s="463"/>
      <c r="IN39" s="463"/>
      <c r="IO39" s="463"/>
      <c r="IP39" s="463"/>
      <c r="IQ39" s="463"/>
      <c r="IR39" s="463"/>
      <c r="IS39" s="463"/>
      <c r="IT39" s="463"/>
      <c r="IU39" s="463"/>
      <c r="IV39" s="463"/>
    </row>
    <row r="40" spans="1:17" ht="18" customHeight="1">
      <c r="A40" s="880">
        <v>32</v>
      </c>
      <c r="B40" s="694"/>
      <c r="C40" s="517"/>
      <c r="D40" s="1176" t="s">
        <v>312</v>
      </c>
      <c r="E40" s="475"/>
      <c r="F40" s="869"/>
      <c r="G40" s="476"/>
      <c r="H40" s="1183"/>
      <c r="I40" s="1179"/>
      <c r="J40" s="866"/>
      <c r="K40" s="866"/>
      <c r="L40" s="866"/>
      <c r="M40" s="1197">
        <v>10000</v>
      </c>
      <c r="N40" s="866"/>
      <c r="O40" s="866"/>
      <c r="P40" s="1166">
        <f>SUM(I40:O40)</f>
        <v>10000</v>
      </c>
      <c r="Q40" s="870"/>
    </row>
    <row r="41" spans="1:256" s="865" customFormat="1" ht="22.5" customHeight="1">
      <c r="A41" s="880">
        <v>33</v>
      </c>
      <c r="B41" s="873"/>
      <c r="C41" s="517">
        <v>14</v>
      </c>
      <c r="D41" s="1479" t="s">
        <v>732</v>
      </c>
      <c r="E41" s="475"/>
      <c r="F41" s="869"/>
      <c r="G41" s="476"/>
      <c r="H41" s="1183"/>
      <c r="I41" s="1179"/>
      <c r="J41" s="866"/>
      <c r="K41" s="866"/>
      <c r="L41" s="866"/>
      <c r="M41" s="1197"/>
      <c r="N41" s="866"/>
      <c r="O41" s="866"/>
      <c r="P41" s="874"/>
      <c r="Q41" s="870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3"/>
      <c r="DS41" s="463"/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3"/>
      <c r="EL41" s="463"/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3"/>
      <c r="FL41" s="463"/>
      <c r="FM41" s="463"/>
      <c r="FN41" s="463"/>
      <c r="FO41" s="463"/>
      <c r="FP41" s="463"/>
      <c r="FQ41" s="463"/>
      <c r="FR41" s="463"/>
      <c r="FS41" s="463"/>
      <c r="FT41" s="463"/>
      <c r="FU41" s="463"/>
      <c r="FV41" s="463"/>
      <c r="FW41" s="463"/>
      <c r="FX41" s="463"/>
      <c r="FY41" s="463"/>
      <c r="FZ41" s="463"/>
      <c r="GA41" s="463"/>
      <c r="GB41" s="463"/>
      <c r="GC41" s="463"/>
      <c r="GD41" s="463"/>
      <c r="GE41" s="463"/>
      <c r="GF41" s="463"/>
      <c r="GG41" s="463"/>
      <c r="GH41" s="463"/>
      <c r="GI41" s="463"/>
      <c r="GJ41" s="463"/>
      <c r="GK41" s="463"/>
      <c r="GL41" s="463"/>
      <c r="GM41" s="463"/>
      <c r="GN41" s="463"/>
      <c r="GO41" s="463"/>
      <c r="GP41" s="463"/>
      <c r="GQ41" s="463"/>
      <c r="GR41" s="463"/>
      <c r="GS41" s="463"/>
      <c r="GT41" s="463"/>
      <c r="GU41" s="463"/>
      <c r="GV41" s="463"/>
      <c r="GW41" s="463"/>
      <c r="GX41" s="463"/>
      <c r="GY41" s="463"/>
      <c r="GZ41" s="463"/>
      <c r="HA41" s="463"/>
      <c r="HB41" s="463"/>
      <c r="HC41" s="463"/>
      <c r="HD41" s="463"/>
      <c r="HE41" s="463"/>
      <c r="HF41" s="463"/>
      <c r="HG41" s="463"/>
      <c r="HH41" s="463"/>
      <c r="HI41" s="463"/>
      <c r="HJ41" s="463"/>
      <c r="HK41" s="463"/>
      <c r="HL41" s="463"/>
      <c r="HM41" s="463"/>
      <c r="HN41" s="463"/>
      <c r="HO41" s="463"/>
      <c r="HP41" s="463"/>
      <c r="HQ41" s="463"/>
      <c r="HR41" s="463"/>
      <c r="HS41" s="463"/>
      <c r="HT41" s="463"/>
      <c r="HU41" s="463"/>
      <c r="HV41" s="463"/>
      <c r="HW41" s="463"/>
      <c r="HX41" s="463"/>
      <c r="HY41" s="463"/>
      <c r="HZ41" s="463"/>
      <c r="IA41" s="463"/>
      <c r="IB41" s="463"/>
      <c r="IC41" s="463"/>
      <c r="ID41" s="463"/>
      <c r="IE41" s="463"/>
      <c r="IF41" s="463"/>
      <c r="IG41" s="463"/>
      <c r="IH41" s="463"/>
      <c r="II41" s="463"/>
      <c r="IJ41" s="463"/>
      <c r="IK41" s="463"/>
      <c r="IL41" s="463"/>
      <c r="IM41" s="463"/>
      <c r="IN41" s="463"/>
      <c r="IO41" s="463"/>
      <c r="IP41" s="463"/>
      <c r="IQ41" s="463"/>
      <c r="IR41" s="463"/>
      <c r="IS41" s="463"/>
      <c r="IT41" s="463"/>
      <c r="IU41" s="463"/>
      <c r="IV41" s="463"/>
    </row>
    <row r="42" spans="1:17" ht="18" customHeight="1">
      <c r="A42" s="880">
        <v>34</v>
      </c>
      <c r="B42" s="694"/>
      <c r="C42" s="517"/>
      <c r="D42" s="1176" t="s">
        <v>312</v>
      </c>
      <c r="E42" s="475"/>
      <c r="F42" s="869"/>
      <c r="G42" s="476"/>
      <c r="H42" s="1183"/>
      <c r="I42" s="1179"/>
      <c r="J42" s="866"/>
      <c r="K42" s="866"/>
      <c r="L42" s="866"/>
      <c r="M42" s="1197">
        <v>20000</v>
      </c>
      <c r="N42" s="866"/>
      <c r="O42" s="866"/>
      <c r="P42" s="1166">
        <f>SUM(I42:O42)</f>
        <v>20000</v>
      </c>
      <c r="Q42" s="870"/>
    </row>
    <row r="43" spans="1:256" s="865" customFormat="1" ht="22.5" customHeight="1">
      <c r="A43" s="880">
        <v>35</v>
      </c>
      <c r="B43" s="873"/>
      <c r="C43" s="517">
        <v>15</v>
      </c>
      <c r="D43" s="466" t="s">
        <v>733</v>
      </c>
      <c r="E43" s="475"/>
      <c r="F43" s="869"/>
      <c r="G43" s="476"/>
      <c r="H43" s="1183"/>
      <c r="I43" s="1179"/>
      <c r="J43" s="866"/>
      <c r="K43" s="866"/>
      <c r="L43" s="866"/>
      <c r="M43" s="1197"/>
      <c r="N43" s="866"/>
      <c r="O43" s="866"/>
      <c r="P43" s="874"/>
      <c r="Q43" s="870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  <c r="CW43" s="463"/>
      <c r="CX43" s="463"/>
      <c r="CY43" s="463"/>
      <c r="CZ43" s="463"/>
      <c r="DA43" s="463"/>
      <c r="DB43" s="463"/>
      <c r="DC43" s="463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3"/>
      <c r="DQ43" s="463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3"/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3"/>
      <c r="EN43" s="463"/>
      <c r="EO43" s="463"/>
      <c r="EP43" s="463"/>
      <c r="EQ43" s="463"/>
      <c r="ER43" s="463"/>
      <c r="ES43" s="463"/>
      <c r="ET43" s="463"/>
      <c r="EU43" s="463"/>
      <c r="EV43" s="463"/>
      <c r="EW43" s="463"/>
      <c r="EX43" s="463"/>
      <c r="EY43" s="463"/>
      <c r="EZ43" s="463"/>
      <c r="FA43" s="463"/>
      <c r="FB43" s="463"/>
      <c r="FC43" s="463"/>
      <c r="FD43" s="463"/>
      <c r="FE43" s="463"/>
      <c r="FF43" s="463"/>
      <c r="FG43" s="463"/>
      <c r="FH43" s="463"/>
      <c r="FI43" s="463"/>
      <c r="FJ43" s="463"/>
      <c r="FK43" s="463"/>
      <c r="FL43" s="463"/>
      <c r="FM43" s="463"/>
      <c r="FN43" s="463"/>
      <c r="FO43" s="463"/>
      <c r="FP43" s="463"/>
      <c r="FQ43" s="463"/>
      <c r="FR43" s="463"/>
      <c r="FS43" s="463"/>
      <c r="FT43" s="463"/>
      <c r="FU43" s="463"/>
      <c r="FV43" s="463"/>
      <c r="FW43" s="463"/>
      <c r="FX43" s="463"/>
      <c r="FY43" s="463"/>
      <c r="FZ43" s="463"/>
      <c r="GA43" s="463"/>
      <c r="GB43" s="463"/>
      <c r="GC43" s="463"/>
      <c r="GD43" s="463"/>
      <c r="GE43" s="463"/>
      <c r="GF43" s="463"/>
      <c r="GG43" s="463"/>
      <c r="GH43" s="463"/>
      <c r="GI43" s="463"/>
      <c r="GJ43" s="463"/>
      <c r="GK43" s="463"/>
      <c r="GL43" s="463"/>
      <c r="GM43" s="463"/>
      <c r="GN43" s="463"/>
      <c r="GO43" s="463"/>
      <c r="GP43" s="463"/>
      <c r="GQ43" s="463"/>
      <c r="GR43" s="463"/>
      <c r="GS43" s="463"/>
      <c r="GT43" s="463"/>
      <c r="GU43" s="463"/>
      <c r="GV43" s="463"/>
      <c r="GW43" s="463"/>
      <c r="GX43" s="463"/>
      <c r="GY43" s="463"/>
      <c r="GZ43" s="463"/>
      <c r="HA43" s="463"/>
      <c r="HB43" s="463"/>
      <c r="HC43" s="463"/>
      <c r="HD43" s="463"/>
      <c r="HE43" s="463"/>
      <c r="HF43" s="463"/>
      <c r="HG43" s="463"/>
      <c r="HH43" s="463"/>
      <c r="HI43" s="463"/>
      <c r="HJ43" s="463"/>
      <c r="HK43" s="463"/>
      <c r="HL43" s="463"/>
      <c r="HM43" s="463"/>
      <c r="HN43" s="463"/>
      <c r="HO43" s="463"/>
      <c r="HP43" s="463"/>
      <c r="HQ43" s="463"/>
      <c r="HR43" s="463"/>
      <c r="HS43" s="463"/>
      <c r="HT43" s="463"/>
      <c r="HU43" s="463"/>
      <c r="HV43" s="463"/>
      <c r="HW43" s="463"/>
      <c r="HX43" s="463"/>
      <c r="HY43" s="463"/>
      <c r="HZ43" s="463"/>
      <c r="IA43" s="463"/>
      <c r="IB43" s="463"/>
      <c r="IC43" s="463"/>
      <c r="ID43" s="463"/>
      <c r="IE43" s="463"/>
      <c r="IF43" s="463"/>
      <c r="IG43" s="463"/>
      <c r="IH43" s="463"/>
      <c r="II43" s="463"/>
      <c r="IJ43" s="463"/>
      <c r="IK43" s="463"/>
      <c r="IL43" s="463"/>
      <c r="IM43" s="463"/>
      <c r="IN43" s="463"/>
      <c r="IO43" s="463"/>
      <c r="IP43" s="463"/>
      <c r="IQ43" s="463"/>
      <c r="IR43" s="463"/>
      <c r="IS43" s="463"/>
      <c r="IT43" s="463"/>
      <c r="IU43" s="463"/>
      <c r="IV43" s="463"/>
    </row>
    <row r="44" spans="1:17" ht="18" customHeight="1">
      <c r="A44" s="880">
        <v>36</v>
      </c>
      <c r="B44" s="694"/>
      <c r="C44" s="517"/>
      <c r="D44" s="1176" t="s">
        <v>312</v>
      </c>
      <c r="E44" s="475"/>
      <c r="F44" s="869"/>
      <c r="G44" s="476"/>
      <c r="H44" s="1183"/>
      <c r="I44" s="1179"/>
      <c r="J44" s="866"/>
      <c r="K44" s="866"/>
      <c r="L44" s="866"/>
      <c r="M44" s="1197">
        <v>10000</v>
      </c>
      <c r="N44" s="866"/>
      <c r="O44" s="866"/>
      <c r="P44" s="1166">
        <f>SUM(I44:O44)</f>
        <v>10000</v>
      </c>
      <c r="Q44" s="870"/>
    </row>
    <row r="45" spans="1:256" s="865" customFormat="1" ht="22.5" customHeight="1">
      <c r="A45" s="880">
        <v>37</v>
      </c>
      <c r="B45" s="873"/>
      <c r="C45" s="517">
        <v>16</v>
      </c>
      <c r="D45" s="466" t="s">
        <v>734</v>
      </c>
      <c r="E45" s="475"/>
      <c r="F45" s="869"/>
      <c r="G45" s="476"/>
      <c r="H45" s="1183"/>
      <c r="I45" s="1179"/>
      <c r="J45" s="866"/>
      <c r="K45" s="866"/>
      <c r="L45" s="866"/>
      <c r="M45" s="1197"/>
      <c r="N45" s="866"/>
      <c r="O45" s="866"/>
      <c r="P45" s="874"/>
      <c r="Q45" s="870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3"/>
      <c r="FL45" s="463"/>
      <c r="FM45" s="463"/>
      <c r="FN45" s="463"/>
      <c r="FO45" s="463"/>
      <c r="FP45" s="463"/>
      <c r="FQ45" s="463"/>
      <c r="FR45" s="463"/>
      <c r="FS45" s="463"/>
      <c r="FT45" s="463"/>
      <c r="FU45" s="463"/>
      <c r="FV45" s="463"/>
      <c r="FW45" s="463"/>
      <c r="FX45" s="463"/>
      <c r="FY45" s="463"/>
      <c r="FZ45" s="463"/>
      <c r="GA45" s="463"/>
      <c r="GB45" s="463"/>
      <c r="GC45" s="463"/>
      <c r="GD45" s="463"/>
      <c r="GE45" s="463"/>
      <c r="GF45" s="463"/>
      <c r="GG45" s="463"/>
      <c r="GH45" s="463"/>
      <c r="GI45" s="463"/>
      <c r="GJ45" s="463"/>
      <c r="GK45" s="463"/>
      <c r="GL45" s="463"/>
      <c r="GM45" s="463"/>
      <c r="GN45" s="463"/>
      <c r="GO45" s="463"/>
      <c r="GP45" s="463"/>
      <c r="GQ45" s="463"/>
      <c r="GR45" s="463"/>
      <c r="GS45" s="463"/>
      <c r="GT45" s="463"/>
      <c r="GU45" s="463"/>
      <c r="GV45" s="463"/>
      <c r="GW45" s="463"/>
      <c r="GX45" s="463"/>
      <c r="GY45" s="463"/>
      <c r="GZ45" s="463"/>
      <c r="HA45" s="463"/>
      <c r="HB45" s="463"/>
      <c r="HC45" s="463"/>
      <c r="HD45" s="463"/>
      <c r="HE45" s="463"/>
      <c r="HF45" s="463"/>
      <c r="HG45" s="463"/>
      <c r="HH45" s="463"/>
      <c r="HI45" s="463"/>
      <c r="HJ45" s="463"/>
      <c r="HK45" s="463"/>
      <c r="HL45" s="463"/>
      <c r="HM45" s="463"/>
      <c r="HN45" s="463"/>
      <c r="HO45" s="463"/>
      <c r="HP45" s="463"/>
      <c r="HQ45" s="463"/>
      <c r="HR45" s="463"/>
      <c r="HS45" s="463"/>
      <c r="HT45" s="463"/>
      <c r="HU45" s="463"/>
      <c r="HV45" s="463"/>
      <c r="HW45" s="463"/>
      <c r="HX45" s="463"/>
      <c r="HY45" s="463"/>
      <c r="HZ45" s="463"/>
      <c r="IA45" s="463"/>
      <c r="IB45" s="463"/>
      <c r="IC45" s="463"/>
      <c r="ID45" s="463"/>
      <c r="IE45" s="463"/>
      <c r="IF45" s="463"/>
      <c r="IG45" s="463"/>
      <c r="IH45" s="463"/>
      <c r="II45" s="463"/>
      <c r="IJ45" s="463"/>
      <c r="IK45" s="463"/>
      <c r="IL45" s="463"/>
      <c r="IM45" s="463"/>
      <c r="IN45" s="463"/>
      <c r="IO45" s="463"/>
      <c r="IP45" s="463"/>
      <c r="IQ45" s="463"/>
      <c r="IR45" s="463"/>
      <c r="IS45" s="463"/>
      <c r="IT45" s="463"/>
      <c r="IU45" s="463"/>
      <c r="IV45" s="463"/>
    </row>
    <row r="46" spans="1:17" ht="18" customHeight="1">
      <c r="A46" s="880">
        <v>38</v>
      </c>
      <c r="B46" s="694"/>
      <c r="C46" s="517"/>
      <c r="D46" s="1176" t="s">
        <v>312</v>
      </c>
      <c r="E46" s="475"/>
      <c r="F46" s="869"/>
      <c r="G46" s="476"/>
      <c r="H46" s="1183"/>
      <c r="I46" s="1179"/>
      <c r="J46" s="866"/>
      <c r="K46" s="866"/>
      <c r="L46" s="866"/>
      <c r="M46" s="1197">
        <v>10000</v>
      </c>
      <c r="N46" s="866"/>
      <c r="O46" s="866"/>
      <c r="P46" s="1166">
        <f>SUM(I46:O46)</f>
        <v>10000</v>
      </c>
      <c r="Q46" s="870"/>
    </row>
    <row r="47" spans="1:256" s="865" customFormat="1" ht="22.5" customHeight="1">
      <c r="A47" s="880">
        <v>39</v>
      </c>
      <c r="B47" s="873"/>
      <c r="C47" s="517">
        <v>17</v>
      </c>
      <c r="D47" s="466" t="s">
        <v>735</v>
      </c>
      <c r="E47" s="475"/>
      <c r="F47" s="869"/>
      <c r="G47" s="476"/>
      <c r="H47" s="1183"/>
      <c r="I47" s="1179"/>
      <c r="J47" s="866"/>
      <c r="K47" s="866"/>
      <c r="L47" s="866"/>
      <c r="M47" s="1197"/>
      <c r="N47" s="866"/>
      <c r="O47" s="866"/>
      <c r="P47" s="874"/>
      <c r="Q47" s="870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463"/>
      <c r="CT47" s="463"/>
      <c r="CU47" s="463"/>
      <c r="CV47" s="463"/>
      <c r="CW47" s="463"/>
      <c r="CX47" s="463"/>
      <c r="CY47" s="463"/>
      <c r="CZ47" s="463"/>
      <c r="DA47" s="463"/>
      <c r="DB47" s="463"/>
      <c r="DC47" s="463"/>
      <c r="DD47" s="463"/>
      <c r="DE47" s="463"/>
      <c r="DF47" s="463"/>
      <c r="DG47" s="463"/>
      <c r="DH47" s="463"/>
      <c r="DI47" s="463"/>
      <c r="DJ47" s="463"/>
      <c r="DK47" s="463"/>
      <c r="DL47" s="463"/>
      <c r="DM47" s="463"/>
      <c r="DN47" s="463"/>
      <c r="DO47" s="463"/>
      <c r="DP47" s="463"/>
      <c r="DQ47" s="463"/>
      <c r="DR47" s="463"/>
      <c r="DS47" s="463"/>
      <c r="DT47" s="463"/>
      <c r="DU47" s="463"/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3"/>
      <c r="FE47" s="463"/>
      <c r="FF47" s="463"/>
      <c r="FG47" s="463"/>
      <c r="FH47" s="463"/>
      <c r="FI47" s="463"/>
      <c r="FJ47" s="463"/>
      <c r="FK47" s="463"/>
      <c r="FL47" s="463"/>
      <c r="FM47" s="463"/>
      <c r="FN47" s="463"/>
      <c r="FO47" s="463"/>
      <c r="FP47" s="463"/>
      <c r="FQ47" s="463"/>
      <c r="FR47" s="463"/>
      <c r="FS47" s="463"/>
      <c r="FT47" s="463"/>
      <c r="FU47" s="463"/>
      <c r="FV47" s="463"/>
      <c r="FW47" s="463"/>
      <c r="FX47" s="463"/>
      <c r="FY47" s="463"/>
      <c r="FZ47" s="463"/>
      <c r="GA47" s="463"/>
      <c r="GB47" s="463"/>
      <c r="GC47" s="463"/>
      <c r="GD47" s="463"/>
      <c r="GE47" s="463"/>
      <c r="GF47" s="463"/>
      <c r="GG47" s="463"/>
      <c r="GH47" s="463"/>
      <c r="GI47" s="463"/>
      <c r="GJ47" s="463"/>
      <c r="GK47" s="463"/>
      <c r="GL47" s="463"/>
      <c r="GM47" s="463"/>
      <c r="GN47" s="463"/>
      <c r="GO47" s="463"/>
      <c r="GP47" s="463"/>
      <c r="GQ47" s="463"/>
      <c r="GR47" s="463"/>
      <c r="GS47" s="463"/>
      <c r="GT47" s="463"/>
      <c r="GU47" s="463"/>
      <c r="GV47" s="463"/>
      <c r="GW47" s="463"/>
      <c r="GX47" s="463"/>
      <c r="GY47" s="463"/>
      <c r="GZ47" s="463"/>
      <c r="HA47" s="463"/>
      <c r="HB47" s="463"/>
      <c r="HC47" s="463"/>
      <c r="HD47" s="463"/>
      <c r="HE47" s="463"/>
      <c r="HF47" s="463"/>
      <c r="HG47" s="463"/>
      <c r="HH47" s="463"/>
      <c r="HI47" s="463"/>
      <c r="HJ47" s="463"/>
      <c r="HK47" s="463"/>
      <c r="HL47" s="463"/>
      <c r="HM47" s="463"/>
      <c r="HN47" s="463"/>
      <c r="HO47" s="463"/>
      <c r="HP47" s="463"/>
      <c r="HQ47" s="463"/>
      <c r="HR47" s="463"/>
      <c r="HS47" s="463"/>
      <c r="HT47" s="463"/>
      <c r="HU47" s="463"/>
      <c r="HV47" s="463"/>
      <c r="HW47" s="463"/>
      <c r="HX47" s="463"/>
      <c r="HY47" s="463"/>
      <c r="HZ47" s="463"/>
      <c r="IA47" s="463"/>
      <c r="IB47" s="463"/>
      <c r="IC47" s="463"/>
      <c r="ID47" s="463"/>
      <c r="IE47" s="463"/>
      <c r="IF47" s="463"/>
      <c r="IG47" s="463"/>
      <c r="IH47" s="463"/>
      <c r="II47" s="463"/>
      <c r="IJ47" s="463"/>
      <c r="IK47" s="463"/>
      <c r="IL47" s="463"/>
      <c r="IM47" s="463"/>
      <c r="IN47" s="463"/>
      <c r="IO47" s="463"/>
      <c r="IP47" s="463"/>
      <c r="IQ47" s="463"/>
      <c r="IR47" s="463"/>
      <c r="IS47" s="463"/>
      <c r="IT47" s="463"/>
      <c r="IU47" s="463"/>
      <c r="IV47" s="463"/>
    </row>
    <row r="48" spans="1:17" ht="18" customHeight="1">
      <c r="A48" s="880">
        <v>40</v>
      </c>
      <c r="B48" s="694"/>
      <c r="C48" s="517"/>
      <c r="D48" s="1176" t="s">
        <v>312</v>
      </c>
      <c r="E48" s="475"/>
      <c r="F48" s="869"/>
      <c r="G48" s="476"/>
      <c r="H48" s="1183"/>
      <c r="I48" s="1179"/>
      <c r="J48" s="866"/>
      <c r="K48" s="866"/>
      <c r="L48" s="866"/>
      <c r="M48" s="1197">
        <v>10000</v>
      </c>
      <c r="N48" s="866"/>
      <c r="O48" s="866"/>
      <c r="P48" s="1166">
        <f>SUM(I48:O48)</f>
        <v>10000</v>
      </c>
      <c r="Q48" s="870"/>
    </row>
    <row r="49" spans="1:256" s="865" customFormat="1" ht="22.5" customHeight="1">
      <c r="A49" s="880">
        <v>41</v>
      </c>
      <c r="B49" s="873"/>
      <c r="C49" s="517">
        <v>18</v>
      </c>
      <c r="D49" s="466" t="s">
        <v>805</v>
      </c>
      <c r="E49" s="475"/>
      <c r="F49" s="869"/>
      <c r="G49" s="476"/>
      <c r="H49" s="1183"/>
      <c r="I49" s="1179"/>
      <c r="J49" s="866"/>
      <c r="K49" s="866"/>
      <c r="L49" s="866"/>
      <c r="M49" s="866"/>
      <c r="N49" s="866"/>
      <c r="O49" s="866"/>
      <c r="P49" s="874"/>
      <c r="Q49" s="870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  <c r="CW49" s="463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  <c r="FF49" s="463"/>
      <c r="FG49" s="463"/>
      <c r="FH49" s="463"/>
      <c r="FI49" s="463"/>
      <c r="FJ49" s="463"/>
      <c r="FK49" s="463"/>
      <c r="FL49" s="463"/>
      <c r="FM49" s="463"/>
      <c r="FN49" s="463"/>
      <c r="FO49" s="463"/>
      <c r="FP49" s="463"/>
      <c r="FQ49" s="463"/>
      <c r="FR49" s="463"/>
      <c r="FS49" s="463"/>
      <c r="FT49" s="463"/>
      <c r="FU49" s="463"/>
      <c r="FV49" s="463"/>
      <c r="FW49" s="463"/>
      <c r="FX49" s="463"/>
      <c r="FY49" s="463"/>
      <c r="FZ49" s="463"/>
      <c r="GA49" s="463"/>
      <c r="GB49" s="463"/>
      <c r="GC49" s="463"/>
      <c r="GD49" s="463"/>
      <c r="GE49" s="463"/>
      <c r="GF49" s="463"/>
      <c r="GG49" s="463"/>
      <c r="GH49" s="463"/>
      <c r="GI49" s="463"/>
      <c r="GJ49" s="463"/>
      <c r="GK49" s="463"/>
      <c r="GL49" s="463"/>
      <c r="GM49" s="463"/>
      <c r="GN49" s="463"/>
      <c r="GO49" s="463"/>
      <c r="GP49" s="463"/>
      <c r="GQ49" s="463"/>
      <c r="GR49" s="463"/>
      <c r="GS49" s="463"/>
      <c r="GT49" s="463"/>
      <c r="GU49" s="463"/>
      <c r="GV49" s="463"/>
      <c r="GW49" s="463"/>
      <c r="GX49" s="463"/>
      <c r="GY49" s="463"/>
      <c r="GZ49" s="463"/>
      <c r="HA49" s="463"/>
      <c r="HB49" s="463"/>
      <c r="HC49" s="463"/>
      <c r="HD49" s="463"/>
      <c r="HE49" s="463"/>
      <c r="HF49" s="463"/>
      <c r="HG49" s="463"/>
      <c r="HH49" s="463"/>
      <c r="HI49" s="463"/>
      <c r="HJ49" s="463"/>
      <c r="HK49" s="463"/>
      <c r="HL49" s="463"/>
      <c r="HM49" s="463"/>
      <c r="HN49" s="463"/>
      <c r="HO49" s="463"/>
      <c r="HP49" s="463"/>
      <c r="HQ49" s="463"/>
      <c r="HR49" s="463"/>
      <c r="HS49" s="463"/>
      <c r="HT49" s="463"/>
      <c r="HU49" s="463"/>
      <c r="HV49" s="463"/>
      <c r="HW49" s="463"/>
      <c r="HX49" s="463"/>
      <c r="HY49" s="463"/>
      <c r="HZ49" s="463"/>
      <c r="IA49" s="463"/>
      <c r="IB49" s="463"/>
      <c r="IC49" s="463"/>
      <c r="ID49" s="463"/>
      <c r="IE49" s="463"/>
      <c r="IF49" s="463"/>
      <c r="IG49" s="463"/>
      <c r="IH49" s="463"/>
      <c r="II49" s="463"/>
      <c r="IJ49" s="463"/>
      <c r="IK49" s="463"/>
      <c r="IL49" s="463"/>
      <c r="IM49" s="463"/>
      <c r="IN49" s="463"/>
      <c r="IO49" s="463"/>
      <c r="IP49" s="463"/>
      <c r="IQ49" s="463"/>
      <c r="IR49" s="463"/>
      <c r="IS49" s="463"/>
      <c r="IT49" s="463"/>
      <c r="IU49" s="463"/>
      <c r="IV49" s="463"/>
    </row>
    <row r="50" spans="1:17" ht="18" customHeight="1">
      <c r="A50" s="880">
        <v>42</v>
      </c>
      <c r="B50" s="694"/>
      <c r="C50" s="517"/>
      <c r="D50" s="1176" t="s">
        <v>312</v>
      </c>
      <c r="E50" s="475"/>
      <c r="F50" s="869"/>
      <c r="G50" s="476"/>
      <c r="H50" s="1183"/>
      <c r="I50" s="1179"/>
      <c r="J50" s="866"/>
      <c r="K50" s="866"/>
      <c r="L50" s="866"/>
      <c r="M50" s="1197">
        <f>1896745-152400+108305+20250+6804+78300+10000</f>
        <v>1968004</v>
      </c>
      <c r="N50" s="866"/>
      <c r="O50" s="866"/>
      <c r="P50" s="1166">
        <f>SUM(I50:O50)</f>
        <v>1968004</v>
      </c>
      <c r="Q50" s="870"/>
    </row>
    <row r="51" spans="1:17" ht="22.5" customHeight="1">
      <c r="A51" s="880">
        <v>43</v>
      </c>
      <c r="B51" s="694"/>
      <c r="C51" s="517">
        <v>19</v>
      </c>
      <c r="D51" s="466" t="s">
        <v>807</v>
      </c>
      <c r="E51" s="475"/>
      <c r="F51" s="869"/>
      <c r="G51" s="476"/>
      <c r="H51" s="1183"/>
      <c r="I51" s="1179"/>
      <c r="J51" s="866"/>
      <c r="K51" s="866"/>
      <c r="L51" s="866"/>
      <c r="M51" s="1197"/>
      <c r="N51" s="866"/>
      <c r="O51" s="866"/>
      <c r="P51" s="1166"/>
      <c r="Q51" s="870"/>
    </row>
    <row r="52" spans="1:17" ht="18" customHeight="1" thickBot="1">
      <c r="A52" s="880">
        <v>44</v>
      </c>
      <c r="B52" s="694"/>
      <c r="C52" s="1269"/>
      <c r="D52" s="1280" t="s">
        <v>312</v>
      </c>
      <c r="E52" s="1281"/>
      <c r="F52" s="1282"/>
      <c r="G52" s="1283"/>
      <c r="H52" s="1284"/>
      <c r="I52" s="1285"/>
      <c r="J52" s="1286"/>
      <c r="K52" s="1286"/>
      <c r="L52" s="1286"/>
      <c r="M52" s="1275">
        <v>152400</v>
      </c>
      <c r="N52" s="1286"/>
      <c r="O52" s="1286"/>
      <c r="P52" s="1276">
        <f>SUM(I52:O52)</f>
        <v>152400</v>
      </c>
      <c r="Q52" s="1268"/>
    </row>
    <row r="53" spans="1:256" s="865" customFormat="1" ht="21.75" customHeight="1" thickBot="1" thickTop="1">
      <c r="A53" s="880">
        <v>45</v>
      </c>
      <c r="B53" s="873"/>
      <c r="C53" s="1287"/>
      <c r="D53" s="1288" t="s">
        <v>873</v>
      </c>
      <c r="E53" s="1289"/>
      <c r="F53" s="1289">
        <f>F52+F50+F48+F46+F44+F42+F40+F38+F36+F34+F32+F30+F28+F25+F23</f>
        <v>0</v>
      </c>
      <c r="G53" s="1289">
        <f>G52+G50+G48+G46+G44+G42+G40+G38+G36+G34+G32+G30+G28+G25+G23</f>
        <v>0</v>
      </c>
      <c r="H53" s="1290"/>
      <c r="I53" s="1294">
        <f>I52+I50+I48+I46+I44+I42+I40+I38+I36+I34+I32+I30+I28+I25+I23</f>
        <v>0</v>
      </c>
      <c r="J53" s="1294">
        <f aca="true" t="shared" si="1" ref="J53:P53">J52+J50+J48+J46+J44+J42+J40+J38+J36+J34+J32+J30+J28+J25+J23</f>
        <v>0</v>
      </c>
      <c r="K53" s="1294">
        <f t="shared" si="1"/>
        <v>197850</v>
      </c>
      <c r="L53" s="1294">
        <f t="shared" si="1"/>
        <v>165075</v>
      </c>
      <c r="M53" s="1294">
        <f t="shared" si="1"/>
        <v>2664544</v>
      </c>
      <c r="N53" s="1294">
        <f t="shared" si="1"/>
        <v>0</v>
      </c>
      <c r="O53" s="1294">
        <f t="shared" si="1"/>
        <v>0</v>
      </c>
      <c r="P53" s="1294">
        <f t="shared" si="1"/>
        <v>3027469</v>
      </c>
      <c r="Q53" s="1291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  <c r="CZ53" s="463"/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3"/>
      <c r="EF53" s="463"/>
      <c r="EG53" s="463"/>
      <c r="EH53" s="463"/>
      <c r="EI53" s="463"/>
      <c r="EJ53" s="463"/>
      <c r="EK53" s="463"/>
      <c r="EL53" s="463"/>
      <c r="EM53" s="463"/>
      <c r="EN53" s="463"/>
      <c r="EO53" s="463"/>
      <c r="EP53" s="463"/>
      <c r="EQ53" s="463"/>
      <c r="ER53" s="463"/>
      <c r="ES53" s="463"/>
      <c r="ET53" s="463"/>
      <c r="EU53" s="463"/>
      <c r="EV53" s="463"/>
      <c r="EW53" s="463"/>
      <c r="EX53" s="463"/>
      <c r="EY53" s="463"/>
      <c r="EZ53" s="463"/>
      <c r="FA53" s="463"/>
      <c r="FB53" s="463"/>
      <c r="FC53" s="463"/>
      <c r="FD53" s="463"/>
      <c r="FE53" s="463"/>
      <c r="FF53" s="463"/>
      <c r="FG53" s="463"/>
      <c r="FH53" s="463"/>
      <c r="FI53" s="463"/>
      <c r="FJ53" s="463"/>
      <c r="FK53" s="463"/>
      <c r="FL53" s="463"/>
      <c r="FM53" s="463"/>
      <c r="FN53" s="463"/>
      <c r="FO53" s="463"/>
      <c r="FP53" s="463"/>
      <c r="FQ53" s="463"/>
      <c r="FR53" s="463"/>
      <c r="FS53" s="463"/>
      <c r="FT53" s="463"/>
      <c r="FU53" s="463"/>
      <c r="FV53" s="463"/>
      <c r="FW53" s="463"/>
      <c r="FX53" s="463"/>
      <c r="FY53" s="463"/>
      <c r="FZ53" s="463"/>
      <c r="GA53" s="463"/>
      <c r="GB53" s="463"/>
      <c r="GC53" s="463"/>
      <c r="GD53" s="463"/>
      <c r="GE53" s="463"/>
      <c r="GF53" s="463"/>
      <c r="GG53" s="463"/>
      <c r="GH53" s="463"/>
      <c r="GI53" s="463"/>
      <c r="GJ53" s="463"/>
      <c r="GK53" s="463"/>
      <c r="GL53" s="463"/>
      <c r="GM53" s="463"/>
      <c r="GN53" s="463"/>
      <c r="GO53" s="463"/>
      <c r="GP53" s="463"/>
      <c r="GQ53" s="463"/>
      <c r="GR53" s="463"/>
      <c r="GS53" s="463"/>
      <c r="GT53" s="463"/>
      <c r="GU53" s="463"/>
      <c r="GV53" s="463"/>
      <c r="GW53" s="463"/>
      <c r="GX53" s="463"/>
      <c r="GY53" s="463"/>
      <c r="GZ53" s="463"/>
      <c r="HA53" s="463"/>
      <c r="HB53" s="463"/>
      <c r="HC53" s="463"/>
      <c r="HD53" s="463"/>
      <c r="HE53" s="463"/>
      <c r="HF53" s="463"/>
      <c r="HG53" s="463"/>
      <c r="HH53" s="463"/>
      <c r="HI53" s="463"/>
      <c r="HJ53" s="463"/>
      <c r="HK53" s="463"/>
      <c r="HL53" s="463"/>
      <c r="HM53" s="463"/>
      <c r="HN53" s="463"/>
      <c r="HO53" s="463"/>
      <c r="HP53" s="463"/>
      <c r="HQ53" s="463"/>
      <c r="HR53" s="463"/>
      <c r="HS53" s="463"/>
      <c r="HT53" s="463"/>
      <c r="HU53" s="463"/>
      <c r="HV53" s="463"/>
      <c r="HW53" s="463"/>
      <c r="HX53" s="463"/>
      <c r="HY53" s="463"/>
      <c r="HZ53" s="463"/>
      <c r="IA53" s="463"/>
      <c r="IB53" s="463"/>
      <c r="IC53" s="463"/>
      <c r="ID53" s="463"/>
      <c r="IE53" s="463"/>
      <c r="IF53" s="463"/>
      <c r="IG53" s="463"/>
      <c r="IH53" s="463"/>
      <c r="II53" s="463"/>
      <c r="IJ53" s="463"/>
      <c r="IK53" s="463"/>
      <c r="IL53" s="463"/>
      <c r="IM53" s="463"/>
      <c r="IN53" s="463"/>
      <c r="IO53" s="463"/>
      <c r="IP53" s="463"/>
      <c r="IQ53" s="463"/>
      <c r="IR53" s="463"/>
      <c r="IS53" s="463"/>
      <c r="IT53" s="463"/>
      <c r="IU53" s="463"/>
      <c r="IV53" s="463"/>
    </row>
    <row r="54" spans="1:17" s="468" customFormat="1" ht="36" customHeight="1" thickBot="1">
      <c r="A54" s="880">
        <v>46</v>
      </c>
      <c r="B54" s="1702" t="s">
        <v>13</v>
      </c>
      <c r="C54" s="1703"/>
      <c r="D54" s="1703"/>
      <c r="E54" s="1703"/>
      <c r="F54" s="1703"/>
      <c r="G54" s="1704"/>
      <c r="H54" s="884"/>
      <c r="I54" s="1295">
        <f aca="true" t="shared" si="2" ref="I54:P54">I53+I20</f>
        <v>1000</v>
      </c>
      <c r="J54" s="1295">
        <f t="shared" si="2"/>
        <v>500</v>
      </c>
      <c r="K54" s="1295">
        <f t="shared" si="2"/>
        <v>516546</v>
      </c>
      <c r="L54" s="1295">
        <f t="shared" si="2"/>
        <v>165075</v>
      </c>
      <c r="M54" s="1295">
        <f t="shared" si="2"/>
        <v>2703044</v>
      </c>
      <c r="N54" s="1295">
        <f t="shared" si="2"/>
        <v>68500</v>
      </c>
      <c r="O54" s="1295">
        <f t="shared" si="2"/>
        <v>0</v>
      </c>
      <c r="P54" s="1295">
        <f t="shared" si="2"/>
        <v>3454665</v>
      </c>
      <c r="Q54" s="1296"/>
    </row>
    <row r="55" spans="2:16" ht="18" customHeight="1">
      <c r="B55" s="871" t="s">
        <v>27</v>
      </c>
      <c r="C55" s="872"/>
      <c r="D55" s="871"/>
      <c r="E55" s="477"/>
      <c r="F55" s="478"/>
      <c r="G55" s="477"/>
      <c r="H55" s="858"/>
      <c r="I55" s="477"/>
      <c r="J55" s="477"/>
      <c r="K55" s="477"/>
      <c r="L55" s="477"/>
      <c r="M55" s="477"/>
      <c r="N55" s="477"/>
      <c r="O55" s="477"/>
      <c r="P55" s="882"/>
    </row>
    <row r="56" spans="2:16" ht="18" customHeight="1">
      <c r="B56" s="871" t="s">
        <v>28</v>
      </c>
      <c r="C56" s="872"/>
      <c r="D56" s="871"/>
      <c r="E56" s="714"/>
      <c r="F56" s="478"/>
      <c r="G56" s="477"/>
      <c r="H56" s="858"/>
      <c r="I56" s="477"/>
      <c r="J56" s="477"/>
      <c r="K56" s="477"/>
      <c r="L56" s="477"/>
      <c r="M56" s="477"/>
      <c r="N56" s="477"/>
      <c r="O56" s="477"/>
      <c r="P56" s="882"/>
    </row>
    <row r="57" spans="2:16" ht="18" customHeight="1">
      <c r="B57" s="871" t="s">
        <v>29</v>
      </c>
      <c r="C57" s="872"/>
      <c r="D57" s="871"/>
      <c r="E57" s="714"/>
      <c r="F57" s="478"/>
      <c r="G57" s="477"/>
      <c r="H57" s="858"/>
      <c r="I57" s="477"/>
      <c r="J57" s="477"/>
      <c r="K57" s="477"/>
      <c r="L57" s="477"/>
      <c r="M57" s="477"/>
      <c r="N57" s="477"/>
      <c r="O57" s="477"/>
      <c r="P57" s="882"/>
    </row>
    <row r="58" spans="2:3" ht="17.25">
      <c r="B58" s="474" t="s">
        <v>1002</v>
      </c>
      <c r="C58" s="474"/>
    </row>
  </sheetData>
  <sheetProtection/>
  <mergeCells count="18">
    <mergeCell ref="R6:S6"/>
    <mergeCell ref="I7:L7"/>
    <mergeCell ref="M7:O7"/>
    <mergeCell ref="P7:P8"/>
    <mergeCell ref="B54:G54"/>
    <mergeCell ref="A1:D1"/>
    <mergeCell ref="I1:Q1"/>
    <mergeCell ref="A2:Q2"/>
    <mergeCell ref="A3:Q3"/>
    <mergeCell ref="B6:B8"/>
    <mergeCell ref="C6:C8"/>
    <mergeCell ref="D6:D8"/>
    <mergeCell ref="E6:E8"/>
    <mergeCell ref="F6:F8"/>
    <mergeCell ref="G6:G8"/>
    <mergeCell ref="H6:H8"/>
    <mergeCell ref="I6:P6"/>
    <mergeCell ref="Q6:Q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Normal="75" zoomScaleSheetLayoutView="100" zoomScalePageLayoutView="0" workbookViewId="0" topLeftCell="A1">
      <selection activeCell="B1" sqref="B1:C1"/>
    </sheetView>
  </sheetViews>
  <sheetFormatPr defaultColWidth="9.125" defaultRowHeight="12.75"/>
  <cols>
    <col min="1" max="1" width="5.75390625" style="147" customWidth="1"/>
    <col min="2" max="2" width="4.75390625" style="479" customWidth="1"/>
    <col min="3" max="3" width="63.75390625" style="149" customWidth="1"/>
    <col min="4" max="4" width="21.75390625" style="2" customWidth="1"/>
    <col min="5" max="5" width="5.75390625" style="479" customWidth="1"/>
    <col min="6" max="6" width="63.75390625" style="149" customWidth="1"/>
    <col min="7" max="7" width="21.75390625" style="2" customWidth="1"/>
    <col min="8" max="16384" width="9.125" style="149" customWidth="1"/>
  </cols>
  <sheetData>
    <row r="1" spans="1:7" s="1" customFormat="1" ht="18" customHeight="1">
      <c r="A1" s="257"/>
      <c r="B1" s="1731" t="s">
        <v>1017</v>
      </c>
      <c r="C1" s="1731"/>
      <c r="D1" s="523"/>
      <c r="E1" s="524"/>
      <c r="G1" s="523"/>
    </row>
    <row r="2" spans="1:7" s="1" customFormat="1" ht="24.75" customHeight="1">
      <c r="A2" s="257"/>
      <c r="B2" s="1511" t="s">
        <v>218</v>
      </c>
      <c r="C2" s="1511"/>
      <c r="D2" s="1511"/>
      <c r="E2" s="1511"/>
      <c r="F2" s="1511"/>
      <c r="G2" s="1511"/>
    </row>
    <row r="3" spans="1:7" s="1" customFormat="1" ht="24.75" customHeight="1">
      <c r="A3" s="257"/>
      <c r="B3" s="1511" t="s">
        <v>690</v>
      </c>
      <c r="C3" s="1511"/>
      <c r="D3" s="1511"/>
      <c r="E3" s="1511"/>
      <c r="F3" s="1511"/>
      <c r="G3" s="1511"/>
    </row>
    <row r="4" spans="1:7" s="1188" customFormat="1" ht="18" customHeight="1">
      <c r="A4" s="1186"/>
      <c r="B4" s="1187"/>
      <c r="C4" s="1187"/>
      <c r="D4" s="1187"/>
      <c r="E4" s="1187"/>
      <c r="F4" s="1187"/>
      <c r="G4" s="156" t="s">
        <v>0</v>
      </c>
    </row>
    <row r="5" spans="2:7" s="1185" customFormat="1" ht="18" customHeight="1" thickBot="1">
      <c r="B5" s="1185" t="s">
        <v>1</v>
      </c>
      <c r="C5" s="1185" t="s">
        <v>421</v>
      </c>
      <c r="D5" s="1185" t="s">
        <v>2</v>
      </c>
      <c r="E5" s="1185" t="s">
        <v>4</v>
      </c>
      <c r="F5" s="1185" t="s">
        <v>5</v>
      </c>
      <c r="G5" s="131" t="s">
        <v>15</v>
      </c>
    </row>
    <row r="6" spans="1:7" ht="34.5">
      <c r="A6" s="147">
        <v>1</v>
      </c>
      <c r="B6" s="525"/>
      <c r="C6" s="526" t="s">
        <v>219</v>
      </c>
      <c r="D6" s="527" t="s">
        <v>691</v>
      </c>
      <c r="E6" s="528"/>
      <c r="F6" s="529" t="s">
        <v>220</v>
      </c>
      <c r="G6" s="530" t="s">
        <v>692</v>
      </c>
    </row>
    <row r="7" spans="1:7" ht="15" customHeight="1">
      <c r="A7" s="147">
        <v>2</v>
      </c>
      <c r="B7" s="126" t="s">
        <v>130</v>
      </c>
      <c r="C7" s="149" t="s">
        <v>221</v>
      </c>
      <c r="D7" s="531">
        <f>'1.Onbe'!J8+'1.Onbe'!J14</f>
        <v>4640257</v>
      </c>
      <c r="E7" s="532" t="s">
        <v>130</v>
      </c>
      <c r="F7" s="149" t="s">
        <v>40</v>
      </c>
      <c r="G7" s="545">
        <f>'4.Inki'!K126+'6.Önk.műk.'!J504+'9.Projekt'!I86+'10.MVP és hazai'!I36+'11.EKF'!I54</f>
        <v>4606337</v>
      </c>
    </row>
    <row r="8" spans="1:7" ht="15" customHeight="1">
      <c r="A8" s="147">
        <v>3</v>
      </c>
      <c r="B8" s="126" t="s">
        <v>137</v>
      </c>
      <c r="C8" s="149" t="s">
        <v>179</v>
      </c>
      <c r="D8" s="531">
        <f>'1.Onbe'!J15</f>
        <v>7945120</v>
      </c>
      <c r="E8" s="532" t="s">
        <v>137</v>
      </c>
      <c r="F8" s="149" t="s">
        <v>222</v>
      </c>
      <c r="G8" s="545">
        <f>'4.Inki'!L126+'6.Önk.műk.'!K504+'9.Projekt'!J86+'10.MVP és hazai'!J36+'11.EKF'!J54</f>
        <v>881200</v>
      </c>
    </row>
    <row r="9" spans="1:7" ht="16.5">
      <c r="A9" s="147">
        <v>4</v>
      </c>
      <c r="B9" s="126" t="s">
        <v>138</v>
      </c>
      <c r="C9" s="533" t="s">
        <v>146</v>
      </c>
      <c r="D9" s="531">
        <f>'1.Onbe'!J25+'1.Onbe'!J30</f>
        <v>2529882</v>
      </c>
      <c r="E9" s="532" t="s">
        <v>138</v>
      </c>
      <c r="F9" s="149" t="s">
        <v>42</v>
      </c>
      <c r="G9" s="545">
        <f>'4.Inki'!M126+'6.Önk.műk.'!L504+'7.Beruh.'!I60+'8.Felúj.'!I46+'9.Projekt'!K86+'10.MVP és hazai'!K36+'11.EKF'!K54</f>
        <v>5506893</v>
      </c>
    </row>
    <row r="10" spans="1:7" ht="16.5">
      <c r="A10" s="147">
        <v>5</v>
      </c>
      <c r="B10" s="126" t="s">
        <v>139</v>
      </c>
      <c r="C10" s="149" t="s">
        <v>184</v>
      </c>
      <c r="D10" s="531">
        <f>'1.Onbe'!J31+'1.Onbe'!J32</f>
        <v>0</v>
      </c>
      <c r="E10" s="534" t="s">
        <v>139</v>
      </c>
      <c r="F10" s="149" t="s">
        <v>223</v>
      </c>
      <c r="G10" s="545">
        <f>'4.Inki'!N126+'6.Önk.műk.'!M504</f>
        <v>23248</v>
      </c>
    </row>
    <row r="11" spans="1:7" ht="16.5">
      <c r="A11" s="147">
        <v>6</v>
      </c>
      <c r="B11" s="126"/>
      <c r="C11" s="533"/>
      <c r="D11" s="531"/>
      <c r="E11" s="534" t="s">
        <v>140</v>
      </c>
      <c r="F11" s="151" t="s">
        <v>224</v>
      </c>
      <c r="G11" s="545">
        <f>'4.Inki'!O126+'6.Önk.műk.'!N504+'9.Projekt'!L86+'10.MVP és hazai'!L36+'11.EKF'!L54</f>
        <v>3609806</v>
      </c>
    </row>
    <row r="12" spans="1:7" ht="16.5">
      <c r="A12" s="147">
        <v>7</v>
      </c>
      <c r="B12" s="126"/>
      <c r="C12" s="533"/>
      <c r="D12" s="531"/>
      <c r="E12" s="534" t="s">
        <v>225</v>
      </c>
      <c r="F12" s="151" t="s">
        <v>605</v>
      </c>
      <c r="G12" s="545">
        <f>'2.Onki'!J15+'2.Onki'!J25</f>
        <v>313087</v>
      </c>
    </row>
    <row r="13" spans="1:7" s="1" customFormat="1" ht="24.75" customHeight="1">
      <c r="A13" s="147">
        <v>8</v>
      </c>
      <c r="B13" s="535"/>
      <c r="C13" s="536" t="s">
        <v>226</v>
      </c>
      <c r="D13" s="537">
        <f>SUM(D7:D12)</f>
        <v>15115259</v>
      </c>
      <c r="E13" s="538"/>
      <c r="F13" s="536" t="s">
        <v>227</v>
      </c>
      <c r="G13" s="539">
        <f>SUM(G7:G12)</f>
        <v>14940571</v>
      </c>
    </row>
    <row r="14" spans="1:7" ht="24.75" customHeight="1">
      <c r="A14" s="147">
        <v>9</v>
      </c>
      <c r="B14" s="540"/>
      <c r="C14" s="193" t="s">
        <v>228</v>
      </c>
      <c r="D14" s="576"/>
      <c r="E14" s="541"/>
      <c r="F14" s="193" t="s">
        <v>229</v>
      </c>
      <c r="G14" s="586"/>
    </row>
    <row r="15" spans="1:8" ht="16.5">
      <c r="A15" s="147">
        <v>10</v>
      </c>
      <c r="B15" s="123" t="s">
        <v>130</v>
      </c>
      <c r="C15" s="542" t="s">
        <v>230</v>
      </c>
      <c r="D15" s="543">
        <f>'1.Onbe'!J34+'1.Onbe'!J37</f>
        <v>8166069</v>
      </c>
      <c r="E15" s="544" t="s">
        <v>130</v>
      </c>
      <c r="F15" s="542" t="s">
        <v>231</v>
      </c>
      <c r="G15" s="545">
        <f>'2.Onki'!J10+'2.Onki'!J27</f>
        <v>21289183</v>
      </c>
      <c r="H15" s="2">
        <f>+G15-'2.Onki'!J27-'2.Onki'!J10</f>
        <v>0</v>
      </c>
    </row>
    <row r="16" spans="1:8" ht="16.5">
      <c r="A16" s="147">
        <v>11</v>
      </c>
      <c r="B16" s="123" t="s">
        <v>137</v>
      </c>
      <c r="C16" s="542" t="s">
        <v>190</v>
      </c>
      <c r="D16" s="543">
        <f>'1.Onbe'!J38+'1.Onbe'!J40</f>
        <v>197543</v>
      </c>
      <c r="E16" s="544" t="s">
        <v>137</v>
      </c>
      <c r="F16" s="542" t="s">
        <v>164</v>
      </c>
      <c r="G16" s="545">
        <f>'2.Onki'!J28</f>
        <v>549493</v>
      </c>
      <c r="H16" s="2">
        <f>+G16-'2.Onki'!J28</f>
        <v>0</v>
      </c>
    </row>
    <row r="17" spans="1:8" ht="16.5">
      <c r="A17" s="147">
        <v>12</v>
      </c>
      <c r="B17" s="123" t="s">
        <v>138</v>
      </c>
      <c r="C17" s="149" t="s">
        <v>193</v>
      </c>
      <c r="D17" s="543">
        <f>'1.Onbe'!J41+'1.Onbe'!J42</f>
        <v>0</v>
      </c>
      <c r="E17" s="544" t="s">
        <v>138</v>
      </c>
      <c r="F17" s="542" t="s">
        <v>232</v>
      </c>
      <c r="G17" s="545">
        <f>'2.Onki'!J29</f>
        <v>388439</v>
      </c>
      <c r="H17" s="2">
        <f>+G17-'2.Onki'!J29</f>
        <v>0</v>
      </c>
    </row>
    <row r="18" spans="1:7" ht="16.5">
      <c r="A18" s="147">
        <v>13</v>
      </c>
      <c r="B18" s="123"/>
      <c r="D18" s="543"/>
      <c r="E18" s="544" t="s">
        <v>139</v>
      </c>
      <c r="F18" s="542" t="s">
        <v>606</v>
      </c>
      <c r="G18" s="545">
        <f>'2.Onki'!J21</f>
        <v>384588</v>
      </c>
    </row>
    <row r="19" spans="1:7" s="1" customFormat="1" ht="24.75" customHeight="1" thickBot="1">
      <c r="A19" s="147">
        <v>14</v>
      </c>
      <c r="B19" s="546"/>
      <c r="C19" s="547" t="s">
        <v>233</v>
      </c>
      <c r="D19" s="577">
        <f>SUM(D15:D18)</f>
        <v>8363612</v>
      </c>
      <c r="E19" s="548"/>
      <c r="F19" s="547" t="s">
        <v>234</v>
      </c>
      <c r="G19" s="549">
        <f>SUM(G15:G18)</f>
        <v>22611703</v>
      </c>
    </row>
    <row r="20" spans="1:7" s="1" customFormat="1" ht="24.75" customHeight="1" thickBot="1" thickTop="1">
      <c r="A20" s="147">
        <v>15</v>
      </c>
      <c r="B20" s="550"/>
      <c r="C20" s="551" t="s">
        <v>196</v>
      </c>
      <c r="D20" s="578">
        <f>SUM(D13,D19)</f>
        <v>23478871</v>
      </c>
      <c r="E20" s="552"/>
      <c r="F20" s="551" t="s">
        <v>211</v>
      </c>
      <c r="G20" s="587">
        <f>SUM(G13,G19)</f>
        <v>37552274</v>
      </c>
    </row>
    <row r="21" spans="1:7" s="1" customFormat="1" ht="24.75" customHeight="1" thickTop="1">
      <c r="A21" s="147">
        <v>16</v>
      </c>
      <c r="B21" s="553"/>
      <c r="C21" s="193" t="s">
        <v>235</v>
      </c>
      <c r="D21" s="579"/>
      <c r="E21" s="554"/>
      <c r="F21" s="193" t="s">
        <v>236</v>
      </c>
      <c r="G21" s="588"/>
    </row>
    <row r="22" spans="1:7" s="1" customFormat="1" ht="16.5">
      <c r="A22" s="147">
        <v>17</v>
      </c>
      <c r="B22" s="27" t="s">
        <v>130</v>
      </c>
      <c r="C22" s="1" t="s">
        <v>237</v>
      </c>
      <c r="D22" s="579"/>
      <c r="E22" s="554" t="s">
        <v>130</v>
      </c>
      <c r="F22" s="1" t="s">
        <v>238</v>
      </c>
      <c r="G22" s="588">
        <v>0</v>
      </c>
    </row>
    <row r="23" spans="1:7" s="1" customFormat="1" ht="16.5">
      <c r="A23" s="147">
        <v>18</v>
      </c>
      <c r="B23" s="27" t="s">
        <v>137</v>
      </c>
      <c r="C23" s="1" t="s">
        <v>311</v>
      </c>
      <c r="D23" s="579">
        <f>'1.Onbe'!J50</f>
        <v>1081085</v>
      </c>
      <c r="E23" s="554" t="s">
        <v>137</v>
      </c>
      <c r="F23" s="1" t="s">
        <v>266</v>
      </c>
      <c r="G23" s="588">
        <f>'2.Onki'!J36</f>
        <v>111267</v>
      </c>
    </row>
    <row r="24" spans="1:7" s="1" customFormat="1" ht="16.5">
      <c r="A24" s="147">
        <v>19</v>
      </c>
      <c r="B24" s="27" t="s">
        <v>138</v>
      </c>
      <c r="C24" s="1" t="s">
        <v>265</v>
      </c>
      <c r="D24" s="579">
        <f>'1.Onbe'!J48</f>
        <v>0</v>
      </c>
      <c r="E24" s="554"/>
      <c r="G24" s="588"/>
    </row>
    <row r="25" spans="1:7" s="1" customFormat="1" ht="24" customHeight="1">
      <c r="A25" s="147">
        <v>20</v>
      </c>
      <c r="B25" s="553"/>
      <c r="C25" s="193" t="s">
        <v>239</v>
      </c>
      <c r="D25" s="579"/>
      <c r="E25" s="554"/>
      <c r="F25" s="193" t="s">
        <v>240</v>
      </c>
      <c r="G25" s="588"/>
    </row>
    <row r="26" spans="1:7" s="1" customFormat="1" ht="16.5">
      <c r="A26" s="147">
        <v>21</v>
      </c>
      <c r="B26" s="27" t="s">
        <v>139</v>
      </c>
      <c r="C26" s="1" t="s">
        <v>241</v>
      </c>
      <c r="D26" s="579">
        <f>'1.Onbe'!J61+'1.Onbe'!J60</f>
        <v>1409800</v>
      </c>
      <c r="E26" s="554" t="s">
        <v>138</v>
      </c>
      <c r="F26" s="1" t="s">
        <v>242</v>
      </c>
      <c r="G26" s="588">
        <f>'2.Onki'!J38</f>
        <v>108504</v>
      </c>
    </row>
    <row r="27" spans="1:7" s="1" customFormat="1" ht="16.5">
      <c r="A27" s="147">
        <v>22</v>
      </c>
      <c r="B27" s="27" t="s">
        <v>140</v>
      </c>
      <c r="C27" s="1" t="s">
        <v>237</v>
      </c>
      <c r="D27" s="579"/>
      <c r="E27" s="554" t="s">
        <v>139</v>
      </c>
      <c r="F27" s="1" t="s">
        <v>238</v>
      </c>
      <c r="G27" s="588"/>
    </row>
    <row r="28" spans="1:7" s="1" customFormat="1" ht="16.5">
      <c r="A28" s="147">
        <v>23</v>
      </c>
      <c r="B28" s="27" t="s">
        <v>225</v>
      </c>
      <c r="C28" s="1" t="s">
        <v>311</v>
      </c>
      <c r="D28" s="579">
        <f>'1.Onbe'!J54</f>
        <v>11802289</v>
      </c>
      <c r="E28" s="554"/>
      <c r="G28" s="588"/>
    </row>
    <row r="29" spans="1:36" s="556" customFormat="1" ht="24.75" customHeight="1" thickBot="1">
      <c r="A29" s="147">
        <v>24</v>
      </c>
      <c r="B29" s="419"/>
      <c r="C29" s="279" t="s">
        <v>243</v>
      </c>
      <c r="D29" s="580">
        <f>SUM(D21:D28)</f>
        <v>14293174</v>
      </c>
      <c r="E29" s="555"/>
      <c r="F29" s="279" t="s">
        <v>244</v>
      </c>
      <c r="G29" s="589">
        <f>SUM(G21:G28)</f>
        <v>219771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7" s="1" customFormat="1" ht="30" customHeight="1" thickBot="1" thickTop="1">
      <c r="A30" s="147">
        <v>25</v>
      </c>
      <c r="B30" s="557"/>
      <c r="C30" s="279" t="s">
        <v>245</v>
      </c>
      <c r="D30" s="577">
        <f>SUM(D20,D29)</f>
        <v>37772045</v>
      </c>
      <c r="E30" s="558"/>
      <c r="F30" s="279" t="s">
        <v>246</v>
      </c>
      <c r="G30" s="549">
        <f>SUM(G20,G29)</f>
        <v>37772045</v>
      </c>
    </row>
    <row r="31" spans="1:7" s="1" customFormat="1" ht="18" thickTop="1">
      <c r="A31" s="147">
        <v>26</v>
      </c>
      <c r="B31" s="559"/>
      <c r="C31" s="560" t="s">
        <v>197</v>
      </c>
      <c r="D31" s="581">
        <f>+D20-G20</f>
        <v>-14073403</v>
      </c>
      <c r="E31" s="561"/>
      <c r="F31" s="562"/>
      <c r="G31" s="588"/>
    </row>
    <row r="32" spans="1:7" s="1" customFormat="1" ht="17.25">
      <c r="A32" s="147">
        <v>27</v>
      </c>
      <c r="B32" s="563"/>
      <c r="C32" s="564" t="s">
        <v>247</v>
      </c>
      <c r="D32" s="582">
        <f>+D13-G13</f>
        <v>174688</v>
      </c>
      <c r="E32" s="561"/>
      <c r="F32" s="562"/>
      <c r="G32" s="588"/>
    </row>
    <row r="33" spans="1:7" s="1" customFormat="1" ht="17.25">
      <c r="A33" s="147">
        <v>28</v>
      </c>
      <c r="B33" s="563"/>
      <c r="C33" s="564" t="s">
        <v>248</v>
      </c>
      <c r="D33" s="582">
        <f>+D19-G19</f>
        <v>-14248091</v>
      </c>
      <c r="E33" s="561"/>
      <c r="F33" s="562"/>
      <c r="G33" s="588"/>
    </row>
    <row r="34" spans="1:7" s="1" customFormat="1" ht="17.25">
      <c r="A34" s="147">
        <v>29</v>
      </c>
      <c r="B34" s="563"/>
      <c r="C34" s="565" t="s">
        <v>249</v>
      </c>
      <c r="D34" s="582">
        <f>+D31-G29</f>
        <v>-14293174</v>
      </c>
      <c r="E34" s="561"/>
      <c r="F34" s="562"/>
      <c r="G34" s="588"/>
    </row>
    <row r="35" spans="1:7" s="1" customFormat="1" ht="32.25" customHeight="1">
      <c r="A35" s="147">
        <v>30</v>
      </c>
      <c r="B35" s="563"/>
      <c r="C35" s="566" t="s">
        <v>466</v>
      </c>
      <c r="D35" s="582">
        <f>D28+D23</f>
        <v>12883374</v>
      </c>
      <c r="E35" s="561"/>
      <c r="F35" s="562"/>
      <c r="G35" s="588"/>
    </row>
    <row r="36" spans="1:7" s="1" customFormat="1" ht="33.75" customHeight="1">
      <c r="A36" s="147">
        <v>31</v>
      </c>
      <c r="B36" s="567"/>
      <c r="C36" s="568" t="s">
        <v>467</v>
      </c>
      <c r="D36" s="583">
        <f>D26</f>
        <v>1409800</v>
      </c>
      <c r="E36" s="569"/>
      <c r="F36" s="570"/>
      <c r="G36" s="590"/>
    </row>
    <row r="37" spans="1:7" ht="19.5" customHeight="1">
      <c r="A37" s="147">
        <v>32</v>
      </c>
      <c r="B37" s="571"/>
      <c r="C37" s="149" t="s">
        <v>250</v>
      </c>
      <c r="D37" s="584">
        <f>(D13+D22+D23+D24)/D30</f>
        <v>0.4287918221001802</v>
      </c>
      <c r="E37" s="572"/>
      <c r="F37" s="149" t="s">
        <v>251</v>
      </c>
      <c r="G37" s="591">
        <f>(G13+G22+G23)/G30</f>
        <v>0.39849147696398224</v>
      </c>
    </row>
    <row r="38" spans="1:7" ht="19.5" customHeight="1" thickBot="1">
      <c r="A38" s="147">
        <v>33</v>
      </c>
      <c r="B38" s="573"/>
      <c r="C38" s="574" t="s">
        <v>252</v>
      </c>
      <c r="D38" s="585">
        <f>(D19+D26+D27+D28)/D30</f>
        <v>0.5712081778998198</v>
      </c>
      <c r="E38" s="575"/>
      <c r="F38" s="574" t="s">
        <v>253</v>
      </c>
      <c r="G38" s="592">
        <f>(G19+G26+G27)/G30</f>
        <v>0.6015085230360178</v>
      </c>
    </row>
    <row r="39" ht="16.5">
      <c r="F39" s="149" t="s">
        <v>254</v>
      </c>
    </row>
  </sheetData>
  <sheetProtection/>
  <mergeCells count="3">
    <mergeCell ref="B1:C1"/>
    <mergeCell ref="B2:G2"/>
    <mergeCell ref="B3:G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B1">
      <selection activeCell="B1" sqref="B1:D1"/>
    </sheetView>
  </sheetViews>
  <sheetFormatPr defaultColWidth="31.25390625" defaultRowHeight="12.75"/>
  <cols>
    <col min="1" max="1" width="3.75390625" style="133" customWidth="1"/>
    <col min="2" max="2" width="4.75390625" style="19" customWidth="1"/>
    <col min="3" max="3" width="50.75390625" style="39" customWidth="1"/>
    <col min="4" max="6" width="13.75390625" style="21" customWidth="1"/>
    <col min="7" max="7" width="30.75390625" style="22" customWidth="1"/>
    <col min="8" max="8" width="12.125" style="23" customWidth="1"/>
    <col min="9" max="9" width="12.875" style="23" customWidth="1"/>
    <col min="10" max="16384" width="31.25390625" style="23" customWidth="1"/>
  </cols>
  <sheetData>
    <row r="1" spans="1:7" ht="16.5">
      <c r="A1" s="291"/>
      <c r="B1" s="1732" t="s">
        <v>1018</v>
      </c>
      <c r="C1" s="1732"/>
      <c r="D1" s="1732"/>
      <c r="E1" s="20"/>
      <c r="G1" s="1189"/>
    </row>
    <row r="2" spans="1:7" ht="24.75" customHeight="1">
      <c r="A2" s="291"/>
      <c r="C2" s="1510" t="s">
        <v>122</v>
      </c>
      <c r="D2" s="1510"/>
      <c r="E2" s="1510"/>
      <c r="F2" s="1510"/>
      <c r="G2" s="1510"/>
    </row>
    <row r="3" spans="1:7" ht="24.75" customHeight="1">
      <c r="A3" s="291"/>
      <c r="B3" s="1510" t="s">
        <v>693</v>
      </c>
      <c r="C3" s="1510"/>
      <c r="D3" s="1510"/>
      <c r="E3" s="1510"/>
      <c r="F3" s="1510"/>
      <c r="G3" s="1510"/>
    </row>
    <row r="4" spans="1:7" s="135" customFormat="1" ht="18" customHeight="1" thickBot="1">
      <c r="A4" s="133"/>
      <c r="B4" s="132" t="s">
        <v>1</v>
      </c>
      <c r="C4" s="134" t="s">
        <v>3</v>
      </c>
      <c r="D4" s="22" t="s">
        <v>2</v>
      </c>
      <c r="E4" s="22" t="s">
        <v>4</v>
      </c>
      <c r="F4" s="22" t="s">
        <v>5</v>
      </c>
      <c r="G4" s="22" t="s">
        <v>15</v>
      </c>
    </row>
    <row r="5" spans="2:7" ht="72" customHeight="1" thickBot="1">
      <c r="B5" s="24" t="s">
        <v>18</v>
      </c>
      <c r="C5" s="25" t="s">
        <v>6</v>
      </c>
      <c r="D5" s="518" t="s">
        <v>550</v>
      </c>
      <c r="E5" s="518" t="s">
        <v>123</v>
      </c>
      <c r="F5" s="518" t="s">
        <v>694</v>
      </c>
      <c r="G5" s="26" t="s">
        <v>124</v>
      </c>
    </row>
    <row r="6" spans="1:7" s="125" customFormat="1" ht="21.75" customHeight="1" thickTop="1">
      <c r="A6" s="132">
        <v>1</v>
      </c>
      <c r="B6" s="126">
        <v>1</v>
      </c>
      <c r="C6" s="634" t="s">
        <v>315</v>
      </c>
      <c r="D6" s="519">
        <v>38</v>
      </c>
      <c r="E6" s="519"/>
      <c r="F6" s="519">
        <f aca="true" t="shared" si="0" ref="F6:F26">SUM(D6:E6)</f>
        <v>38</v>
      </c>
      <c r="G6" s="137"/>
    </row>
    <row r="7" spans="1:7" s="125" customFormat="1" ht="21.75" customHeight="1">
      <c r="A7" s="132">
        <v>2</v>
      </c>
      <c r="B7" s="126">
        <v>2</v>
      </c>
      <c r="C7" s="634" t="s">
        <v>314</v>
      </c>
      <c r="D7" s="519">
        <v>70</v>
      </c>
      <c r="E7" s="519"/>
      <c r="F7" s="519">
        <f t="shared" si="0"/>
        <v>70</v>
      </c>
      <c r="G7" s="137"/>
    </row>
    <row r="8" spans="1:7" s="125" customFormat="1" ht="21.75" customHeight="1">
      <c r="A8" s="132">
        <v>3</v>
      </c>
      <c r="B8" s="126">
        <v>3</v>
      </c>
      <c r="C8" s="634" t="s">
        <v>267</v>
      </c>
      <c r="D8" s="519">
        <v>83.5</v>
      </c>
      <c r="E8" s="519"/>
      <c r="F8" s="519">
        <f t="shared" si="0"/>
        <v>83.5</v>
      </c>
      <c r="G8" s="137"/>
    </row>
    <row r="9" spans="1:7" s="125" customFormat="1" ht="21.75" customHeight="1">
      <c r="A9" s="132">
        <v>4</v>
      </c>
      <c r="B9" s="126">
        <v>4</v>
      </c>
      <c r="C9" s="634" t="s">
        <v>268</v>
      </c>
      <c r="D9" s="519">
        <v>60</v>
      </c>
      <c r="E9" s="519"/>
      <c r="F9" s="519">
        <f t="shared" si="0"/>
        <v>60</v>
      </c>
      <c r="G9" s="137"/>
    </row>
    <row r="10" spans="1:7" s="125" customFormat="1" ht="21.75" customHeight="1">
      <c r="A10" s="132">
        <v>5</v>
      </c>
      <c r="B10" s="126">
        <v>5</v>
      </c>
      <c r="C10" s="634" t="s">
        <v>269</v>
      </c>
      <c r="D10" s="519">
        <v>61.5</v>
      </c>
      <c r="E10" s="519"/>
      <c r="F10" s="519">
        <f t="shared" si="0"/>
        <v>61.5</v>
      </c>
      <c r="G10" s="137"/>
    </row>
    <row r="11" spans="1:7" s="125" customFormat="1" ht="21.75" customHeight="1">
      <c r="A11" s="132">
        <v>6</v>
      </c>
      <c r="B11" s="126">
        <v>6</v>
      </c>
      <c r="C11" s="634" t="s">
        <v>270</v>
      </c>
      <c r="D11" s="519">
        <v>32.5</v>
      </c>
      <c r="E11" s="519">
        <v>0.5</v>
      </c>
      <c r="F11" s="519">
        <f t="shared" si="0"/>
        <v>33</v>
      </c>
      <c r="G11" s="137" t="s">
        <v>828</v>
      </c>
    </row>
    <row r="12" spans="1:7" s="127" customFormat="1" ht="21.75" customHeight="1">
      <c r="A12" s="132">
        <v>7</v>
      </c>
      <c r="B12" s="126"/>
      <c r="C12" s="128" t="s">
        <v>255</v>
      </c>
      <c r="D12" s="520">
        <v>2</v>
      </c>
      <c r="E12" s="520"/>
      <c r="F12" s="520">
        <f t="shared" si="0"/>
        <v>2</v>
      </c>
      <c r="G12" s="138"/>
    </row>
    <row r="13" spans="1:7" s="125" customFormat="1" ht="33">
      <c r="A13" s="132">
        <v>8</v>
      </c>
      <c r="B13" s="126">
        <v>7</v>
      </c>
      <c r="C13" s="636" t="s">
        <v>391</v>
      </c>
      <c r="D13" s="519">
        <v>205</v>
      </c>
      <c r="E13" s="519">
        <v>-5</v>
      </c>
      <c r="F13" s="519">
        <f t="shared" si="0"/>
        <v>200</v>
      </c>
      <c r="G13" s="693"/>
    </row>
    <row r="14" spans="1:7" ht="33" customHeight="1">
      <c r="A14" s="132">
        <v>9</v>
      </c>
      <c r="B14" s="126">
        <v>8</v>
      </c>
      <c r="C14" s="635" t="s">
        <v>125</v>
      </c>
      <c r="D14" s="519">
        <v>13.25</v>
      </c>
      <c r="E14" s="519"/>
      <c r="F14" s="519">
        <f t="shared" si="0"/>
        <v>13.25</v>
      </c>
      <c r="G14" s="139"/>
    </row>
    <row r="15" spans="1:7" ht="33" customHeight="1">
      <c r="A15" s="132">
        <v>10</v>
      </c>
      <c r="B15" s="126">
        <v>9</v>
      </c>
      <c r="C15" s="635" t="s">
        <v>551</v>
      </c>
      <c r="D15" s="519">
        <v>63</v>
      </c>
      <c r="E15" s="519"/>
      <c r="F15" s="519">
        <f t="shared" si="0"/>
        <v>63</v>
      </c>
      <c r="G15" s="139"/>
    </row>
    <row r="16" spans="1:7" s="127" customFormat="1" ht="21.75" customHeight="1">
      <c r="A16" s="132">
        <v>11</v>
      </c>
      <c r="B16" s="126"/>
      <c r="C16" s="128" t="s">
        <v>255</v>
      </c>
      <c r="D16" s="520">
        <v>0.16</v>
      </c>
      <c r="E16" s="520">
        <v>-0.16</v>
      </c>
      <c r="F16" s="520">
        <f t="shared" si="0"/>
        <v>0</v>
      </c>
      <c r="G16" s="138"/>
    </row>
    <row r="17" spans="1:7" ht="21.75" customHeight="1">
      <c r="A17" s="132">
        <v>12</v>
      </c>
      <c r="B17" s="123">
        <v>10</v>
      </c>
      <c r="C17" s="632" t="s">
        <v>552</v>
      </c>
      <c r="D17" s="28">
        <v>24.25</v>
      </c>
      <c r="E17" s="28"/>
      <c r="F17" s="28">
        <f t="shared" si="0"/>
        <v>24.25</v>
      </c>
      <c r="G17" s="139"/>
    </row>
    <row r="18" spans="1:7" ht="33" customHeight="1">
      <c r="A18" s="132">
        <v>13</v>
      </c>
      <c r="B18" s="126">
        <v>11</v>
      </c>
      <c r="C18" s="635" t="s">
        <v>533</v>
      </c>
      <c r="D18" s="28">
        <v>22</v>
      </c>
      <c r="E18" s="28"/>
      <c r="F18" s="28">
        <f t="shared" si="0"/>
        <v>22</v>
      </c>
      <c r="G18" s="139"/>
    </row>
    <row r="19" spans="1:7" s="125" customFormat="1" ht="21.75" customHeight="1">
      <c r="A19" s="132">
        <v>14</v>
      </c>
      <c r="B19" s="123">
        <v>12</v>
      </c>
      <c r="C19" s="124" t="s">
        <v>25</v>
      </c>
      <c r="D19" s="519">
        <v>51.5</v>
      </c>
      <c r="E19" s="519"/>
      <c r="F19" s="519">
        <f t="shared" si="0"/>
        <v>51.5</v>
      </c>
      <c r="G19" s="137"/>
    </row>
    <row r="20" spans="1:7" s="125" customFormat="1" ht="27.75" customHeight="1">
      <c r="A20" s="132">
        <v>15</v>
      </c>
      <c r="B20" s="123">
        <v>13</v>
      </c>
      <c r="C20" s="124" t="s">
        <v>34</v>
      </c>
      <c r="D20" s="519">
        <v>53</v>
      </c>
      <c r="E20" s="519"/>
      <c r="F20" s="519">
        <f t="shared" si="0"/>
        <v>53</v>
      </c>
      <c r="G20" s="142"/>
    </row>
    <row r="21" spans="1:7" s="127" customFormat="1" ht="34.5">
      <c r="A21" s="132">
        <v>17</v>
      </c>
      <c r="B21" s="126"/>
      <c r="C21" s="128" t="s">
        <v>994</v>
      </c>
      <c r="D21" s="520">
        <v>4</v>
      </c>
      <c r="E21" s="520">
        <v>-4</v>
      </c>
      <c r="F21" s="520">
        <f t="shared" si="0"/>
        <v>0</v>
      </c>
      <c r="G21" s="142"/>
    </row>
    <row r="22" spans="1:7" s="127" customFormat="1" ht="34.5">
      <c r="A22" s="132">
        <v>16</v>
      </c>
      <c r="B22" s="126"/>
      <c r="C22" s="128" t="s">
        <v>993</v>
      </c>
      <c r="D22" s="520"/>
      <c r="E22" s="520">
        <v>6</v>
      </c>
      <c r="F22" s="520">
        <f t="shared" si="0"/>
        <v>6</v>
      </c>
      <c r="G22" s="128" t="s">
        <v>992</v>
      </c>
    </row>
    <row r="23" spans="1:7" ht="21.75" customHeight="1">
      <c r="A23" s="132">
        <v>18</v>
      </c>
      <c r="B23" s="123">
        <v>14</v>
      </c>
      <c r="C23" s="632" t="s">
        <v>538</v>
      </c>
      <c r="D23" s="519">
        <v>20.5</v>
      </c>
      <c r="E23" s="519"/>
      <c r="F23" s="519">
        <f t="shared" si="0"/>
        <v>20.5</v>
      </c>
      <c r="G23" s="139"/>
    </row>
    <row r="24" spans="1:7" s="127" customFormat="1" ht="21.75" customHeight="1">
      <c r="A24" s="132">
        <v>19</v>
      </c>
      <c r="B24" s="126"/>
      <c r="C24" s="128" t="s">
        <v>255</v>
      </c>
      <c r="D24" s="520">
        <v>1.75</v>
      </c>
      <c r="E24" s="520">
        <v>0.25</v>
      </c>
      <c r="F24" s="520">
        <f t="shared" si="0"/>
        <v>2</v>
      </c>
      <c r="G24" s="138"/>
    </row>
    <row r="25" spans="1:7" s="125" customFormat="1" ht="21.75" customHeight="1">
      <c r="A25" s="132">
        <v>20</v>
      </c>
      <c r="B25" s="123">
        <v>15</v>
      </c>
      <c r="C25" s="124" t="s">
        <v>157</v>
      </c>
      <c r="D25" s="519">
        <v>102</v>
      </c>
      <c r="E25" s="519"/>
      <c r="F25" s="519">
        <f t="shared" si="0"/>
        <v>102</v>
      </c>
      <c r="G25" s="137"/>
    </row>
    <row r="26" spans="1:7" ht="21.75" customHeight="1" thickBot="1">
      <c r="A26" s="132">
        <v>21</v>
      </c>
      <c r="B26" s="633">
        <v>16</v>
      </c>
      <c r="C26" s="727" t="s">
        <v>271</v>
      </c>
      <c r="D26" s="728">
        <v>53.25</v>
      </c>
      <c r="E26" s="728"/>
      <c r="F26" s="728">
        <f t="shared" si="0"/>
        <v>53.25</v>
      </c>
      <c r="G26" s="729"/>
    </row>
    <row r="27" spans="1:7" ht="30" customHeight="1" thickBot="1" thickTop="1">
      <c r="A27" s="132">
        <v>22</v>
      </c>
      <c r="B27" s="31"/>
      <c r="C27" s="32" t="s">
        <v>126</v>
      </c>
      <c r="D27" s="521">
        <f>SUM(D6:D26)</f>
        <v>961.16</v>
      </c>
      <c r="E27" s="521">
        <f>SUM(E6:E26)</f>
        <v>-2.41</v>
      </c>
      <c r="F27" s="521">
        <f>SUM(F6:F26)</f>
        <v>958.75</v>
      </c>
      <c r="G27" s="140"/>
    </row>
    <row r="28" spans="1:7" ht="21.75" customHeight="1">
      <c r="A28" s="132">
        <v>23</v>
      </c>
      <c r="B28" s="123">
        <v>17</v>
      </c>
      <c r="C28" s="632" t="s">
        <v>26</v>
      </c>
      <c r="D28" s="28">
        <v>200</v>
      </c>
      <c r="E28" s="28"/>
      <c r="F28" s="28">
        <f>SUM(D28:E28)</f>
        <v>200</v>
      </c>
      <c r="G28" s="139"/>
    </row>
    <row r="29" spans="1:7" ht="21.75" customHeight="1">
      <c r="A29" s="132">
        <v>24</v>
      </c>
      <c r="B29" s="123">
        <v>18</v>
      </c>
      <c r="C29" s="632" t="s">
        <v>127</v>
      </c>
      <c r="D29" s="1"/>
      <c r="E29" s="1"/>
      <c r="F29" s="1">
        <f>SUM(D29:E29)</f>
        <v>0</v>
      </c>
      <c r="G29" s="141" t="s">
        <v>254</v>
      </c>
    </row>
    <row r="30" spans="1:7" ht="21.75" customHeight="1">
      <c r="A30" s="132">
        <v>25</v>
      </c>
      <c r="B30" s="27"/>
      <c r="C30" s="208" t="s">
        <v>327</v>
      </c>
      <c r="D30" s="28">
        <v>3</v>
      </c>
      <c r="E30" s="28"/>
      <c r="F30" s="28">
        <f>SUM(D30:E30)</f>
        <v>3</v>
      </c>
      <c r="G30" s="141"/>
    </row>
    <row r="31" spans="1:7" s="127" customFormat="1" ht="21.75" customHeight="1" thickBot="1">
      <c r="A31" s="132">
        <v>26</v>
      </c>
      <c r="B31" s="126"/>
      <c r="C31" s="128" t="s">
        <v>294</v>
      </c>
      <c r="D31" s="520">
        <v>9.88</v>
      </c>
      <c r="E31" s="520"/>
      <c r="F31" s="520">
        <f>SUM(D31:E31)</f>
        <v>9.88</v>
      </c>
      <c r="G31" s="142"/>
    </row>
    <row r="32" spans="1:7" ht="30" customHeight="1">
      <c r="A32" s="132">
        <v>27</v>
      </c>
      <c r="B32" s="628"/>
      <c r="C32" s="629" t="s">
        <v>13</v>
      </c>
      <c r="D32" s="630">
        <f>SUM(D27:D31)</f>
        <v>1174.04</v>
      </c>
      <c r="E32" s="630">
        <f>SUM(E27:E31)</f>
        <v>-2.41</v>
      </c>
      <c r="F32" s="630">
        <f>SUM(F27:F31)</f>
        <v>1171.63</v>
      </c>
      <c r="G32" s="631"/>
    </row>
    <row r="33" spans="1:7" ht="16.5" customHeight="1">
      <c r="A33" s="132">
        <v>28</v>
      </c>
      <c r="B33" s="27"/>
      <c r="C33" s="29" t="s">
        <v>128</v>
      </c>
      <c r="D33" s="28"/>
      <c r="E33" s="28"/>
      <c r="F33" s="28"/>
      <c r="G33" s="139"/>
    </row>
    <row r="34" spans="1:7" ht="16.5" customHeight="1" thickBot="1">
      <c r="A34" s="132">
        <v>29</v>
      </c>
      <c r="B34" s="31"/>
      <c r="C34" s="129" t="s">
        <v>294</v>
      </c>
      <c r="D34" s="522">
        <f>SUM(D12,D16,D24,D31)</f>
        <v>13.790000000000001</v>
      </c>
      <c r="E34" s="522">
        <f>SUM(E12,E16,E24,E31)</f>
        <v>0.09</v>
      </c>
      <c r="F34" s="522">
        <f>SUM(F12,F16,F24,F31)</f>
        <v>13.88</v>
      </c>
      <c r="G34" s="143"/>
    </row>
    <row r="36" spans="3:7" ht="16.5">
      <c r="C36" s="33"/>
      <c r="D36" s="28"/>
      <c r="E36" s="28"/>
      <c r="F36" s="28"/>
      <c r="G36" s="144"/>
    </row>
    <row r="37" spans="3:7" ht="16.5">
      <c r="C37" s="34"/>
      <c r="D37" s="35"/>
      <c r="E37" s="35"/>
      <c r="F37" s="35"/>
      <c r="G37" s="144"/>
    </row>
    <row r="38" spans="3:7" ht="16.5">
      <c r="C38" s="34"/>
      <c r="D38" s="35"/>
      <c r="E38" s="35"/>
      <c r="F38" s="35"/>
      <c r="G38" s="144"/>
    </row>
    <row r="39" spans="3:7" ht="16.5">
      <c r="C39" s="34"/>
      <c r="D39" s="35"/>
      <c r="E39" s="35"/>
      <c r="F39" s="35"/>
      <c r="G39" s="144"/>
    </row>
    <row r="40" spans="3:7" ht="16.5">
      <c r="C40" s="33"/>
      <c r="D40" s="28"/>
      <c r="E40" s="28"/>
      <c r="F40" s="28"/>
      <c r="G40" s="144"/>
    </row>
    <row r="41" spans="3:7" ht="16.5">
      <c r="C41" s="33"/>
      <c r="D41" s="28"/>
      <c r="E41" s="28"/>
      <c r="F41" s="28"/>
      <c r="G41" s="144"/>
    </row>
    <row r="42" spans="3:7" ht="16.5">
      <c r="C42" s="33"/>
      <c r="D42" s="28"/>
      <c r="E42" s="28"/>
      <c r="F42" s="28"/>
      <c r="G42" s="144"/>
    </row>
    <row r="45" spans="1:7" s="30" customFormat="1" ht="17.25">
      <c r="A45" s="405"/>
      <c r="B45" s="1222"/>
      <c r="C45" s="36"/>
      <c r="D45" s="37"/>
      <c r="E45" s="37"/>
      <c r="F45" s="37"/>
      <c r="G45" s="145"/>
    </row>
    <row r="47" spans="1:7" s="30" customFormat="1" ht="17.25">
      <c r="A47" s="405"/>
      <c r="B47" s="1222"/>
      <c r="C47" s="36"/>
      <c r="D47" s="37"/>
      <c r="E47" s="37"/>
      <c r="F47" s="37"/>
      <c r="G47" s="145"/>
    </row>
    <row r="50" spans="1:7" s="30" customFormat="1" ht="17.25">
      <c r="A50" s="405"/>
      <c r="B50" s="1222"/>
      <c r="C50" s="36"/>
      <c r="D50" s="37"/>
      <c r="E50" s="37"/>
      <c r="F50" s="37"/>
      <c r="G50" s="145"/>
    </row>
    <row r="68" spans="1:7" s="30" customFormat="1" ht="17.25">
      <c r="A68" s="405"/>
      <c r="B68" s="1222"/>
      <c r="C68" s="36"/>
      <c r="D68" s="37"/>
      <c r="E68" s="37"/>
      <c r="F68" s="37"/>
      <c r="G68" s="145"/>
    </row>
    <row r="77" ht="16.5">
      <c r="D77" s="38"/>
    </row>
    <row r="78" ht="16.5">
      <c r="D78" s="38"/>
    </row>
    <row r="79" ht="16.5">
      <c r="D79" s="38"/>
    </row>
    <row r="80" ht="16.5">
      <c r="D80" s="38"/>
    </row>
    <row r="81" ht="16.5">
      <c r="D81" s="38"/>
    </row>
    <row r="82" ht="16.5">
      <c r="D82" s="38"/>
    </row>
    <row r="83" ht="16.5">
      <c r="D83" s="38"/>
    </row>
    <row r="84" ht="16.5">
      <c r="D84" s="38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7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view="pageBreakPreview" zoomScaleSheetLayoutView="100" zoomScalePageLayoutView="0" workbookViewId="0" topLeftCell="A1">
      <selection activeCell="B1" sqref="B1:C1"/>
    </sheetView>
  </sheetViews>
  <sheetFormatPr defaultColWidth="9.125" defaultRowHeight="12.75"/>
  <cols>
    <col min="1" max="1" width="4.375" style="462" customWidth="1"/>
    <col min="2" max="2" width="65.75390625" style="672" customWidth="1"/>
    <col min="3" max="6" width="15.25390625" style="660" customWidth="1"/>
    <col min="7" max="7" width="15.25390625" style="660" hidden="1" customWidth="1"/>
    <col min="8" max="249" width="9.125" style="468" customWidth="1"/>
    <col min="250" max="250" width="3.75390625" style="468" customWidth="1"/>
    <col min="251" max="251" width="58.75390625" style="468" customWidth="1"/>
    <col min="252" max="255" width="15.25390625" style="468" customWidth="1"/>
    <col min="256" max="16384" width="9.125" style="468" customWidth="1"/>
  </cols>
  <sheetData>
    <row r="1" spans="1:7" ht="17.25">
      <c r="A1" s="1483"/>
      <c r="B1" s="1741" t="s">
        <v>1019</v>
      </c>
      <c r="C1" s="1741"/>
      <c r="D1" s="468"/>
      <c r="E1" s="468"/>
      <c r="F1" s="468"/>
      <c r="G1" s="468"/>
    </row>
    <row r="2" spans="1:7" ht="16.5">
      <c r="A2" s="1484"/>
      <c r="B2" s="99"/>
      <c r="C2" s="1485"/>
      <c r="D2" s="1485"/>
      <c r="E2" s="1485"/>
      <c r="F2" s="1485"/>
      <c r="G2" s="1485"/>
    </row>
    <row r="3" spans="1:7" ht="17.25">
      <c r="A3" s="1742" t="s">
        <v>636</v>
      </c>
      <c r="B3" s="1742"/>
      <c r="C3" s="1742"/>
      <c r="D3" s="1742"/>
      <c r="E3" s="1742"/>
      <c r="F3" s="1742"/>
      <c r="G3" s="468"/>
    </row>
    <row r="4" spans="1:7" ht="17.25">
      <c r="A4" s="1743" t="s">
        <v>350</v>
      </c>
      <c r="B4" s="1743"/>
      <c r="C4" s="1743"/>
      <c r="D4" s="1743"/>
      <c r="E4" s="1743"/>
      <c r="F4" s="1743"/>
      <c r="G4" s="468"/>
    </row>
    <row r="5" spans="2:6" ht="17.25">
      <c r="B5" s="1482"/>
      <c r="E5" s="661"/>
      <c r="F5" s="661" t="s">
        <v>0</v>
      </c>
    </row>
    <row r="6" spans="1:7" s="462" customFormat="1" ht="17.25" thickBot="1">
      <c r="A6" s="662"/>
      <c r="B6" s="662" t="s">
        <v>1</v>
      </c>
      <c r="C6" s="462" t="s">
        <v>3</v>
      </c>
      <c r="D6" s="462" t="s">
        <v>2</v>
      </c>
      <c r="E6" s="462" t="s">
        <v>4</v>
      </c>
      <c r="F6" s="462" t="s">
        <v>5</v>
      </c>
      <c r="G6" s="462" t="s">
        <v>4</v>
      </c>
    </row>
    <row r="7" spans="1:7" s="663" customFormat="1" ht="34.5" customHeight="1">
      <c r="A7" s="1744" t="s">
        <v>351</v>
      </c>
      <c r="B7" s="1746" t="s">
        <v>6</v>
      </c>
      <c r="C7" s="1748" t="s">
        <v>633</v>
      </c>
      <c r="D7" s="1748" t="s">
        <v>634</v>
      </c>
      <c r="E7" s="1750" t="s">
        <v>635</v>
      </c>
      <c r="F7" s="1752" t="s">
        <v>895</v>
      </c>
      <c r="G7" s="1739" t="s">
        <v>619</v>
      </c>
    </row>
    <row r="8" spans="1:7" s="663" customFormat="1" ht="34.5" customHeight="1" thickBot="1">
      <c r="A8" s="1745"/>
      <c r="B8" s="1747"/>
      <c r="C8" s="1749"/>
      <c r="D8" s="1749"/>
      <c r="E8" s="1751"/>
      <c r="F8" s="1753"/>
      <c r="G8" s="1740"/>
    </row>
    <row r="9" spans="1:7" s="665" customFormat="1" ht="33">
      <c r="A9" s="464">
        <v>1</v>
      </c>
      <c r="B9" s="664" t="s">
        <v>352</v>
      </c>
      <c r="C9" s="719">
        <v>5000</v>
      </c>
      <c r="D9" s="720"/>
      <c r="E9" s="721"/>
      <c r="F9" s="742"/>
      <c r="G9" s="735"/>
    </row>
    <row r="10" spans="1:7" s="665" customFormat="1" ht="33">
      <c r="A10" s="464">
        <v>2</v>
      </c>
      <c r="B10" s="666" t="s">
        <v>896</v>
      </c>
      <c r="C10" s="667">
        <v>37058</v>
      </c>
      <c r="D10" s="667"/>
      <c r="E10" s="722"/>
      <c r="F10" s="743"/>
      <c r="G10" s="736"/>
    </row>
    <row r="11" spans="1:7" s="665" customFormat="1" ht="30.75" customHeight="1">
      <c r="A11" s="464">
        <v>3</v>
      </c>
      <c r="B11" s="666" t="s">
        <v>897</v>
      </c>
      <c r="C11" s="667">
        <v>7068</v>
      </c>
      <c r="D11" s="667"/>
      <c r="E11" s="722"/>
      <c r="F11" s="743"/>
      <c r="G11" s="736"/>
    </row>
    <row r="12" spans="1:7" s="665" customFormat="1" ht="33">
      <c r="A12" s="464">
        <v>4</v>
      </c>
      <c r="B12" s="666" t="s">
        <v>631</v>
      </c>
      <c r="C12" s="667">
        <v>186554</v>
      </c>
      <c r="D12" s="667"/>
      <c r="E12" s="722"/>
      <c r="F12" s="743"/>
      <c r="G12" s="736"/>
    </row>
    <row r="13" spans="1:7" s="665" customFormat="1" ht="35.25" customHeight="1">
      <c r="A13" s="464">
        <v>5</v>
      </c>
      <c r="B13" s="769" t="s">
        <v>632</v>
      </c>
      <c r="C13" s="667">
        <v>34933</v>
      </c>
      <c r="D13" s="722"/>
      <c r="E13" s="722"/>
      <c r="F13" s="743"/>
      <c r="G13" s="736"/>
    </row>
    <row r="14" spans="1:7" s="665" customFormat="1" ht="33">
      <c r="A14" s="464">
        <v>6</v>
      </c>
      <c r="B14" s="666" t="s">
        <v>898</v>
      </c>
      <c r="C14" s="667">
        <v>52777</v>
      </c>
      <c r="D14" s="722"/>
      <c r="E14" s="722"/>
      <c r="F14" s="743"/>
      <c r="G14" s="736"/>
    </row>
    <row r="15" spans="1:7" s="665" customFormat="1" ht="35.25" customHeight="1">
      <c r="A15" s="464">
        <v>7</v>
      </c>
      <c r="B15" s="769" t="s">
        <v>899</v>
      </c>
      <c r="C15" s="667">
        <v>29875</v>
      </c>
      <c r="D15" s="722"/>
      <c r="E15" s="722"/>
      <c r="F15" s="743"/>
      <c r="G15" s="736"/>
    </row>
    <row r="16" spans="1:7" s="665" customFormat="1" ht="66">
      <c r="A16" s="464">
        <v>8</v>
      </c>
      <c r="B16" s="666" t="s">
        <v>630</v>
      </c>
      <c r="C16" s="723">
        <v>760</v>
      </c>
      <c r="D16" s="722"/>
      <c r="E16" s="722"/>
      <c r="F16" s="743"/>
      <c r="G16" s="736"/>
    </row>
    <row r="17" spans="1:7" s="665" customFormat="1" ht="49.5">
      <c r="A17" s="464">
        <v>9</v>
      </c>
      <c r="B17" s="725" t="s">
        <v>959</v>
      </c>
      <c r="C17" s="726">
        <v>294000</v>
      </c>
      <c r="D17" s="726"/>
      <c r="E17" s="724"/>
      <c r="F17" s="745"/>
      <c r="G17" s="736"/>
    </row>
    <row r="18" spans="1:8" s="665" customFormat="1" ht="48.75" customHeight="1">
      <c r="A18" s="464">
        <v>10</v>
      </c>
      <c r="B18" s="718" t="s">
        <v>980</v>
      </c>
      <c r="C18" s="723">
        <v>13000</v>
      </c>
      <c r="D18" s="722">
        <v>13000</v>
      </c>
      <c r="E18" s="722">
        <v>13000</v>
      </c>
      <c r="F18" s="743"/>
      <c r="G18" s="736"/>
      <c r="H18" s="1320"/>
    </row>
    <row r="19" spans="1:7" s="665" customFormat="1" ht="50.25" customHeight="1">
      <c r="A19" s="464">
        <v>11</v>
      </c>
      <c r="B19" s="466" t="s">
        <v>981</v>
      </c>
      <c r="C19" s="723">
        <v>480000</v>
      </c>
      <c r="D19" s="722"/>
      <c r="E19" s="722"/>
      <c r="F19" s="743"/>
      <c r="G19" s="736"/>
    </row>
    <row r="20" spans="1:7" ht="33.75" thickBot="1">
      <c r="A20" s="1498">
        <v>12</v>
      </c>
      <c r="B20" s="725" t="s">
        <v>983</v>
      </c>
      <c r="C20" s="726">
        <f>7620/2</f>
        <v>3810</v>
      </c>
      <c r="D20" s="726"/>
      <c r="E20" s="1499"/>
      <c r="F20" s="1500"/>
      <c r="G20" s="739"/>
    </row>
    <row r="21" spans="1:7" s="665" customFormat="1" ht="30" customHeight="1" thickBot="1">
      <c r="A21" s="1733" t="s">
        <v>995</v>
      </c>
      <c r="B21" s="1734"/>
      <c r="C21" s="1505">
        <f>SUM(C9:C19)</f>
        <v>1141025</v>
      </c>
      <c r="D21" s="1505">
        <f>SUM(D9:D19)</f>
        <v>13000</v>
      </c>
      <c r="E21" s="1505">
        <f>SUM(E9:E19)</f>
        <v>13000</v>
      </c>
      <c r="F21" s="1506">
        <f>SUM(F9:F19)</f>
        <v>0</v>
      </c>
      <c r="G21" s="736"/>
    </row>
    <row r="22" spans="1:7" s="665" customFormat="1" ht="22.5" customHeight="1">
      <c r="A22" s="1501">
        <v>13</v>
      </c>
      <c r="B22" s="1507" t="s">
        <v>620</v>
      </c>
      <c r="C22" s="1502">
        <v>17000</v>
      </c>
      <c r="D22" s="1503"/>
      <c r="E22" s="1503"/>
      <c r="F22" s="1504"/>
      <c r="G22" s="736"/>
    </row>
    <row r="23" spans="1:7" s="665" customFormat="1" ht="46.5" customHeight="1">
      <c r="A23" s="464">
        <v>14</v>
      </c>
      <c r="B23" s="733" t="s">
        <v>982</v>
      </c>
      <c r="C23" s="723">
        <f>6000+3000+3000</f>
        <v>12000</v>
      </c>
      <c r="D23" s="723">
        <f>6000+3000+3000</f>
        <v>12000</v>
      </c>
      <c r="E23" s="1321"/>
      <c r="F23" s="1495"/>
      <c r="G23" s="736"/>
    </row>
    <row r="24" spans="1:7" s="665" customFormat="1" ht="33">
      <c r="A24" s="464">
        <v>15</v>
      </c>
      <c r="B24" s="666" t="s">
        <v>353</v>
      </c>
      <c r="C24" s="723">
        <v>103000</v>
      </c>
      <c r="D24" s="722">
        <v>103000</v>
      </c>
      <c r="E24" s="722">
        <v>103000</v>
      </c>
      <c r="F24" s="743">
        <v>103000</v>
      </c>
      <c r="G24" s="736"/>
    </row>
    <row r="25" spans="1:7" s="665" customFormat="1" ht="22.5" customHeight="1">
      <c r="A25" s="464">
        <v>16</v>
      </c>
      <c r="B25" s="666" t="s">
        <v>354</v>
      </c>
      <c r="C25" s="723">
        <v>29500</v>
      </c>
      <c r="D25" s="722">
        <v>29500</v>
      </c>
      <c r="E25" s="722">
        <v>29500</v>
      </c>
      <c r="F25" s="743">
        <v>29500</v>
      </c>
      <c r="G25" s="736"/>
    </row>
    <row r="26" spans="1:7" s="665" customFormat="1" ht="31.5" customHeight="1">
      <c r="A26" s="464">
        <v>17</v>
      </c>
      <c r="B26" s="733" t="s">
        <v>900</v>
      </c>
      <c r="C26" s="723">
        <v>120000</v>
      </c>
      <c r="D26" s="722">
        <v>120000</v>
      </c>
      <c r="E26" s="722"/>
      <c r="F26" s="743"/>
      <c r="G26" s="736"/>
    </row>
    <row r="27" spans="1:7" s="665" customFormat="1" ht="22.5" customHeight="1">
      <c r="A27" s="464">
        <v>18</v>
      </c>
      <c r="B27" s="666" t="s">
        <v>901</v>
      </c>
      <c r="C27" s="667">
        <v>50326</v>
      </c>
      <c r="D27" s="667">
        <v>50348</v>
      </c>
      <c r="E27" s="722"/>
      <c r="F27" s="743"/>
      <c r="G27" s="736"/>
    </row>
    <row r="28" spans="1:7" ht="22.5" customHeight="1">
      <c r="A28" s="464">
        <v>19</v>
      </c>
      <c r="B28" s="469" t="s">
        <v>355</v>
      </c>
      <c r="C28" s="668">
        <v>38100</v>
      </c>
      <c r="D28" s="668">
        <v>38100</v>
      </c>
      <c r="E28" s="722"/>
      <c r="F28" s="744"/>
      <c r="G28" s="737">
        <v>38324</v>
      </c>
    </row>
    <row r="29" spans="1:7" ht="22.5" customHeight="1">
      <c r="A29" s="464">
        <v>20</v>
      </c>
      <c r="B29" s="666" t="s">
        <v>564</v>
      </c>
      <c r="C29" s="668">
        <v>881516</v>
      </c>
      <c r="D29" s="668">
        <v>881516</v>
      </c>
      <c r="E29" s="712">
        <v>881516</v>
      </c>
      <c r="F29" s="744">
        <v>881516</v>
      </c>
      <c r="G29" s="737"/>
    </row>
    <row r="30" spans="1:7" ht="22.5" customHeight="1">
      <c r="A30" s="464">
        <v>21</v>
      </c>
      <c r="B30" s="666" t="s">
        <v>858</v>
      </c>
      <c r="C30" s="668">
        <v>153947</v>
      </c>
      <c r="D30" s="668"/>
      <c r="E30" s="712"/>
      <c r="F30" s="744"/>
      <c r="G30" s="737"/>
    </row>
    <row r="31" spans="1:7" ht="51" customHeight="1">
      <c r="A31" s="464">
        <v>22</v>
      </c>
      <c r="B31" s="666" t="s">
        <v>960</v>
      </c>
      <c r="C31" s="668">
        <f>100000-29240</f>
        <v>70760</v>
      </c>
      <c r="D31" s="668"/>
      <c r="E31" s="712"/>
      <c r="F31" s="744"/>
      <c r="G31" s="737">
        <v>38100</v>
      </c>
    </row>
    <row r="32" spans="1:7" ht="36.75" customHeight="1">
      <c r="A32" s="464"/>
      <c r="B32" s="666" t="s">
        <v>997</v>
      </c>
      <c r="C32" s="668"/>
      <c r="D32" s="668"/>
      <c r="E32" s="712"/>
      <c r="F32" s="744"/>
      <c r="G32" s="737"/>
    </row>
    <row r="33" spans="1:7" ht="17.25">
      <c r="A33" s="464">
        <v>23</v>
      </c>
      <c r="B33" s="1508" t="s">
        <v>8</v>
      </c>
      <c r="C33" s="668">
        <v>277100</v>
      </c>
      <c r="D33" s="668">
        <v>277100</v>
      </c>
      <c r="E33" s="712">
        <v>277100</v>
      </c>
      <c r="F33" s="744">
        <v>277100</v>
      </c>
      <c r="G33" s="737"/>
    </row>
    <row r="34" spans="1:7" ht="17.25">
      <c r="A34" s="464">
        <v>24</v>
      </c>
      <c r="B34" s="1508" t="s">
        <v>9</v>
      </c>
      <c r="C34" s="668">
        <v>259250</v>
      </c>
      <c r="D34" s="668">
        <v>259250</v>
      </c>
      <c r="E34" s="712">
        <v>259250</v>
      </c>
      <c r="F34" s="744">
        <v>259250</v>
      </c>
      <c r="G34" s="737"/>
    </row>
    <row r="35" spans="1:7" ht="18" customHeight="1">
      <c r="A35" s="464">
        <v>25</v>
      </c>
      <c r="B35" s="1508" t="s">
        <v>306</v>
      </c>
      <c r="C35" s="668">
        <v>45900</v>
      </c>
      <c r="D35" s="668">
        <v>45900</v>
      </c>
      <c r="E35" s="712">
        <v>45900</v>
      </c>
      <c r="F35" s="744">
        <v>45900</v>
      </c>
      <c r="G35" s="737">
        <v>270000</v>
      </c>
    </row>
    <row r="36" spans="1:7" ht="18" customHeight="1">
      <c r="A36" s="464">
        <v>26</v>
      </c>
      <c r="B36" s="1508" t="s">
        <v>7</v>
      </c>
      <c r="C36" s="668">
        <v>36550</v>
      </c>
      <c r="D36" s="668">
        <v>36550</v>
      </c>
      <c r="E36" s="712">
        <v>36550</v>
      </c>
      <c r="F36" s="744">
        <v>36550</v>
      </c>
      <c r="G36" s="737">
        <v>288725</v>
      </c>
    </row>
    <row r="37" spans="1:7" ht="18" customHeight="1">
      <c r="A37" s="464">
        <v>27</v>
      </c>
      <c r="B37" s="1508" t="s">
        <v>859</v>
      </c>
      <c r="C37" s="668">
        <v>42500</v>
      </c>
      <c r="D37" s="668">
        <v>42500</v>
      </c>
      <c r="E37" s="712">
        <v>42500</v>
      </c>
      <c r="F37" s="744">
        <v>42500</v>
      </c>
      <c r="G37" s="737">
        <v>21000</v>
      </c>
    </row>
    <row r="38" spans="1:7" ht="18" customHeight="1">
      <c r="A38" s="464">
        <v>28</v>
      </c>
      <c r="B38" s="1508" t="s">
        <v>309</v>
      </c>
      <c r="C38" s="668">
        <v>169738</v>
      </c>
      <c r="D38" s="668">
        <v>169738</v>
      </c>
      <c r="E38" s="712">
        <v>169738</v>
      </c>
      <c r="F38" s="744">
        <v>169738</v>
      </c>
      <c r="G38" s="737">
        <v>186000</v>
      </c>
    </row>
    <row r="39" spans="1:7" ht="22.5" customHeight="1">
      <c r="A39" s="464">
        <v>29</v>
      </c>
      <c r="B39" s="469" t="s">
        <v>860</v>
      </c>
      <c r="C39" s="668">
        <v>130000</v>
      </c>
      <c r="D39" s="668">
        <v>130000</v>
      </c>
      <c r="E39" s="712">
        <v>130000</v>
      </c>
      <c r="F39" s="744">
        <v>130000</v>
      </c>
      <c r="G39" s="737">
        <v>180000</v>
      </c>
    </row>
    <row r="40" spans="1:7" ht="22.5" customHeight="1">
      <c r="A40" s="464">
        <v>30</v>
      </c>
      <c r="B40" s="469" t="s">
        <v>902</v>
      </c>
      <c r="C40" s="668">
        <v>150000</v>
      </c>
      <c r="D40" s="668">
        <v>150000</v>
      </c>
      <c r="E40" s="712" t="s">
        <v>254</v>
      </c>
      <c r="F40" s="744"/>
      <c r="G40" s="737">
        <v>20000</v>
      </c>
    </row>
    <row r="41" spans="1:7" ht="22.5" customHeight="1">
      <c r="A41" s="464">
        <v>31</v>
      </c>
      <c r="B41" s="469" t="s">
        <v>903</v>
      </c>
      <c r="C41" s="668">
        <v>120000</v>
      </c>
      <c r="D41" s="668">
        <v>120000</v>
      </c>
      <c r="E41" s="712"/>
      <c r="F41" s="744"/>
      <c r="G41" s="737" t="s">
        <v>254</v>
      </c>
    </row>
    <row r="42" spans="1:7" ht="22.5" customHeight="1">
      <c r="A42" s="464">
        <v>32</v>
      </c>
      <c r="B42" s="469" t="s">
        <v>904</v>
      </c>
      <c r="C42" s="669">
        <v>105000</v>
      </c>
      <c r="D42" s="669">
        <v>70000</v>
      </c>
      <c r="E42" s="724"/>
      <c r="F42" s="745"/>
      <c r="G42" s="738"/>
    </row>
    <row r="43" spans="1:7" ht="22.5" customHeight="1">
      <c r="A43" s="464">
        <v>33</v>
      </c>
      <c r="B43" s="666" t="s">
        <v>748</v>
      </c>
      <c r="C43" s="668">
        <v>100000</v>
      </c>
      <c r="D43" s="668"/>
      <c r="E43" s="712"/>
      <c r="F43" s="744"/>
      <c r="G43" s="737"/>
    </row>
    <row r="44" spans="1:7" ht="33.75" customHeight="1">
      <c r="A44" s="464">
        <v>34</v>
      </c>
      <c r="B44" s="666" t="s">
        <v>356</v>
      </c>
      <c r="C44" s="668">
        <v>239</v>
      </c>
      <c r="D44" s="668">
        <v>239</v>
      </c>
      <c r="E44" s="712">
        <v>239</v>
      </c>
      <c r="F44" s="744">
        <v>239</v>
      </c>
      <c r="G44" s="737"/>
    </row>
    <row r="45" spans="1:7" ht="33">
      <c r="A45" s="464">
        <v>35</v>
      </c>
      <c r="B45" s="469" t="s">
        <v>961</v>
      </c>
      <c r="C45" s="669">
        <v>140000</v>
      </c>
      <c r="D45" s="669">
        <v>140000</v>
      </c>
      <c r="E45" s="724"/>
      <c r="F45" s="745"/>
      <c r="G45" s="738">
        <v>239</v>
      </c>
    </row>
    <row r="46" spans="1:7" ht="22.5" customHeight="1">
      <c r="A46" s="464">
        <v>36</v>
      </c>
      <c r="B46" s="469" t="s">
        <v>357</v>
      </c>
      <c r="C46" s="669">
        <v>25000</v>
      </c>
      <c r="D46" s="669">
        <v>25000</v>
      </c>
      <c r="E46" s="724">
        <v>25000</v>
      </c>
      <c r="F46" s="745">
        <v>25000</v>
      </c>
      <c r="G46" s="738"/>
    </row>
    <row r="47" spans="1:7" ht="50.25" customHeight="1">
      <c r="A47" s="464">
        <v>37</v>
      </c>
      <c r="B47" s="666" t="s">
        <v>358</v>
      </c>
      <c r="C47" s="668">
        <v>25000</v>
      </c>
      <c r="D47" s="668"/>
      <c r="E47" s="712"/>
      <c r="F47" s="744"/>
      <c r="G47" s="737">
        <v>25000</v>
      </c>
    </row>
    <row r="48" spans="1:7" ht="22.5" customHeight="1">
      <c r="A48" s="464">
        <v>38</v>
      </c>
      <c r="B48" s="666" t="s">
        <v>905</v>
      </c>
      <c r="C48" s="668">
        <v>17000</v>
      </c>
      <c r="D48" s="668">
        <v>17000</v>
      </c>
      <c r="E48" s="712">
        <v>17000</v>
      </c>
      <c r="F48" s="744"/>
      <c r="G48" s="737"/>
    </row>
    <row r="49" spans="1:7" ht="22.5" customHeight="1">
      <c r="A49" s="464">
        <v>39</v>
      </c>
      <c r="B49" s="666" t="s">
        <v>359</v>
      </c>
      <c r="C49" s="668">
        <v>30000</v>
      </c>
      <c r="D49" s="668"/>
      <c r="E49" s="712"/>
      <c r="F49" s="744"/>
      <c r="G49" s="737"/>
    </row>
    <row r="50" spans="1:7" ht="33" customHeight="1">
      <c r="A50" s="464">
        <v>40</v>
      </c>
      <c r="B50" s="666" t="s">
        <v>522</v>
      </c>
      <c r="C50" s="668">
        <f>40000+40000</f>
        <v>80000</v>
      </c>
      <c r="D50" s="668">
        <f>40000+40000</f>
        <v>80000</v>
      </c>
      <c r="E50" s="712"/>
      <c r="F50" s="744"/>
      <c r="G50" s="737"/>
    </row>
    <row r="51" spans="1:7" ht="45.75" customHeight="1">
      <c r="A51" s="464">
        <v>41</v>
      </c>
      <c r="B51" s="469" t="s">
        <v>962</v>
      </c>
      <c r="C51" s="667">
        <v>25000</v>
      </c>
      <c r="D51" s="667">
        <v>25000</v>
      </c>
      <c r="E51" s="712">
        <v>25000</v>
      </c>
      <c r="F51" s="744">
        <v>25000</v>
      </c>
      <c r="G51" s="737"/>
    </row>
    <row r="52" spans="1:7" ht="66">
      <c r="A52" s="464">
        <v>42</v>
      </c>
      <c r="B52" s="469" t="s">
        <v>963</v>
      </c>
      <c r="C52" s="669">
        <v>24000</v>
      </c>
      <c r="D52" s="669"/>
      <c r="E52" s="724"/>
      <c r="F52" s="745"/>
      <c r="G52" s="738"/>
    </row>
    <row r="53" spans="1:7" ht="22.5" customHeight="1">
      <c r="A53" s="464">
        <v>43</v>
      </c>
      <c r="B53" s="666" t="s">
        <v>964</v>
      </c>
      <c r="C53" s="668">
        <v>22000</v>
      </c>
      <c r="D53" s="668"/>
      <c r="E53" s="712"/>
      <c r="F53" s="744"/>
      <c r="G53" s="737"/>
    </row>
    <row r="54" spans="1:7" ht="22.5" customHeight="1">
      <c r="A54" s="464">
        <v>44</v>
      </c>
      <c r="B54" s="469" t="s">
        <v>442</v>
      </c>
      <c r="C54" s="669">
        <f>46997-32000</f>
        <v>14997</v>
      </c>
      <c r="D54" s="669">
        <f>46997-32000</f>
        <v>14997</v>
      </c>
      <c r="E54" s="724">
        <f>46997-32000</f>
        <v>14997</v>
      </c>
      <c r="F54" s="745">
        <f>46997-32000</f>
        <v>14997</v>
      </c>
      <c r="G54" s="738"/>
    </row>
    <row r="55" spans="1:7" ht="30" customHeight="1">
      <c r="A55" s="464">
        <v>45</v>
      </c>
      <c r="B55" s="469" t="s">
        <v>906</v>
      </c>
      <c r="C55" s="669">
        <f>800*1.27</f>
        <v>1016</v>
      </c>
      <c r="D55" s="669"/>
      <c r="E55" s="712"/>
      <c r="F55" s="745"/>
      <c r="G55" s="738">
        <v>3840</v>
      </c>
    </row>
    <row r="56" spans="1:7" ht="29.25" customHeight="1">
      <c r="A56" s="464">
        <v>46</v>
      </c>
      <c r="B56" s="469" t="s">
        <v>965</v>
      </c>
      <c r="C56" s="669">
        <v>917</v>
      </c>
      <c r="D56" s="669"/>
      <c r="E56" s="712"/>
      <c r="F56" s="745"/>
      <c r="G56" s="738">
        <v>4000</v>
      </c>
    </row>
    <row r="57" spans="1:7" ht="66" customHeight="1">
      <c r="A57" s="464">
        <v>47</v>
      </c>
      <c r="B57" s="666" t="s">
        <v>966</v>
      </c>
      <c r="C57" s="668">
        <v>4583</v>
      </c>
      <c r="D57" s="668">
        <v>5500</v>
      </c>
      <c r="E57" s="712">
        <v>917</v>
      </c>
      <c r="F57" s="744"/>
      <c r="G57" s="737">
        <v>300</v>
      </c>
    </row>
    <row r="58" spans="1:7" ht="22.5" customHeight="1">
      <c r="A58" s="464">
        <v>48</v>
      </c>
      <c r="B58" s="666" t="s">
        <v>523</v>
      </c>
      <c r="C58" s="668">
        <v>3264</v>
      </c>
      <c r="D58" s="668">
        <v>3264</v>
      </c>
      <c r="E58" s="712">
        <v>3264</v>
      </c>
      <c r="F58" s="744">
        <v>3264</v>
      </c>
      <c r="G58" s="737">
        <v>127</v>
      </c>
    </row>
    <row r="59" spans="1:7" ht="22.5" customHeight="1">
      <c r="A59" s="464">
        <v>49</v>
      </c>
      <c r="B59" s="666" t="s">
        <v>524</v>
      </c>
      <c r="C59" s="668">
        <v>3400</v>
      </c>
      <c r="D59" s="668">
        <v>3400</v>
      </c>
      <c r="E59" s="712">
        <v>3400</v>
      </c>
      <c r="F59" s="744">
        <v>3400</v>
      </c>
      <c r="G59" s="737">
        <v>1200</v>
      </c>
    </row>
    <row r="60" spans="1:7" ht="22.5" customHeight="1">
      <c r="A60" s="464">
        <v>50</v>
      </c>
      <c r="B60" s="666" t="s">
        <v>360</v>
      </c>
      <c r="C60" s="668">
        <v>300</v>
      </c>
      <c r="D60" s="668">
        <v>300</v>
      </c>
      <c r="E60" s="712">
        <v>300</v>
      </c>
      <c r="F60" s="744">
        <v>300</v>
      </c>
      <c r="G60" s="737">
        <v>300</v>
      </c>
    </row>
    <row r="61" spans="1:7" ht="22.5" customHeight="1">
      <c r="A61" s="464">
        <v>51</v>
      </c>
      <c r="B61" s="666" t="s">
        <v>361</v>
      </c>
      <c r="C61" s="668">
        <v>127</v>
      </c>
      <c r="D61" s="668">
        <v>127</v>
      </c>
      <c r="E61" s="712">
        <v>127</v>
      </c>
      <c r="F61" s="744">
        <v>127</v>
      </c>
      <c r="G61" s="737">
        <v>120</v>
      </c>
    </row>
    <row r="62" spans="1:7" ht="33">
      <c r="A62" s="464">
        <v>52</v>
      </c>
      <c r="B62" s="666" t="s">
        <v>967</v>
      </c>
      <c r="C62" s="668">
        <v>1200</v>
      </c>
      <c r="D62" s="668">
        <v>1200</v>
      </c>
      <c r="E62" s="712">
        <v>1200</v>
      </c>
      <c r="F62" s="744">
        <v>1200</v>
      </c>
      <c r="G62" s="737">
        <v>1700</v>
      </c>
    </row>
    <row r="63" spans="1:7" ht="22.5" customHeight="1">
      <c r="A63" s="464">
        <v>53</v>
      </c>
      <c r="B63" s="666" t="s">
        <v>968</v>
      </c>
      <c r="C63" s="668">
        <v>300</v>
      </c>
      <c r="D63" s="668">
        <v>300</v>
      </c>
      <c r="E63" s="712">
        <v>300</v>
      </c>
      <c r="F63" s="744">
        <v>300</v>
      </c>
      <c r="G63" s="737">
        <v>600</v>
      </c>
    </row>
    <row r="64" spans="1:7" ht="22.5" customHeight="1">
      <c r="A64" s="464">
        <v>54</v>
      </c>
      <c r="B64" s="666" t="s">
        <v>362</v>
      </c>
      <c r="C64" s="668">
        <v>120</v>
      </c>
      <c r="D64" s="668">
        <v>120</v>
      </c>
      <c r="E64" s="712">
        <v>120</v>
      </c>
      <c r="F64" s="744">
        <v>120</v>
      </c>
      <c r="G64" s="737">
        <v>12000</v>
      </c>
    </row>
    <row r="65" spans="1:7" ht="22.5" customHeight="1">
      <c r="A65" s="464">
        <v>55</v>
      </c>
      <c r="B65" s="666" t="s">
        <v>363</v>
      </c>
      <c r="C65" s="668">
        <v>1700</v>
      </c>
      <c r="D65" s="668">
        <v>1700</v>
      </c>
      <c r="E65" s="712">
        <v>1700</v>
      </c>
      <c r="F65" s="744">
        <v>1700</v>
      </c>
      <c r="G65" s="737">
        <v>356958</v>
      </c>
    </row>
    <row r="66" spans="1:7" ht="33.75" customHeight="1">
      <c r="A66" s="464">
        <v>56</v>
      </c>
      <c r="B66" s="666" t="s">
        <v>907</v>
      </c>
      <c r="C66" s="668">
        <v>10200</v>
      </c>
      <c r="D66" s="668">
        <v>10200</v>
      </c>
      <c r="E66" s="712">
        <v>10200</v>
      </c>
      <c r="F66" s="744">
        <v>10200</v>
      </c>
      <c r="G66" s="737">
        <v>38148</v>
      </c>
    </row>
    <row r="67" spans="1:7" ht="31.5" customHeight="1">
      <c r="A67" s="464">
        <v>57</v>
      </c>
      <c r="B67" s="469" t="s">
        <v>529</v>
      </c>
      <c r="C67" s="669">
        <v>143385</v>
      </c>
      <c r="D67" s="669">
        <v>143385</v>
      </c>
      <c r="E67" s="712">
        <v>143385</v>
      </c>
      <c r="F67" s="744">
        <v>143385</v>
      </c>
      <c r="G67" s="738"/>
    </row>
    <row r="68" spans="1:7" ht="22.5" customHeight="1">
      <c r="A68" s="464">
        <v>58</v>
      </c>
      <c r="B68" s="469" t="s">
        <v>364</v>
      </c>
      <c r="C68" s="669">
        <v>60000</v>
      </c>
      <c r="D68" s="669">
        <v>60000</v>
      </c>
      <c r="E68" s="712">
        <v>60000</v>
      </c>
      <c r="F68" s="745">
        <v>60000</v>
      </c>
      <c r="G68" s="738">
        <v>95000</v>
      </c>
    </row>
    <row r="69" spans="1:7" ht="36" customHeight="1">
      <c r="A69" s="464">
        <v>59</v>
      </c>
      <c r="B69" s="469" t="s">
        <v>969</v>
      </c>
      <c r="C69" s="669">
        <f>7400*1.27</f>
        <v>9398</v>
      </c>
      <c r="D69" s="669"/>
      <c r="E69" s="712"/>
      <c r="F69" s="745"/>
      <c r="G69" s="738">
        <v>5600</v>
      </c>
    </row>
    <row r="70" spans="1:7" ht="49.5">
      <c r="A70" s="464">
        <v>60</v>
      </c>
      <c r="B70" s="666" t="s">
        <v>970</v>
      </c>
      <c r="C70" s="668">
        <v>34150</v>
      </c>
      <c r="D70" s="668"/>
      <c r="E70" s="712"/>
      <c r="F70" s="744"/>
      <c r="G70" s="737"/>
    </row>
    <row r="71" spans="1:7" ht="22.5" customHeight="1">
      <c r="A71" s="464">
        <v>61</v>
      </c>
      <c r="B71" s="666" t="s">
        <v>998</v>
      </c>
      <c r="C71" s="668">
        <v>57501</v>
      </c>
      <c r="D71" s="668">
        <v>57501</v>
      </c>
      <c r="E71" s="712">
        <v>57501</v>
      </c>
      <c r="F71" s="744">
        <v>57501</v>
      </c>
      <c r="G71" s="737"/>
    </row>
    <row r="72" spans="1:7" ht="33">
      <c r="A72" s="464">
        <v>62</v>
      </c>
      <c r="B72" s="666" t="s">
        <v>971</v>
      </c>
      <c r="C72" s="668">
        <v>8800</v>
      </c>
      <c r="D72" s="668"/>
      <c r="E72" s="712"/>
      <c r="F72" s="744"/>
      <c r="G72" s="737">
        <v>53800</v>
      </c>
    </row>
    <row r="73" spans="1:7" ht="22.5" customHeight="1">
      <c r="A73" s="464">
        <v>63</v>
      </c>
      <c r="B73" s="666" t="s">
        <v>11</v>
      </c>
      <c r="C73" s="668">
        <f>30000*1.27</f>
        <v>38100</v>
      </c>
      <c r="D73" s="668">
        <f>30000*1.27</f>
        <v>38100</v>
      </c>
      <c r="E73" s="712">
        <f>30000*1.27</f>
        <v>38100</v>
      </c>
      <c r="F73" s="744">
        <f>30000*1.27</f>
        <v>38100</v>
      </c>
      <c r="G73" s="737">
        <v>72000</v>
      </c>
    </row>
    <row r="74" spans="1:7" ht="22.5" customHeight="1">
      <c r="A74" s="464">
        <v>64</v>
      </c>
      <c r="B74" s="666" t="s">
        <v>12</v>
      </c>
      <c r="C74" s="668">
        <v>9601</v>
      </c>
      <c r="D74" s="668">
        <v>9601</v>
      </c>
      <c r="E74" s="712">
        <v>9601</v>
      </c>
      <c r="F74" s="744">
        <v>9601</v>
      </c>
      <c r="G74" s="737"/>
    </row>
    <row r="75" spans="1:7" ht="22.5" customHeight="1">
      <c r="A75" s="464">
        <v>65</v>
      </c>
      <c r="B75" s="666" t="s">
        <v>432</v>
      </c>
      <c r="C75" s="668">
        <f>14980*1.27</f>
        <v>19024.6</v>
      </c>
      <c r="D75" s="668"/>
      <c r="E75" s="712"/>
      <c r="F75" s="744"/>
      <c r="G75" s="737">
        <f>30000*1.27</f>
        <v>38100</v>
      </c>
    </row>
    <row r="76" spans="1:7" ht="30.75" customHeight="1">
      <c r="A76" s="464">
        <v>66</v>
      </c>
      <c r="B76" s="666" t="s">
        <v>908</v>
      </c>
      <c r="C76" s="668">
        <f>6700*1.27</f>
        <v>8509</v>
      </c>
      <c r="D76" s="668">
        <f>6700*1.27</f>
        <v>8509</v>
      </c>
      <c r="E76" s="712"/>
      <c r="F76" s="744"/>
      <c r="G76" s="737">
        <v>9653</v>
      </c>
    </row>
    <row r="77" spans="1:7" ht="30" customHeight="1">
      <c r="A77" s="464">
        <v>67</v>
      </c>
      <c r="B77" s="469" t="s">
        <v>365</v>
      </c>
      <c r="C77" s="668">
        <v>80578</v>
      </c>
      <c r="D77" s="668"/>
      <c r="E77" s="712"/>
      <c r="F77" s="744"/>
      <c r="G77" s="737"/>
    </row>
    <row r="78" spans="1:7" ht="29.25" customHeight="1">
      <c r="A78" s="464">
        <v>68</v>
      </c>
      <c r="B78" s="469" t="s">
        <v>909</v>
      </c>
      <c r="C78" s="668">
        <v>5100</v>
      </c>
      <c r="D78" s="668">
        <v>5100</v>
      </c>
      <c r="E78" s="712">
        <v>5100</v>
      </c>
      <c r="F78" s="744">
        <v>5100</v>
      </c>
      <c r="G78" s="737"/>
    </row>
    <row r="79" spans="1:7" ht="30" customHeight="1">
      <c r="A79" s="464">
        <v>69</v>
      </c>
      <c r="B79" s="469" t="s">
        <v>972</v>
      </c>
      <c r="C79" s="669">
        <v>5200</v>
      </c>
      <c r="D79" s="669">
        <v>5200</v>
      </c>
      <c r="E79" s="724"/>
      <c r="F79" s="745"/>
      <c r="G79" s="738">
        <v>6000</v>
      </c>
    </row>
    <row r="80" spans="1:7" ht="22.5" customHeight="1">
      <c r="A80" s="464">
        <v>70</v>
      </c>
      <c r="B80" s="469" t="s">
        <v>910</v>
      </c>
      <c r="C80" s="669">
        <f>15*12</f>
        <v>180</v>
      </c>
      <c r="D80" s="669">
        <f>15*12</f>
        <v>180</v>
      </c>
      <c r="E80" s="724">
        <f>15*12</f>
        <v>180</v>
      </c>
      <c r="F80" s="745">
        <v>180</v>
      </c>
      <c r="G80" s="738"/>
    </row>
    <row r="81" spans="1:7" ht="22.5" customHeight="1">
      <c r="A81" s="464">
        <v>71</v>
      </c>
      <c r="B81" s="469" t="s">
        <v>973</v>
      </c>
      <c r="C81" s="669">
        <v>417000</v>
      </c>
      <c r="D81" s="669"/>
      <c r="E81" s="724"/>
      <c r="F81" s="745"/>
      <c r="G81" s="738"/>
    </row>
    <row r="82" spans="1:7" ht="51" customHeight="1">
      <c r="A82" s="464">
        <v>72</v>
      </c>
      <c r="B82" s="725" t="s">
        <v>974</v>
      </c>
      <c r="C82" s="726">
        <f>1224*1.27</f>
        <v>1554.48</v>
      </c>
      <c r="D82" s="726"/>
      <c r="E82" s="724"/>
      <c r="F82" s="745"/>
      <c r="G82" s="739">
        <f>15*12</f>
        <v>180</v>
      </c>
    </row>
    <row r="83" spans="1:7" ht="49.5">
      <c r="A83" s="464">
        <v>73</v>
      </c>
      <c r="B83" s="725" t="s">
        <v>975</v>
      </c>
      <c r="C83" s="726">
        <v>2896</v>
      </c>
      <c r="D83" s="726"/>
      <c r="E83" s="724"/>
      <c r="F83" s="745"/>
      <c r="G83" s="739"/>
    </row>
    <row r="84" spans="1:7" ht="49.5" customHeight="1" thickBot="1">
      <c r="A84" s="464">
        <v>74</v>
      </c>
      <c r="B84" s="725" t="s">
        <v>976</v>
      </c>
      <c r="C84" s="726">
        <v>94299</v>
      </c>
      <c r="D84" s="726"/>
      <c r="E84" s="724"/>
      <c r="F84" s="745"/>
      <c r="G84" s="739"/>
    </row>
    <row r="85" spans="1:7" s="473" customFormat="1" ht="29.25" customHeight="1" thickBot="1">
      <c r="A85" s="1735" t="s">
        <v>366</v>
      </c>
      <c r="B85" s="1736"/>
      <c r="C85" s="670">
        <f>SUM(C22:C84)</f>
        <v>4337826.08</v>
      </c>
      <c r="D85" s="670">
        <f>SUM(D22:D84)</f>
        <v>3191425</v>
      </c>
      <c r="E85" s="670">
        <f>SUM(E22:E84)</f>
        <v>2392685</v>
      </c>
      <c r="F85" s="1496">
        <f>SUM(F22:F84)</f>
        <v>2374768</v>
      </c>
      <c r="G85" s="740">
        <f>SUM(G28:G84)</f>
        <v>1767014</v>
      </c>
    </row>
    <row r="86" spans="1:7" s="473" customFormat="1" ht="30" customHeight="1" thickBot="1">
      <c r="A86" s="1737" t="s">
        <v>13</v>
      </c>
      <c r="B86" s="1738"/>
      <c r="C86" s="671">
        <f>SUM(C85,C21)</f>
        <v>5478851.08</v>
      </c>
      <c r="D86" s="671">
        <f>SUM(D85,D21)</f>
        <v>3204425</v>
      </c>
      <c r="E86" s="671">
        <f>SUM(E85,E21)</f>
        <v>2405685</v>
      </c>
      <c r="F86" s="1497">
        <f>SUM(F85,F21)</f>
        <v>2374768</v>
      </c>
      <c r="G86" s="741" t="e">
        <f>SUM(G85,#REF!)</f>
        <v>#REF!</v>
      </c>
    </row>
    <row r="89" ht="17.25">
      <c r="B89" s="768"/>
    </row>
    <row r="90" ht="17.25">
      <c r="B90" s="768"/>
    </row>
  </sheetData>
  <sheetProtection/>
  <mergeCells count="13">
    <mergeCell ref="A21:B21"/>
    <mergeCell ref="A85:B85"/>
    <mergeCell ref="A86:B86"/>
    <mergeCell ref="G7:G8"/>
    <mergeCell ref="B1:C1"/>
    <mergeCell ref="A3:F3"/>
    <mergeCell ref="A4:F4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portrait" paperSize="9" scale="77" r:id="rId1"/>
  <headerFooter>
    <oddFooter>&amp;C
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875" defaultRowHeight="12.75"/>
  <cols>
    <col min="1" max="1" width="3.75390625" style="599" customWidth="1"/>
    <col min="2" max="2" width="3.75390625" style="600" customWidth="1"/>
    <col min="3" max="3" width="18.875" style="618" customWidth="1"/>
    <col min="4" max="4" width="19.75390625" style="600" customWidth="1"/>
    <col min="5" max="5" width="13.625" style="600" customWidth="1"/>
    <col min="6" max="8" width="11.75390625" style="600" customWidth="1"/>
    <col min="9" max="9" width="13.375" style="600" customWidth="1"/>
    <col min="10" max="11" width="12.75390625" style="600" customWidth="1"/>
    <col min="12" max="18" width="11.75390625" style="600" customWidth="1"/>
    <col min="19" max="21" width="11.75390625" style="601" customWidth="1"/>
    <col min="22" max="249" width="8.00390625" style="601" customWidth="1"/>
    <col min="250" max="250" width="2.375" style="601" bestFit="1" customWidth="1"/>
    <col min="251" max="251" width="28.25390625" style="601" bestFit="1" customWidth="1"/>
    <col min="252" max="252" width="14.25390625" style="601" bestFit="1" customWidth="1"/>
    <col min="253" max="253" width="13.625" style="601" bestFit="1" customWidth="1"/>
    <col min="254" max="254" width="10.75390625" style="601" bestFit="1" customWidth="1"/>
    <col min="255" max="255" width="9.375" style="601" bestFit="1" customWidth="1"/>
    <col min="256" max="16384" width="9.875" style="601" bestFit="1" customWidth="1"/>
  </cols>
  <sheetData>
    <row r="1" spans="2:6" ht="16.5">
      <c r="B1" s="1523" t="s">
        <v>1020</v>
      </c>
      <c r="C1" s="1523"/>
      <c r="D1" s="1523"/>
      <c r="E1" s="1523"/>
      <c r="F1" s="1523"/>
    </row>
    <row r="2" spans="1:21" s="602" customFormat="1" ht="17.25">
      <c r="A2" s="599"/>
      <c r="B2" s="1757" t="s">
        <v>122</v>
      </c>
      <c r="C2" s="1757"/>
      <c r="D2" s="1757"/>
      <c r="E2" s="1757"/>
      <c r="F2" s="1757"/>
      <c r="G2" s="1757"/>
      <c r="H2" s="1757"/>
      <c r="I2" s="1757"/>
      <c r="J2" s="1757"/>
      <c r="K2" s="1757"/>
      <c r="L2" s="1757"/>
      <c r="M2" s="1757"/>
      <c r="N2" s="1757"/>
      <c r="O2" s="1757"/>
      <c r="P2" s="1757"/>
      <c r="Q2" s="1757"/>
      <c r="R2" s="1757"/>
      <c r="S2" s="1757"/>
      <c r="T2" s="1757"/>
      <c r="U2" s="1757"/>
    </row>
    <row r="3" spans="1:21" s="602" customFormat="1" ht="17.25">
      <c r="A3" s="599"/>
      <c r="B3" s="1757" t="s">
        <v>14</v>
      </c>
      <c r="C3" s="1757"/>
      <c r="D3" s="1757"/>
      <c r="E3" s="1757"/>
      <c r="F3" s="1757"/>
      <c r="G3" s="1757"/>
      <c r="H3" s="1757"/>
      <c r="I3" s="1757"/>
      <c r="J3" s="1757"/>
      <c r="K3" s="1757"/>
      <c r="L3" s="1757"/>
      <c r="M3" s="1757"/>
      <c r="N3" s="1757"/>
      <c r="O3" s="1757"/>
      <c r="P3" s="1757"/>
      <c r="Q3" s="1757"/>
      <c r="R3" s="1757"/>
      <c r="S3" s="1757"/>
      <c r="T3" s="1757"/>
      <c r="U3" s="1757"/>
    </row>
    <row r="4" spans="1:21" s="602" customFormat="1" ht="17.25">
      <c r="A4" s="599"/>
      <c r="B4" s="1757" t="s">
        <v>367</v>
      </c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</row>
    <row r="5" spans="2:21" ht="17.25"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1758" t="s">
        <v>0</v>
      </c>
      <c r="U5" s="1758"/>
    </row>
    <row r="6" spans="2:21" ht="17.25" thickBot="1">
      <c r="B6" s="1754" t="s">
        <v>1</v>
      </c>
      <c r="C6" s="1754"/>
      <c r="D6" s="604" t="s">
        <v>3</v>
      </c>
      <c r="E6" s="604" t="s">
        <v>2</v>
      </c>
      <c r="F6" s="604" t="s">
        <v>4</v>
      </c>
      <c r="G6" s="604" t="s">
        <v>5</v>
      </c>
      <c r="H6" s="604" t="s">
        <v>15</v>
      </c>
      <c r="I6" s="604" t="s">
        <v>16</v>
      </c>
      <c r="J6" s="604" t="s">
        <v>17</v>
      </c>
      <c r="K6" s="604" t="s">
        <v>36</v>
      </c>
      <c r="L6" s="604" t="s">
        <v>30</v>
      </c>
      <c r="M6" s="604" t="s">
        <v>23</v>
      </c>
      <c r="N6" s="604" t="s">
        <v>37</v>
      </c>
      <c r="O6" s="604" t="s">
        <v>38</v>
      </c>
      <c r="P6" s="604" t="s">
        <v>160</v>
      </c>
      <c r="Q6" s="604" t="s">
        <v>161</v>
      </c>
      <c r="R6" s="605" t="s">
        <v>162</v>
      </c>
      <c r="S6" s="605" t="s">
        <v>368</v>
      </c>
      <c r="T6" s="605" t="s">
        <v>610</v>
      </c>
      <c r="U6" s="605" t="s">
        <v>611</v>
      </c>
    </row>
    <row r="7" spans="2:21" s="599" customFormat="1" ht="99.75" customHeight="1" thickBot="1">
      <c r="B7" s="1755" t="s">
        <v>369</v>
      </c>
      <c r="C7" s="1756"/>
      <c r="D7" s="455" t="s">
        <v>370</v>
      </c>
      <c r="E7" s="455" t="s">
        <v>371</v>
      </c>
      <c r="F7" s="455" t="s">
        <v>372</v>
      </c>
      <c r="G7" s="455" t="s">
        <v>373</v>
      </c>
      <c r="H7" s="455" t="s">
        <v>877</v>
      </c>
      <c r="I7" s="455" t="s">
        <v>949</v>
      </c>
      <c r="J7" s="455" t="s">
        <v>878</v>
      </c>
      <c r="K7" s="455" t="s">
        <v>879</v>
      </c>
      <c r="L7" s="455" t="s">
        <v>427</v>
      </c>
      <c r="M7" s="455" t="s">
        <v>880</v>
      </c>
      <c r="N7" s="455" t="s">
        <v>428</v>
      </c>
      <c r="O7" s="455" t="s">
        <v>526</v>
      </c>
      <c r="P7" s="455" t="s">
        <v>612</v>
      </c>
      <c r="Q7" s="455" t="s">
        <v>881</v>
      </c>
      <c r="R7" s="455" t="s">
        <v>882</v>
      </c>
      <c r="S7" s="455" t="s">
        <v>527</v>
      </c>
      <c r="T7" s="455" t="s">
        <v>613</v>
      </c>
      <c r="U7" s="760" t="s">
        <v>883</v>
      </c>
    </row>
    <row r="8" spans="1:21" ht="33" customHeight="1" thickTop="1">
      <c r="A8" s="599">
        <v>1</v>
      </c>
      <c r="B8" s="606" t="s">
        <v>130</v>
      </c>
      <c r="C8" s="456" t="s">
        <v>429</v>
      </c>
      <c r="D8" s="607" t="s">
        <v>374</v>
      </c>
      <c r="E8" s="598" t="s">
        <v>884</v>
      </c>
      <c r="F8" s="457">
        <v>44104</v>
      </c>
      <c r="G8" s="458">
        <v>1500000</v>
      </c>
      <c r="H8" s="458">
        <v>0</v>
      </c>
      <c r="I8" s="458"/>
      <c r="J8" s="458">
        <v>0</v>
      </c>
      <c r="K8" s="458">
        <v>0</v>
      </c>
      <c r="L8" s="458">
        <v>0</v>
      </c>
      <c r="M8" s="458">
        <f aca="true" t="shared" si="0" ref="M8:M13">H8+J8-L8+I8</f>
        <v>0</v>
      </c>
      <c r="N8" s="458">
        <f>4000+10000</f>
        <v>14000</v>
      </c>
      <c r="O8" s="458">
        <v>0</v>
      </c>
      <c r="P8" s="458"/>
      <c r="Q8" s="458"/>
      <c r="R8" s="458"/>
      <c r="S8" s="458"/>
      <c r="T8" s="458"/>
      <c r="U8" s="761"/>
    </row>
    <row r="9" spans="1:21" ht="33">
      <c r="A9" s="599">
        <v>2</v>
      </c>
      <c r="B9" s="608" t="s">
        <v>137</v>
      </c>
      <c r="C9" s="609" t="s">
        <v>375</v>
      </c>
      <c r="D9" s="459" t="s">
        <v>376</v>
      </c>
      <c r="E9" s="610">
        <v>40736</v>
      </c>
      <c r="F9" s="610">
        <v>48040</v>
      </c>
      <c r="G9" s="1299">
        <v>484000</v>
      </c>
      <c r="H9" s="1299">
        <v>39625</v>
      </c>
      <c r="I9" s="1299"/>
      <c r="J9" s="1299">
        <v>0</v>
      </c>
      <c r="K9" s="1299">
        <v>0</v>
      </c>
      <c r="L9" s="1299">
        <v>12340</v>
      </c>
      <c r="M9" s="1299">
        <f t="shared" si="0"/>
        <v>27285</v>
      </c>
      <c r="N9" s="1299">
        <v>818</v>
      </c>
      <c r="O9" s="1299">
        <v>12341</v>
      </c>
      <c r="P9" s="1299">
        <v>12340</v>
      </c>
      <c r="Q9" s="1299">
        <v>2604</v>
      </c>
      <c r="R9" s="1299">
        <f>M9-O9-P9-Q9</f>
        <v>0</v>
      </c>
      <c r="S9" s="1299">
        <v>530</v>
      </c>
      <c r="T9" s="1299">
        <v>241</v>
      </c>
      <c r="U9" s="1300">
        <v>15</v>
      </c>
    </row>
    <row r="10" spans="1:21" ht="38.25" customHeight="1">
      <c r="A10" s="599">
        <v>3</v>
      </c>
      <c r="B10" s="608" t="s">
        <v>138</v>
      </c>
      <c r="C10" s="609" t="s">
        <v>377</v>
      </c>
      <c r="D10" s="459" t="s">
        <v>376</v>
      </c>
      <c r="E10" s="610">
        <v>41502</v>
      </c>
      <c r="F10" s="610">
        <v>45153</v>
      </c>
      <c r="G10" s="1299">
        <v>650000</v>
      </c>
      <c r="H10" s="1299">
        <v>46681</v>
      </c>
      <c r="I10" s="1299"/>
      <c r="J10" s="1299">
        <v>0</v>
      </c>
      <c r="K10" s="1299">
        <v>0</v>
      </c>
      <c r="L10" s="1299">
        <v>46681</v>
      </c>
      <c r="M10" s="1299">
        <f t="shared" si="0"/>
        <v>0</v>
      </c>
      <c r="N10" s="1299">
        <v>686</v>
      </c>
      <c r="O10" s="1299">
        <v>0</v>
      </c>
      <c r="P10" s="1299">
        <v>0</v>
      </c>
      <c r="Q10" s="1299"/>
      <c r="R10" s="1299"/>
      <c r="S10" s="1299">
        <v>0</v>
      </c>
      <c r="T10" s="1299">
        <v>0</v>
      </c>
      <c r="U10" s="1300"/>
    </row>
    <row r="11" spans="1:21" ht="38.25" customHeight="1">
      <c r="A11" s="599">
        <v>4</v>
      </c>
      <c r="B11" s="608" t="s">
        <v>139</v>
      </c>
      <c r="C11" s="609" t="s">
        <v>378</v>
      </c>
      <c r="D11" s="459" t="s">
        <v>379</v>
      </c>
      <c r="E11" s="610">
        <v>41555</v>
      </c>
      <c r="F11" s="610">
        <v>48859</v>
      </c>
      <c r="G11" s="1299">
        <v>200000</v>
      </c>
      <c r="H11" s="1299">
        <v>112411</v>
      </c>
      <c r="I11" s="1299"/>
      <c r="J11" s="1299">
        <v>0</v>
      </c>
      <c r="K11" s="1299">
        <v>0</v>
      </c>
      <c r="L11" s="1299">
        <v>8918</v>
      </c>
      <c r="M11" s="1299">
        <f t="shared" si="0"/>
        <v>103493</v>
      </c>
      <c r="N11" s="1299">
        <v>3406</v>
      </c>
      <c r="O11" s="1299">
        <v>8918</v>
      </c>
      <c r="P11" s="1299">
        <v>8918</v>
      </c>
      <c r="Q11" s="1299">
        <v>8918</v>
      </c>
      <c r="R11" s="1299">
        <f>M11-O11-P11-Q11</f>
        <v>76739</v>
      </c>
      <c r="S11" s="1299">
        <v>3128</v>
      </c>
      <c r="T11" s="1299">
        <v>2829</v>
      </c>
      <c r="U11" s="1300">
        <v>2571</v>
      </c>
    </row>
    <row r="12" spans="1:21" ht="35.25" customHeight="1">
      <c r="A12" s="599">
        <v>5</v>
      </c>
      <c r="B12" s="608" t="s">
        <v>140</v>
      </c>
      <c r="C12" s="609" t="s">
        <v>430</v>
      </c>
      <c r="D12" s="459" t="s">
        <v>376</v>
      </c>
      <c r="E12" s="610">
        <v>41759</v>
      </c>
      <c r="F12" s="610">
        <v>49064</v>
      </c>
      <c r="G12" s="1299">
        <v>200000</v>
      </c>
      <c r="H12" s="1299">
        <v>128840</v>
      </c>
      <c r="I12" s="1299"/>
      <c r="J12" s="1299">
        <v>0</v>
      </c>
      <c r="K12" s="1299">
        <v>0</v>
      </c>
      <c r="L12" s="1299">
        <v>8886</v>
      </c>
      <c r="M12" s="1299">
        <f t="shared" si="0"/>
        <v>119954</v>
      </c>
      <c r="N12" s="1299">
        <v>2869</v>
      </c>
      <c r="O12" s="1299">
        <v>8886</v>
      </c>
      <c r="P12" s="1299">
        <v>8886</v>
      </c>
      <c r="Q12" s="1299">
        <v>8886</v>
      </c>
      <c r="R12" s="1299">
        <f>M12-P12-Q12-O12</f>
        <v>93296</v>
      </c>
      <c r="S12" s="1299">
        <v>2666</v>
      </c>
      <c r="T12" s="1299">
        <v>2463</v>
      </c>
      <c r="U12" s="1300">
        <v>2260</v>
      </c>
    </row>
    <row r="13" spans="1:21" ht="36" customHeight="1">
      <c r="A13" s="599">
        <v>6</v>
      </c>
      <c r="B13" s="611" t="s">
        <v>225</v>
      </c>
      <c r="C13" s="612" t="s">
        <v>431</v>
      </c>
      <c r="D13" s="460" t="s">
        <v>374</v>
      </c>
      <c r="E13" s="613">
        <v>41759</v>
      </c>
      <c r="F13" s="613">
        <v>45285</v>
      </c>
      <c r="G13" s="1301">
        <v>151317</v>
      </c>
      <c r="H13" s="1301">
        <v>77521</v>
      </c>
      <c r="I13" s="1301"/>
      <c r="J13" s="1301">
        <v>0</v>
      </c>
      <c r="K13" s="1301">
        <v>0</v>
      </c>
      <c r="L13" s="1301">
        <v>19679</v>
      </c>
      <c r="M13" s="1301">
        <f t="shared" si="0"/>
        <v>57842</v>
      </c>
      <c r="N13" s="1301">
        <v>1192</v>
      </c>
      <c r="O13" s="1301">
        <v>19679</v>
      </c>
      <c r="P13" s="1301">
        <v>19678</v>
      </c>
      <c r="Q13" s="1301">
        <v>18485</v>
      </c>
      <c r="R13" s="1299">
        <f>M13-P13-Q13-O13</f>
        <v>0</v>
      </c>
      <c r="S13" s="1301">
        <v>858</v>
      </c>
      <c r="T13" s="1301">
        <v>523</v>
      </c>
      <c r="U13" s="1302">
        <v>187</v>
      </c>
    </row>
    <row r="14" spans="1:21" ht="33" customHeight="1">
      <c r="A14" s="599">
        <v>7</v>
      </c>
      <c r="B14" s="611" t="s">
        <v>380</v>
      </c>
      <c r="C14" s="612" t="s">
        <v>954</v>
      </c>
      <c r="D14" s="460" t="s">
        <v>374</v>
      </c>
      <c r="E14" s="613">
        <v>42943</v>
      </c>
      <c r="F14" s="613">
        <v>46568</v>
      </c>
      <c r="G14" s="1301">
        <v>99000</v>
      </c>
      <c r="H14" s="1301">
        <v>93000</v>
      </c>
      <c r="I14" s="1301"/>
      <c r="J14" s="1301">
        <v>0</v>
      </c>
      <c r="K14" s="1301">
        <v>0</v>
      </c>
      <c r="L14" s="1301">
        <v>12000</v>
      </c>
      <c r="M14" s="1301">
        <f>H14+J14-L14+I14</f>
        <v>81000</v>
      </c>
      <c r="N14" s="1301">
        <v>1336</v>
      </c>
      <c r="O14" s="1301">
        <v>12000</v>
      </c>
      <c r="P14" s="1301">
        <v>12000</v>
      </c>
      <c r="Q14" s="1301">
        <v>12000</v>
      </c>
      <c r="R14" s="1299">
        <f>M14-P14-Q14-O14</f>
        <v>45000</v>
      </c>
      <c r="S14" s="1301">
        <v>1155</v>
      </c>
      <c r="T14" s="1301">
        <v>974</v>
      </c>
      <c r="U14" s="1302">
        <v>793</v>
      </c>
    </row>
    <row r="15" spans="1:21" ht="33" customHeight="1">
      <c r="A15" s="599">
        <v>8</v>
      </c>
      <c r="B15" s="611" t="s">
        <v>614</v>
      </c>
      <c r="C15" s="612" t="s">
        <v>955</v>
      </c>
      <c r="D15" s="460" t="s">
        <v>374</v>
      </c>
      <c r="E15" s="613">
        <v>43641</v>
      </c>
      <c r="F15" s="613">
        <v>47299</v>
      </c>
      <c r="G15" s="1301">
        <v>1260000</v>
      </c>
      <c r="H15" s="1301">
        <v>0</v>
      </c>
      <c r="I15" s="1301"/>
      <c r="J15" s="1301">
        <v>629000</v>
      </c>
      <c r="K15" s="1301">
        <v>631000</v>
      </c>
      <c r="L15" s="1301">
        <v>0</v>
      </c>
      <c r="M15" s="1301">
        <f>H15+J15-L15+I15+K15</f>
        <v>1260000</v>
      </c>
      <c r="N15" s="1301">
        <v>13999</v>
      </c>
      <c r="O15" s="1301">
        <v>76364</v>
      </c>
      <c r="P15" s="1301">
        <v>152727</v>
      </c>
      <c r="Q15" s="1301">
        <v>152727</v>
      </c>
      <c r="R15" s="1301">
        <f>M15-P15-Q15-O15</f>
        <v>878182</v>
      </c>
      <c r="S15" s="1301">
        <v>15881</v>
      </c>
      <c r="T15" s="1301">
        <v>13305</v>
      </c>
      <c r="U15" s="1302">
        <v>12365</v>
      </c>
    </row>
    <row r="16" spans="1:21" s="602" customFormat="1" ht="30" customHeight="1" thickBot="1">
      <c r="A16" s="599">
        <v>9</v>
      </c>
      <c r="B16" s="614" t="s">
        <v>885</v>
      </c>
      <c r="C16" s="615" t="s">
        <v>956</v>
      </c>
      <c r="D16" s="711"/>
      <c r="E16" s="1303" t="s">
        <v>886</v>
      </c>
      <c r="F16" s="1303" t="s">
        <v>887</v>
      </c>
      <c r="G16" s="1304">
        <v>149000</v>
      </c>
      <c r="H16" s="1304">
        <v>0</v>
      </c>
      <c r="I16" s="1304"/>
      <c r="J16" s="1304">
        <v>0</v>
      </c>
      <c r="K16" s="1304">
        <v>149800</v>
      </c>
      <c r="L16" s="1304">
        <v>0</v>
      </c>
      <c r="M16" s="1304">
        <v>149800</v>
      </c>
      <c r="N16" s="1304">
        <v>2277</v>
      </c>
      <c r="O16" s="1304">
        <v>0</v>
      </c>
      <c r="P16" s="1304">
        <v>9079</v>
      </c>
      <c r="Q16" s="1304">
        <v>18157</v>
      </c>
      <c r="R16" s="1304">
        <f>M16-P16-Q16-O16</f>
        <v>122564</v>
      </c>
      <c r="S16" s="1304">
        <v>3726</v>
      </c>
      <c r="T16" s="1304">
        <v>3310</v>
      </c>
      <c r="U16" s="1305">
        <v>2849</v>
      </c>
    </row>
    <row r="17" spans="1:21" ht="30" customHeight="1" thickBot="1" thickTop="1">
      <c r="A17" s="599">
        <v>10</v>
      </c>
      <c r="B17" s="616" t="s">
        <v>256</v>
      </c>
      <c r="C17" s="617" t="s">
        <v>381</v>
      </c>
      <c r="D17" s="617"/>
      <c r="E17" s="617"/>
      <c r="F17" s="617"/>
      <c r="G17" s="617"/>
      <c r="H17" s="617">
        <f>SUM(H8:H16)</f>
        <v>498078</v>
      </c>
      <c r="I17" s="617">
        <f aca="true" t="shared" si="1" ref="I17:U17">SUM(I8:I16)</f>
        <v>0</v>
      </c>
      <c r="J17" s="617">
        <f t="shared" si="1"/>
        <v>629000</v>
      </c>
      <c r="K17" s="617">
        <f t="shared" si="1"/>
        <v>780800</v>
      </c>
      <c r="L17" s="617">
        <f t="shared" si="1"/>
        <v>108504</v>
      </c>
      <c r="M17" s="617">
        <f t="shared" si="1"/>
        <v>1799374</v>
      </c>
      <c r="N17" s="617">
        <f t="shared" si="1"/>
        <v>40583</v>
      </c>
      <c r="O17" s="617">
        <f t="shared" si="1"/>
        <v>138188</v>
      </c>
      <c r="P17" s="617">
        <f t="shared" si="1"/>
        <v>223628</v>
      </c>
      <c r="Q17" s="617">
        <f t="shared" si="1"/>
        <v>221777</v>
      </c>
      <c r="R17" s="617">
        <f t="shared" si="1"/>
        <v>1215781</v>
      </c>
      <c r="S17" s="617">
        <f t="shared" si="1"/>
        <v>27944</v>
      </c>
      <c r="T17" s="617">
        <f t="shared" si="1"/>
        <v>23645</v>
      </c>
      <c r="U17" s="762">
        <f t="shared" si="1"/>
        <v>21040</v>
      </c>
    </row>
  </sheetData>
  <sheetProtection/>
  <mergeCells count="7">
    <mergeCell ref="B1:F1"/>
    <mergeCell ref="B6:C6"/>
    <mergeCell ref="B7:C7"/>
    <mergeCell ref="B2:U2"/>
    <mergeCell ref="B3:U3"/>
    <mergeCell ref="B4:U4"/>
    <mergeCell ref="T5:U5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3"/>
  <sheetViews>
    <sheetView view="pageBreakPreview" zoomScaleSheetLayoutView="100" zoomScalePageLayoutView="0" workbookViewId="0" topLeftCell="A1">
      <selection activeCell="B1" sqref="B1:D1"/>
    </sheetView>
  </sheetViews>
  <sheetFormatPr defaultColWidth="3.00390625" defaultRowHeight="12.75"/>
  <cols>
    <col min="1" max="1" width="3.25390625" style="678" bestFit="1" customWidth="1"/>
    <col min="2" max="2" width="5.125" style="683" customWidth="1"/>
    <col min="3" max="3" width="4.375" style="684" customWidth="1"/>
    <col min="4" max="4" width="58.125" style="684" customWidth="1"/>
    <col min="5" max="5" width="16.00390625" style="685" customWidth="1"/>
    <col min="6" max="6" width="15.875" style="682" customWidth="1"/>
    <col min="7" max="250" width="8.00390625" style="682" customWidth="1"/>
    <col min="251" max="251" width="3.00390625" style="682" bestFit="1" customWidth="1"/>
    <col min="252" max="16384" width="3.00390625" style="41" customWidth="1"/>
  </cols>
  <sheetData>
    <row r="1" spans="2:252" ht="17.25">
      <c r="B1" s="1762" t="s">
        <v>1021</v>
      </c>
      <c r="C1" s="1762"/>
      <c r="D1" s="1763"/>
      <c r="E1" s="679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680"/>
      <c r="EH1" s="680"/>
      <c r="EI1" s="680"/>
      <c r="EJ1" s="680"/>
      <c r="EK1" s="680"/>
      <c r="EL1" s="680"/>
      <c r="EM1" s="680"/>
      <c r="EN1" s="680"/>
      <c r="EO1" s="680"/>
      <c r="EP1" s="680"/>
      <c r="EQ1" s="680"/>
      <c r="ER1" s="680"/>
      <c r="ES1" s="680"/>
      <c r="ET1" s="680"/>
      <c r="EU1" s="680"/>
      <c r="EV1" s="680"/>
      <c r="EW1" s="680"/>
      <c r="EX1" s="680"/>
      <c r="EY1" s="680"/>
      <c r="EZ1" s="680"/>
      <c r="FA1" s="680"/>
      <c r="FB1" s="680"/>
      <c r="FC1" s="680"/>
      <c r="FD1" s="680"/>
      <c r="FE1" s="680"/>
      <c r="FF1" s="680"/>
      <c r="FG1" s="680"/>
      <c r="FH1" s="680"/>
      <c r="FI1" s="680"/>
      <c r="FJ1" s="680"/>
      <c r="FK1" s="680"/>
      <c r="FL1" s="680"/>
      <c r="FM1" s="680"/>
      <c r="FN1" s="680"/>
      <c r="FO1" s="680"/>
      <c r="FP1" s="680"/>
      <c r="FQ1" s="680"/>
      <c r="FR1" s="680"/>
      <c r="FS1" s="680"/>
      <c r="FT1" s="680"/>
      <c r="FU1" s="680"/>
      <c r="FV1" s="680"/>
      <c r="FW1" s="680"/>
      <c r="FX1" s="680"/>
      <c r="FY1" s="680"/>
      <c r="FZ1" s="680"/>
      <c r="GA1" s="680"/>
      <c r="GB1" s="680"/>
      <c r="GC1" s="680"/>
      <c r="GD1" s="680"/>
      <c r="GE1" s="680"/>
      <c r="GF1" s="680"/>
      <c r="GG1" s="680"/>
      <c r="GH1" s="680"/>
      <c r="GI1" s="680"/>
      <c r="GJ1" s="680"/>
      <c r="GK1" s="680"/>
      <c r="GL1" s="680"/>
      <c r="GM1" s="680"/>
      <c r="GN1" s="680"/>
      <c r="GO1" s="680"/>
      <c r="GP1" s="680"/>
      <c r="GQ1" s="680"/>
      <c r="GR1" s="680"/>
      <c r="GS1" s="680"/>
      <c r="GT1" s="680"/>
      <c r="GU1" s="680"/>
      <c r="GV1" s="680"/>
      <c r="GW1" s="680"/>
      <c r="GX1" s="680"/>
      <c r="GY1" s="680"/>
      <c r="GZ1" s="680"/>
      <c r="HA1" s="680"/>
      <c r="HB1" s="680"/>
      <c r="HC1" s="680"/>
      <c r="HD1" s="680"/>
      <c r="HE1" s="680"/>
      <c r="HF1" s="680"/>
      <c r="HG1" s="680"/>
      <c r="HH1" s="680"/>
      <c r="HI1" s="680"/>
      <c r="HJ1" s="680"/>
      <c r="HK1" s="680"/>
      <c r="HL1" s="680"/>
      <c r="HM1" s="680"/>
      <c r="HN1" s="680"/>
      <c r="HO1" s="680"/>
      <c r="HP1" s="680"/>
      <c r="HQ1" s="680"/>
      <c r="HR1" s="680"/>
      <c r="HS1" s="680"/>
      <c r="HT1" s="680"/>
      <c r="HU1" s="680"/>
      <c r="HV1" s="680"/>
      <c r="HW1" s="680"/>
      <c r="HX1" s="680"/>
      <c r="HY1" s="680"/>
      <c r="HZ1" s="680"/>
      <c r="IA1" s="680"/>
      <c r="IB1" s="680"/>
      <c r="IC1" s="680"/>
      <c r="ID1" s="680"/>
      <c r="IE1" s="680"/>
      <c r="IF1" s="680"/>
      <c r="IG1" s="680"/>
      <c r="IH1" s="680"/>
      <c r="II1" s="680"/>
      <c r="IJ1" s="680"/>
      <c r="IK1" s="680"/>
      <c r="IL1" s="680"/>
      <c r="IM1" s="680"/>
      <c r="IN1" s="680"/>
      <c r="IO1" s="680"/>
      <c r="IP1" s="680"/>
      <c r="IQ1" s="680"/>
      <c r="IR1" s="244"/>
    </row>
    <row r="2" spans="2:252" ht="17.25">
      <c r="B2" s="1322"/>
      <c r="C2" s="1322"/>
      <c r="D2" s="1322"/>
      <c r="E2" s="679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  <c r="EF2" s="680"/>
      <c r="EG2" s="680"/>
      <c r="EH2" s="680"/>
      <c r="EI2" s="680"/>
      <c r="EJ2" s="680"/>
      <c r="EK2" s="680"/>
      <c r="EL2" s="680"/>
      <c r="EM2" s="680"/>
      <c r="EN2" s="680"/>
      <c r="EO2" s="680"/>
      <c r="EP2" s="680"/>
      <c r="EQ2" s="680"/>
      <c r="ER2" s="680"/>
      <c r="ES2" s="680"/>
      <c r="ET2" s="680"/>
      <c r="EU2" s="680"/>
      <c r="EV2" s="680"/>
      <c r="EW2" s="680"/>
      <c r="EX2" s="680"/>
      <c r="EY2" s="680"/>
      <c r="EZ2" s="680"/>
      <c r="FA2" s="680"/>
      <c r="FB2" s="680"/>
      <c r="FC2" s="680"/>
      <c r="FD2" s="680"/>
      <c r="FE2" s="680"/>
      <c r="FF2" s="680"/>
      <c r="FG2" s="680"/>
      <c r="FH2" s="680"/>
      <c r="FI2" s="680"/>
      <c r="FJ2" s="680"/>
      <c r="FK2" s="680"/>
      <c r="FL2" s="680"/>
      <c r="FM2" s="680"/>
      <c r="FN2" s="680"/>
      <c r="FO2" s="680"/>
      <c r="FP2" s="680"/>
      <c r="FQ2" s="680"/>
      <c r="FR2" s="680"/>
      <c r="FS2" s="680"/>
      <c r="FT2" s="680"/>
      <c r="FU2" s="680"/>
      <c r="FV2" s="680"/>
      <c r="FW2" s="680"/>
      <c r="FX2" s="680"/>
      <c r="FY2" s="680"/>
      <c r="FZ2" s="680"/>
      <c r="GA2" s="680"/>
      <c r="GB2" s="680"/>
      <c r="GC2" s="680"/>
      <c r="GD2" s="680"/>
      <c r="GE2" s="680"/>
      <c r="GF2" s="680"/>
      <c r="GG2" s="680"/>
      <c r="GH2" s="680"/>
      <c r="GI2" s="680"/>
      <c r="GJ2" s="680"/>
      <c r="GK2" s="680"/>
      <c r="GL2" s="680"/>
      <c r="GM2" s="680"/>
      <c r="GN2" s="680"/>
      <c r="GO2" s="680"/>
      <c r="GP2" s="680"/>
      <c r="GQ2" s="680"/>
      <c r="GR2" s="680"/>
      <c r="GS2" s="680"/>
      <c r="GT2" s="680"/>
      <c r="GU2" s="680"/>
      <c r="GV2" s="680"/>
      <c r="GW2" s="680"/>
      <c r="GX2" s="680"/>
      <c r="GY2" s="680"/>
      <c r="GZ2" s="680"/>
      <c r="HA2" s="680"/>
      <c r="HB2" s="680"/>
      <c r="HC2" s="680"/>
      <c r="HD2" s="680"/>
      <c r="HE2" s="680"/>
      <c r="HF2" s="680"/>
      <c r="HG2" s="680"/>
      <c r="HH2" s="680"/>
      <c r="HI2" s="680"/>
      <c r="HJ2" s="680"/>
      <c r="HK2" s="680"/>
      <c r="HL2" s="680"/>
      <c r="HM2" s="680"/>
      <c r="HN2" s="680"/>
      <c r="HO2" s="680"/>
      <c r="HP2" s="680"/>
      <c r="HQ2" s="680"/>
      <c r="HR2" s="680"/>
      <c r="HS2" s="680"/>
      <c r="HT2" s="680"/>
      <c r="HU2" s="680"/>
      <c r="HV2" s="680"/>
      <c r="HW2" s="680"/>
      <c r="HX2" s="680"/>
      <c r="HY2" s="680"/>
      <c r="HZ2" s="680"/>
      <c r="IA2" s="680"/>
      <c r="IB2" s="680"/>
      <c r="IC2" s="680"/>
      <c r="ID2" s="680"/>
      <c r="IE2" s="680"/>
      <c r="IF2" s="680"/>
      <c r="IG2" s="680"/>
      <c r="IH2" s="680"/>
      <c r="II2" s="680"/>
      <c r="IJ2" s="680"/>
      <c r="IK2" s="680"/>
      <c r="IL2" s="680"/>
      <c r="IM2" s="680"/>
      <c r="IN2" s="680"/>
      <c r="IO2" s="680"/>
      <c r="IP2" s="680"/>
      <c r="IQ2" s="680"/>
      <c r="IR2" s="244"/>
    </row>
    <row r="3" spans="2:252" ht="17.25">
      <c r="B3" s="1764" t="s">
        <v>952</v>
      </c>
      <c r="C3" s="1764"/>
      <c r="D3" s="1764"/>
      <c r="E3" s="1764"/>
      <c r="F3" s="1764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/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  <c r="CG3" s="681"/>
      <c r="CH3" s="681"/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681"/>
      <c r="CX3" s="681"/>
      <c r="CY3" s="681"/>
      <c r="CZ3" s="681"/>
      <c r="DA3" s="681"/>
      <c r="DB3" s="681"/>
      <c r="DC3" s="681"/>
      <c r="DD3" s="681"/>
      <c r="DE3" s="681"/>
      <c r="DF3" s="681"/>
      <c r="DG3" s="681"/>
      <c r="DH3" s="681"/>
      <c r="DI3" s="681"/>
      <c r="DJ3" s="681"/>
      <c r="DK3" s="681"/>
      <c r="DL3" s="681"/>
      <c r="DM3" s="681"/>
      <c r="DN3" s="681"/>
      <c r="DO3" s="681"/>
      <c r="DP3" s="681"/>
      <c r="DQ3" s="681"/>
      <c r="DR3" s="681"/>
      <c r="DS3" s="681"/>
      <c r="DT3" s="681"/>
      <c r="DU3" s="681"/>
      <c r="DV3" s="681"/>
      <c r="DW3" s="681"/>
      <c r="DX3" s="681"/>
      <c r="DY3" s="681"/>
      <c r="DZ3" s="681"/>
      <c r="EA3" s="681"/>
      <c r="EB3" s="681"/>
      <c r="EC3" s="681"/>
      <c r="ED3" s="681"/>
      <c r="EE3" s="681"/>
      <c r="EF3" s="681"/>
      <c r="EG3" s="681"/>
      <c r="EH3" s="681"/>
      <c r="EI3" s="681"/>
      <c r="EJ3" s="681"/>
      <c r="EK3" s="681"/>
      <c r="EL3" s="681"/>
      <c r="EM3" s="681"/>
      <c r="EN3" s="681"/>
      <c r="EO3" s="681"/>
      <c r="EP3" s="681"/>
      <c r="EQ3" s="681"/>
      <c r="ER3" s="681"/>
      <c r="ES3" s="681"/>
      <c r="ET3" s="681"/>
      <c r="EU3" s="681"/>
      <c r="EV3" s="681"/>
      <c r="EW3" s="681"/>
      <c r="EX3" s="681"/>
      <c r="EY3" s="681"/>
      <c r="EZ3" s="681"/>
      <c r="FA3" s="681"/>
      <c r="FB3" s="681"/>
      <c r="FC3" s="681"/>
      <c r="FD3" s="681"/>
      <c r="FE3" s="681"/>
      <c r="FF3" s="681"/>
      <c r="FG3" s="681"/>
      <c r="FH3" s="681"/>
      <c r="FI3" s="681"/>
      <c r="FJ3" s="681"/>
      <c r="FK3" s="681"/>
      <c r="FL3" s="681"/>
      <c r="FM3" s="681"/>
      <c r="FN3" s="681"/>
      <c r="FO3" s="681"/>
      <c r="FP3" s="681"/>
      <c r="FQ3" s="681"/>
      <c r="FR3" s="681"/>
      <c r="FS3" s="681"/>
      <c r="FT3" s="681"/>
      <c r="FU3" s="681"/>
      <c r="FV3" s="681"/>
      <c r="FW3" s="681"/>
      <c r="FX3" s="681"/>
      <c r="FY3" s="681"/>
      <c r="FZ3" s="681"/>
      <c r="GA3" s="681"/>
      <c r="GB3" s="681"/>
      <c r="GC3" s="681"/>
      <c r="GD3" s="681"/>
      <c r="GE3" s="681"/>
      <c r="GF3" s="681"/>
      <c r="GG3" s="681"/>
      <c r="GH3" s="681"/>
      <c r="GI3" s="681"/>
      <c r="GJ3" s="681"/>
      <c r="GK3" s="681"/>
      <c r="GL3" s="681"/>
      <c r="GM3" s="681"/>
      <c r="GN3" s="681"/>
      <c r="GO3" s="681"/>
      <c r="GP3" s="681"/>
      <c r="GQ3" s="681"/>
      <c r="GR3" s="681"/>
      <c r="GS3" s="681"/>
      <c r="GT3" s="681"/>
      <c r="GU3" s="681"/>
      <c r="GV3" s="681"/>
      <c r="GW3" s="681"/>
      <c r="GX3" s="681"/>
      <c r="GY3" s="681"/>
      <c r="GZ3" s="681"/>
      <c r="HA3" s="681"/>
      <c r="HB3" s="681"/>
      <c r="HC3" s="681"/>
      <c r="HD3" s="681"/>
      <c r="HE3" s="681"/>
      <c r="HF3" s="681"/>
      <c r="HG3" s="681"/>
      <c r="HH3" s="681"/>
      <c r="HI3" s="681"/>
      <c r="HJ3" s="681"/>
      <c r="HK3" s="681"/>
      <c r="HL3" s="681"/>
      <c r="HM3" s="681"/>
      <c r="HN3" s="681"/>
      <c r="HO3" s="681"/>
      <c r="HP3" s="681"/>
      <c r="HQ3" s="681"/>
      <c r="HR3" s="681"/>
      <c r="HS3" s="681"/>
      <c r="HT3" s="681"/>
      <c r="HU3" s="681"/>
      <c r="HV3" s="681"/>
      <c r="HW3" s="681"/>
      <c r="HX3" s="681"/>
      <c r="HY3" s="681"/>
      <c r="HZ3" s="681"/>
      <c r="IA3" s="681"/>
      <c r="IB3" s="681"/>
      <c r="IC3" s="681"/>
      <c r="ID3" s="681"/>
      <c r="IE3" s="681"/>
      <c r="IF3" s="681"/>
      <c r="IG3" s="681"/>
      <c r="IH3" s="681"/>
      <c r="II3" s="681"/>
      <c r="IJ3" s="681"/>
      <c r="IK3" s="681"/>
      <c r="IL3" s="681"/>
      <c r="IM3" s="681"/>
      <c r="IN3" s="681"/>
      <c r="IO3" s="681"/>
      <c r="IP3" s="681"/>
      <c r="IQ3" s="681"/>
      <c r="IR3" s="44"/>
    </row>
    <row r="4" spans="2:6" ht="17.25">
      <c r="B4" s="1765" t="s">
        <v>957</v>
      </c>
      <c r="C4" s="1765"/>
      <c r="D4" s="1765"/>
      <c r="E4" s="1765"/>
      <c r="F4" s="1765"/>
    </row>
    <row r="5" spans="2:6" ht="17.25">
      <c r="B5" s="1486"/>
      <c r="C5" s="1486"/>
      <c r="D5" s="1486"/>
      <c r="E5" s="1486"/>
      <c r="F5" s="1486"/>
    </row>
    <row r="6" spans="2:6" ht="17.25">
      <c r="B6" s="1307"/>
      <c r="C6" s="1307"/>
      <c r="D6" s="1307"/>
      <c r="E6" s="1307"/>
      <c r="F6" s="757" t="s">
        <v>0</v>
      </c>
    </row>
    <row r="7" spans="2:6" ht="17.25" thickBot="1">
      <c r="B7" s="1771" t="s">
        <v>1</v>
      </c>
      <c r="C7" s="1771"/>
      <c r="D7" s="1771"/>
      <c r="E7" s="688" t="s">
        <v>3</v>
      </c>
      <c r="F7" s="708" t="s">
        <v>2</v>
      </c>
    </row>
    <row r="8" spans="1:252" ht="35.25" customHeight="1" thickBot="1">
      <c r="A8" s="1323">
        <v>1</v>
      </c>
      <c r="B8" s="1759" t="s">
        <v>889</v>
      </c>
      <c r="C8" s="1760"/>
      <c r="D8" s="1761"/>
      <c r="E8" s="1324" t="s">
        <v>911</v>
      </c>
      <c r="F8" s="1324" t="s">
        <v>912</v>
      </c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708"/>
      <c r="AM8" s="708"/>
      <c r="AN8" s="708"/>
      <c r="AO8" s="708"/>
      <c r="AP8" s="708"/>
      <c r="AQ8" s="708"/>
      <c r="AR8" s="708"/>
      <c r="AS8" s="708"/>
      <c r="AT8" s="708"/>
      <c r="AU8" s="708"/>
      <c r="AV8" s="708"/>
      <c r="AW8" s="708"/>
      <c r="AX8" s="708"/>
      <c r="AY8" s="708"/>
      <c r="AZ8" s="708"/>
      <c r="BA8" s="708"/>
      <c r="BB8" s="708"/>
      <c r="BC8" s="708"/>
      <c r="BD8" s="708"/>
      <c r="BE8" s="708"/>
      <c r="BF8" s="708"/>
      <c r="BG8" s="708"/>
      <c r="BH8" s="708"/>
      <c r="BI8" s="708"/>
      <c r="BJ8" s="708"/>
      <c r="BK8" s="708"/>
      <c r="BL8" s="708"/>
      <c r="BM8" s="708"/>
      <c r="BN8" s="708"/>
      <c r="BO8" s="708"/>
      <c r="BP8" s="708"/>
      <c r="BQ8" s="708"/>
      <c r="BR8" s="708"/>
      <c r="BS8" s="708"/>
      <c r="BT8" s="708"/>
      <c r="BU8" s="708"/>
      <c r="BV8" s="708"/>
      <c r="BW8" s="708"/>
      <c r="BX8" s="708"/>
      <c r="BY8" s="708"/>
      <c r="BZ8" s="708"/>
      <c r="CA8" s="708"/>
      <c r="CB8" s="708"/>
      <c r="CC8" s="708"/>
      <c r="CD8" s="708"/>
      <c r="CE8" s="708"/>
      <c r="CF8" s="708"/>
      <c r="CG8" s="708"/>
      <c r="CH8" s="708"/>
      <c r="CI8" s="708"/>
      <c r="CJ8" s="708"/>
      <c r="CK8" s="708"/>
      <c r="CL8" s="708"/>
      <c r="CM8" s="708"/>
      <c r="CN8" s="708"/>
      <c r="CO8" s="708"/>
      <c r="CP8" s="708"/>
      <c r="CQ8" s="708"/>
      <c r="CR8" s="708"/>
      <c r="CS8" s="708"/>
      <c r="CT8" s="708"/>
      <c r="CU8" s="708"/>
      <c r="CV8" s="708"/>
      <c r="CW8" s="708"/>
      <c r="CX8" s="708"/>
      <c r="CY8" s="708"/>
      <c r="CZ8" s="708"/>
      <c r="DA8" s="708"/>
      <c r="DB8" s="708"/>
      <c r="DC8" s="708"/>
      <c r="DD8" s="708"/>
      <c r="DE8" s="708"/>
      <c r="DF8" s="708"/>
      <c r="DG8" s="708"/>
      <c r="DH8" s="708"/>
      <c r="DI8" s="708"/>
      <c r="DJ8" s="708"/>
      <c r="DK8" s="708"/>
      <c r="DL8" s="708"/>
      <c r="DM8" s="708"/>
      <c r="DN8" s="708"/>
      <c r="DO8" s="708"/>
      <c r="DP8" s="708"/>
      <c r="DQ8" s="708"/>
      <c r="DR8" s="708"/>
      <c r="DS8" s="708"/>
      <c r="DT8" s="708"/>
      <c r="DU8" s="708"/>
      <c r="DV8" s="708"/>
      <c r="DW8" s="708"/>
      <c r="DX8" s="708"/>
      <c r="DY8" s="708"/>
      <c r="DZ8" s="708"/>
      <c r="EA8" s="708"/>
      <c r="EB8" s="708"/>
      <c r="EC8" s="708"/>
      <c r="ED8" s="708"/>
      <c r="EE8" s="708"/>
      <c r="EF8" s="708"/>
      <c r="EG8" s="708"/>
      <c r="EH8" s="708"/>
      <c r="EI8" s="708"/>
      <c r="EJ8" s="708"/>
      <c r="EK8" s="708"/>
      <c r="EL8" s="708"/>
      <c r="EM8" s="708"/>
      <c r="EN8" s="708"/>
      <c r="EO8" s="708"/>
      <c r="EP8" s="708"/>
      <c r="EQ8" s="708"/>
      <c r="ER8" s="708"/>
      <c r="ES8" s="708"/>
      <c r="ET8" s="708"/>
      <c r="EU8" s="708"/>
      <c r="EV8" s="708"/>
      <c r="EW8" s="708"/>
      <c r="EX8" s="708"/>
      <c r="EY8" s="708"/>
      <c r="EZ8" s="708"/>
      <c r="FA8" s="708"/>
      <c r="FB8" s="708"/>
      <c r="FC8" s="708"/>
      <c r="FD8" s="708"/>
      <c r="FE8" s="708"/>
      <c r="FF8" s="708"/>
      <c r="FG8" s="708"/>
      <c r="FH8" s="708"/>
      <c r="FI8" s="708"/>
      <c r="FJ8" s="708"/>
      <c r="FK8" s="708"/>
      <c r="FL8" s="708"/>
      <c r="FM8" s="708"/>
      <c r="FN8" s="708"/>
      <c r="FO8" s="708"/>
      <c r="FP8" s="708"/>
      <c r="FQ8" s="708"/>
      <c r="FR8" s="708"/>
      <c r="FS8" s="708"/>
      <c r="FT8" s="708"/>
      <c r="FU8" s="708"/>
      <c r="FV8" s="708"/>
      <c r="FW8" s="708"/>
      <c r="FX8" s="708"/>
      <c r="FY8" s="708"/>
      <c r="FZ8" s="708"/>
      <c r="GA8" s="708"/>
      <c r="GB8" s="708"/>
      <c r="GC8" s="708"/>
      <c r="GD8" s="708"/>
      <c r="GE8" s="708"/>
      <c r="GF8" s="708"/>
      <c r="GG8" s="708"/>
      <c r="GH8" s="708"/>
      <c r="GI8" s="708"/>
      <c r="GJ8" s="708"/>
      <c r="GK8" s="708"/>
      <c r="GL8" s="708"/>
      <c r="GM8" s="708"/>
      <c r="GN8" s="708"/>
      <c r="GO8" s="708"/>
      <c r="GP8" s="708"/>
      <c r="GQ8" s="708"/>
      <c r="GR8" s="708"/>
      <c r="GS8" s="708"/>
      <c r="GT8" s="708"/>
      <c r="GU8" s="708"/>
      <c r="GV8" s="708"/>
      <c r="GW8" s="708"/>
      <c r="GX8" s="708"/>
      <c r="GY8" s="708"/>
      <c r="GZ8" s="708"/>
      <c r="HA8" s="708"/>
      <c r="HB8" s="708"/>
      <c r="HC8" s="708"/>
      <c r="HD8" s="708"/>
      <c r="HE8" s="708"/>
      <c r="HF8" s="708"/>
      <c r="HG8" s="708"/>
      <c r="HH8" s="708"/>
      <c r="HI8" s="708"/>
      <c r="HJ8" s="708"/>
      <c r="HK8" s="708"/>
      <c r="HL8" s="708"/>
      <c r="HM8" s="708"/>
      <c r="HN8" s="708"/>
      <c r="HO8" s="708"/>
      <c r="HP8" s="708"/>
      <c r="HQ8" s="708"/>
      <c r="HR8" s="708"/>
      <c r="HS8" s="708"/>
      <c r="HT8" s="708"/>
      <c r="HU8" s="708"/>
      <c r="HV8" s="708"/>
      <c r="HW8" s="708"/>
      <c r="HX8" s="708"/>
      <c r="HY8" s="708"/>
      <c r="HZ8" s="708"/>
      <c r="IA8" s="708"/>
      <c r="IB8" s="708"/>
      <c r="IC8" s="708"/>
      <c r="ID8" s="708"/>
      <c r="IE8" s="708"/>
      <c r="IF8" s="708"/>
      <c r="IG8" s="708"/>
      <c r="IH8" s="708"/>
      <c r="II8" s="708"/>
      <c r="IJ8" s="708"/>
      <c r="IK8" s="708"/>
      <c r="IL8" s="708"/>
      <c r="IM8" s="708"/>
      <c r="IN8" s="708"/>
      <c r="IO8" s="708"/>
      <c r="IP8" s="708"/>
      <c r="IQ8" s="708"/>
      <c r="IR8" s="44"/>
    </row>
    <row r="9" spans="1:6" ht="66.75" customHeight="1">
      <c r="A9" s="1773">
        <v>2</v>
      </c>
      <c r="B9" s="1774">
        <v>1</v>
      </c>
      <c r="C9" s="1777" t="s">
        <v>913</v>
      </c>
      <c r="D9" s="1778"/>
      <c r="E9" s="1779">
        <v>50000</v>
      </c>
      <c r="F9" s="1788"/>
    </row>
    <row r="10" spans="1:252" ht="16.5" customHeight="1" thickBot="1">
      <c r="A10" s="1773"/>
      <c r="B10" s="1776"/>
      <c r="C10" s="1325"/>
      <c r="D10" s="1326" t="s">
        <v>749</v>
      </c>
      <c r="E10" s="1781"/>
      <c r="F10" s="1789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  <c r="BC10" s="681"/>
      <c r="BD10" s="681"/>
      <c r="BE10" s="681"/>
      <c r="BF10" s="681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  <c r="BW10" s="681"/>
      <c r="BX10" s="681"/>
      <c r="BY10" s="681"/>
      <c r="BZ10" s="681"/>
      <c r="CA10" s="681"/>
      <c r="CB10" s="681"/>
      <c r="CC10" s="681"/>
      <c r="CD10" s="681"/>
      <c r="CE10" s="681"/>
      <c r="CF10" s="681"/>
      <c r="CG10" s="681"/>
      <c r="CH10" s="681"/>
      <c r="CI10" s="681"/>
      <c r="CJ10" s="681"/>
      <c r="CK10" s="681"/>
      <c r="CL10" s="681"/>
      <c r="CM10" s="681"/>
      <c r="CN10" s="681"/>
      <c r="CO10" s="681"/>
      <c r="CP10" s="681"/>
      <c r="CQ10" s="681"/>
      <c r="CR10" s="681"/>
      <c r="CS10" s="681"/>
      <c r="CT10" s="681"/>
      <c r="CU10" s="681"/>
      <c r="CV10" s="681"/>
      <c r="CW10" s="681"/>
      <c r="CX10" s="681"/>
      <c r="CY10" s="681"/>
      <c r="CZ10" s="681"/>
      <c r="DA10" s="681"/>
      <c r="DB10" s="681"/>
      <c r="DC10" s="681"/>
      <c r="DD10" s="681"/>
      <c r="DE10" s="681"/>
      <c r="DF10" s="681"/>
      <c r="DG10" s="681"/>
      <c r="DH10" s="681"/>
      <c r="DI10" s="681"/>
      <c r="DJ10" s="681"/>
      <c r="DK10" s="681"/>
      <c r="DL10" s="681"/>
      <c r="DM10" s="681"/>
      <c r="DN10" s="681"/>
      <c r="DO10" s="681"/>
      <c r="DP10" s="681"/>
      <c r="DQ10" s="681"/>
      <c r="DR10" s="681"/>
      <c r="DS10" s="681"/>
      <c r="DT10" s="681"/>
      <c r="DU10" s="681"/>
      <c r="DV10" s="681"/>
      <c r="DW10" s="681"/>
      <c r="DX10" s="681"/>
      <c r="DY10" s="681"/>
      <c r="DZ10" s="681"/>
      <c r="EA10" s="681"/>
      <c r="EB10" s="681"/>
      <c r="EC10" s="681"/>
      <c r="ED10" s="681"/>
      <c r="EE10" s="681"/>
      <c r="EF10" s="681"/>
      <c r="EG10" s="681"/>
      <c r="EH10" s="681"/>
      <c r="EI10" s="681"/>
      <c r="EJ10" s="681"/>
      <c r="EK10" s="681"/>
      <c r="EL10" s="681"/>
      <c r="EM10" s="681"/>
      <c r="EN10" s="681"/>
      <c r="EO10" s="681"/>
      <c r="EP10" s="681"/>
      <c r="EQ10" s="681"/>
      <c r="ER10" s="681"/>
      <c r="ES10" s="681"/>
      <c r="ET10" s="681"/>
      <c r="EU10" s="681"/>
      <c r="EV10" s="681"/>
      <c r="EW10" s="681"/>
      <c r="EX10" s="681"/>
      <c r="EY10" s="681"/>
      <c r="EZ10" s="681"/>
      <c r="FA10" s="681"/>
      <c r="FB10" s="681"/>
      <c r="FC10" s="681"/>
      <c r="FD10" s="681"/>
      <c r="FE10" s="681"/>
      <c r="FF10" s="681"/>
      <c r="FG10" s="681"/>
      <c r="FH10" s="681"/>
      <c r="FI10" s="681"/>
      <c r="FJ10" s="681"/>
      <c r="FK10" s="681"/>
      <c r="FL10" s="681"/>
      <c r="FM10" s="681"/>
      <c r="FN10" s="681"/>
      <c r="FO10" s="681"/>
      <c r="FP10" s="681"/>
      <c r="FQ10" s="681"/>
      <c r="FR10" s="681"/>
      <c r="FS10" s="681"/>
      <c r="FT10" s="681"/>
      <c r="FU10" s="681"/>
      <c r="FV10" s="681"/>
      <c r="FW10" s="681"/>
      <c r="FX10" s="681"/>
      <c r="FY10" s="681"/>
      <c r="FZ10" s="681"/>
      <c r="GA10" s="681"/>
      <c r="GB10" s="681"/>
      <c r="GC10" s="681"/>
      <c r="GD10" s="681"/>
      <c r="GE10" s="681"/>
      <c r="GF10" s="681"/>
      <c r="GG10" s="681"/>
      <c r="GH10" s="681"/>
      <c r="GI10" s="681"/>
      <c r="GJ10" s="681"/>
      <c r="GK10" s="681"/>
      <c r="GL10" s="681"/>
      <c r="GM10" s="681"/>
      <c r="GN10" s="681"/>
      <c r="GO10" s="681"/>
      <c r="GP10" s="681"/>
      <c r="GQ10" s="681"/>
      <c r="GR10" s="681"/>
      <c r="GS10" s="681"/>
      <c r="GT10" s="681"/>
      <c r="GU10" s="681"/>
      <c r="GV10" s="681"/>
      <c r="GW10" s="681"/>
      <c r="GX10" s="681"/>
      <c r="GY10" s="681"/>
      <c r="GZ10" s="681"/>
      <c r="HA10" s="681"/>
      <c r="HB10" s="681"/>
      <c r="HC10" s="681"/>
      <c r="HD10" s="681"/>
      <c r="HE10" s="681"/>
      <c r="HF10" s="681"/>
      <c r="HG10" s="681"/>
      <c r="HH10" s="681"/>
      <c r="HI10" s="681"/>
      <c r="HJ10" s="681"/>
      <c r="HK10" s="681"/>
      <c r="HL10" s="681"/>
      <c r="HM10" s="681"/>
      <c r="HN10" s="681"/>
      <c r="HO10" s="681"/>
      <c r="HP10" s="681"/>
      <c r="HQ10" s="681"/>
      <c r="HR10" s="681"/>
      <c r="HS10" s="681"/>
      <c r="HT10" s="681"/>
      <c r="HU10" s="681"/>
      <c r="HV10" s="681"/>
      <c r="HW10" s="681"/>
      <c r="HX10" s="681"/>
      <c r="HY10" s="681"/>
      <c r="HZ10" s="681"/>
      <c r="IA10" s="681"/>
      <c r="IB10" s="681"/>
      <c r="IC10" s="681"/>
      <c r="ID10" s="681"/>
      <c r="IE10" s="681"/>
      <c r="IF10" s="681"/>
      <c r="IG10" s="681"/>
      <c r="IH10" s="681"/>
      <c r="II10" s="681"/>
      <c r="IJ10" s="681"/>
      <c r="IK10" s="681"/>
      <c r="IL10" s="681"/>
      <c r="IM10" s="681"/>
      <c r="IN10" s="681"/>
      <c r="IO10" s="681"/>
      <c r="IP10" s="681"/>
      <c r="IQ10" s="681"/>
      <c r="IR10" s="44"/>
    </row>
    <row r="11" spans="1:252" ht="36.75" customHeight="1">
      <c r="A11" s="1773">
        <v>3</v>
      </c>
      <c r="B11" s="1774">
        <v>2</v>
      </c>
      <c r="C11" s="1777" t="s">
        <v>914</v>
      </c>
      <c r="D11" s="1778"/>
      <c r="E11" s="1779">
        <v>50000</v>
      </c>
      <c r="F11" s="1782">
        <v>184000</v>
      </c>
      <c r="G11" s="681"/>
      <c r="H11" s="681"/>
      <c r="I11" s="681"/>
      <c r="J11" s="681"/>
      <c r="K11" s="681"/>
      <c r="L11" s="681"/>
      <c r="M11" s="681"/>
      <c r="N11" s="681" t="s">
        <v>254</v>
      </c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1"/>
      <c r="CJ11" s="681"/>
      <c r="CK11" s="681"/>
      <c r="CL11" s="681"/>
      <c r="CM11" s="681"/>
      <c r="CN11" s="681"/>
      <c r="CO11" s="681"/>
      <c r="CP11" s="681"/>
      <c r="CQ11" s="681"/>
      <c r="CR11" s="681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1"/>
      <c r="DJ11" s="681"/>
      <c r="DK11" s="681"/>
      <c r="DL11" s="681"/>
      <c r="DM11" s="681"/>
      <c r="DN11" s="681"/>
      <c r="DO11" s="681"/>
      <c r="DP11" s="681"/>
      <c r="DQ11" s="681"/>
      <c r="DR11" s="681"/>
      <c r="DS11" s="681"/>
      <c r="DT11" s="681"/>
      <c r="DU11" s="681"/>
      <c r="DV11" s="681"/>
      <c r="DW11" s="681"/>
      <c r="DX11" s="681"/>
      <c r="DY11" s="681"/>
      <c r="DZ11" s="681"/>
      <c r="EA11" s="681"/>
      <c r="EB11" s="681"/>
      <c r="EC11" s="681"/>
      <c r="ED11" s="681"/>
      <c r="EE11" s="681"/>
      <c r="EF11" s="681"/>
      <c r="EG11" s="681"/>
      <c r="EH11" s="681"/>
      <c r="EI11" s="681"/>
      <c r="EJ11" s="681"/>
      <c r="EK11" s="681"/>
      <c r="EL11" s="681"/>
      <c r="EM11" s="681"/>
      <c r="EN11" s="681"/>
      <c r="EO11" s="681"/>
      <c r="EP11" s="681"/>
      <c r="EQ11" s="681"/>
      <c r="ER11" s="681"/>
      <c r="ES11" s="681"/>
      <c r="ET11" s="681"/>
      <c r="EU11" s="681"/>
      <c r="EV11" s="681"/>
      <c r="EW11" s="681"/>
      <c r="EX11" s="681"/>
      <c r="EY11" s="681"/>
      <c r="EZ11" s="681"/>
      <c r="FA11" s="681"/>
      <c r="FB11" s="681"/>
      <c r="FC11" s="681"/>
      <c r="FD11" s="681"/>
      <c r="FE11" s="681"/>
      <c r="FF11" s="681"/>
      <c r="FG11" s="681"/>
      <c r="FH11" s="681"/>
      <c r="FI11" s="681"/>
      <c r="FJ11" s="681"/>
      <c r="FK11" s="681"/>
      <c r="FL11" s="681"/>
      <c r="FM11" s="681"/>
      <c r="FN11" s="681"/>
      <c r="FO11" s="681"/>
      <c r="FP11" s="681"/>
      <c r="FQ11" s="681"/>
      <c r="FR11" s="681"/>
      <c r="FS11" s="681"/>
      <c r="FT11" s="681"/>
      <c r="FU11" s="681"/>
      <c r="FV11" s="681"/>
      <c r="FW11" s="681"/>
      <c r="FX11" s="681"/>
      <c r="FY11" s="681"/>
      <c r="FZ11" s="681"/>
      <c r="GA11" s="681"/>
      <c r="GB11" s="681"/>
      <c r="GC11" s="681"/>
      <c r="GD11" s="681"/>
      <c r="GE11" s="681"/>
      <c r="GF11" s="681"/>
      <c r="GG11" s="681"/>
      <c r="GH11" s="681"/>
      <c r="GI11" s="681"/>
      <c r="GJ11" s="681"/>
      <c r="GK11" s="681"/>
      <c r="GL11" s="681"/>
      <c r="GM11" s="681"/>
      <c r="GN11" s="681"/>
      <c r="GO11" s="681"/>
      <c r="GP11" s="681"/>
      <c r="GQ11" s="681"/>
      <c r="GR11" s="681"/>
      <c r="GS11" s="681"/>
      <c r="GT11" s="681"/>
      <c r="GU11" s="681"/>
      <c r="GV11" s="681"/>
      <c r="GW11" s="681"/>
      <c r="GX11" s="681"/>
      <c r="GY11" s="681"/>
      <c r="GZ11" s="681"/>
      <c r="HA11" s="681"/>
      <c r="HB11" s="681"/>
      <c r="HC11" s="681"/>
      <c r="HD11" s="681"/>
      <c r="HE11" s="681"/>
      <c r="HF11" s="681"/>
      <c r="HG11" s="681"/>
      <c r="HH11" s="681"/>
      <c r="HI11" s="681"/>
      <c r="HJ11" s="681"/>
      <c r="HK11" s="681"/>
      <c r="HL11" s="681"/>
      <c r="HM11" s="681"/>
      <c r="HN11" s="681"/>
      <c r="HO11" s="681"/>
      <c r="HP11" s="681"/>
      <c r="HQ11" s="681"/>
      <c r="HR11" s="681"/>
      <c r="HS11" s="681"/>
      <c r="HT11" s="681"/>
      <c r="HU11" s="681"/>
      <c r="HV11" s="681"/>
      <c r="HW11" s="681"/>
      <c r="HX11" s="681"/>
      <c r="HY11" s="681"/>
      <c r="HZ11" s="681"/>
      <c r="IA11" s="681"/>
      <c r="IB11" s="681"/>
      <c r="IC11" s="681"/>
      <c r="ID11" s="681"/>
      <c r="IE11" s="681"/>
      <c r="IF11" s="681"/>
      <c r="IG11" s="681"/>
      <c r="IH11" s="681"/>
      <c r="II11" s="681"/>
      <c r="IJ11" s="681"/>
      <c r="IK11" s="681"/>
      <c r="IL11" s="681"/>
      <c r="IM11" s="681"/>
      <c r="IN11" s="681"/>
      <c r="IO11" s="681"/>
      <c r="IP11" s="681"/>
      <c r="IQ11" s="681"/>
      <c r="IR11" s="44"/>
    </row>
    <row r="12" spans="1:252" ht="15.75" customHeight="1">
      <c r="A12" s="1773"/>
      <c r="B12" s="1775"/>
      <c r="C12" s="1327"/>
      <c r="D12" s="1328" t="s">
        <v>394</v>
      </c>
      <c r="E12" s="1780"/>
      <c r="F12" s="1783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681"/>
      <c r="AV12" s="681"/>
      <c r="AW12" s="681"/>
      <c r="AX12" s="681"/>
      <c r="AY12" s="681"/>
      <c r="AZ12" s="681"/>
      <c r="BA12" s="681"/>
      <c r="BB12" s="681"/>
      <c r="BC12" s="681"/>
      <c r="BD12" s="681"/>
      <c r="BE12" s="681"/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1"/>
      <c r="BR12" s="681"/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1"/>
      <c r="CF12" s="681"/>
      <c r="CG12" s="681"/>
      <c r="CH12" s="681"/>
      <c r="CI12" s="681"/>
      <c r="CJ12" s="681"/>
      <c r="CK12" s="681"/>
      <c r="CL12" s="681"/>
      <c r="CM12" s="681"/>
      <c r="CN12" s="681"/>
      <c r="CO12" s="681"/>
      <c r="CP12" s="681"/>
      <c r="CQ12" s="681"/>
      <c r="CR12" s="68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1"/>
      <c r="DJ12" s="681"/>
      <c r="DK12" s="681"/>
      <c r="DL12" s="681"/>
      <c r="DM12" s="681"/>
      <c r="DN12" s="681"/>
      <c r="DO12" s="681"/>
      <c r="DP12" s="681"/>
      <c r="DQ12" s="681"/>
      <c r="DR12" s="681"/>
      <c r="DS12" s="681"/>
      <c r="DT12" s="681"/>
      <c r="DU12" s="681"/>
      <c r="DV12" s="681"/>
      <c r="DW12" s="681"/>
      <c r="DX12" s="681"/>
      <c r="DY12" s="681"/>
      <c r="DZ12" s="681"/>
      <c r="EA12" s="681"/>
      <c r="EB12" s="681"/>
      <c r="EC12" s="681"/>
      <c r="ED12" s="681"/>
      <c r="EE12" s="681"/>
      <c r="EF12" s="681"/>
      <c r="EG12" s="681"/>
      <c r="EH12" s="681"/>
      <c r="EI12" s="681"/>
      <c r="EJ12" s="681"/>
      <c r="EK12" s="681"/>
      <c r="EL12" s="681"/>
      <c r="EM12" s="681"/>
      <c r="EN12" s="681"/>
      <c r="EO12" s="681"/>
      <c r="EP12" s="681"/>
      <c r="EQ12" s="681"/>
      <c r="ER12" s="681"/>
      <c r="ES12" s="681"/>
      <c r="ET12" s="681"/>
      <c r="EU12" s="681"/>
      <c r="EV12" s="681"/>
      <c r="EW12" s="681"/>
      <c r="EX12" s="681"/>
      <c r="EY12" s="681"/>
      <c r="EZ12" s="681"/>
      <c r="FA12" s="681"/>
      <c r="FB12" s="681"/>
      <c r="FC12" s="681"/>
      <c r="FD12" s="681"/>
      <c r="FE12" s="681"/>
      <c r="FF12" s="681"/>
      <c r="FG12" s="681"/>
      <c r="FH12" s="681"/>
      <c r="FI12" s="681"/>
      <c r="FJ12" s="681"/>
      <c r="FK12" s="681"/>
      <c r="FL12" s="681"/>
      <c r="FM12" s="681"/>
      <c r="FN12" s="681"/>
      <c r="FO12" s="681"/>
      <c r="FP12" s="681"/>
      <c r="FQ12" s="681"/>
      <c r="FR12" s="681"/>
      <c r="FS12" s="681"/>
      <c r="FT12" s="681"/>
      <c r="FU12" s="681"/>
      <c r="FV12" s="681"/>
      <c r="FW12" s="681"/>
      <c r="FX12" s="681"/>
      <c r="FY12" s="681"/>
      <c r="FZ12" s="681"/>
      <c r="GA12" s="681"/>
      <c r="GB12" s="681"/>
      <c r="GC12" s="681"/>
      <c r="GD12" s="681"/>
      <c r="GE12" s="681"/>
      <c r="GF12" s="681"/>
      <c r="GG12" s="681"/>
      <c r="GH12" s="681"/>
      <c r="GI12" s="681"/>
      <c r="GJ12" s="681"/>
      <c r="GK12" s="681"/>
      <c r="GL12" s="681"/>
      <c r="GM12" s="681"/>
      <c r="GN12" s="681"/>
      <c r="GO12" s="681"/>
      <c r="GP12" s="681"/>
      <c r="GQ12" s="681"/>
      <c r="GR12" s="681"/>
      <c r="GS12" s="681"/>
      <c r="GT12" s="681"/>
      <c r="GU12" s="681"/>
      <c r="GV12" s="681"/>
      <c r="GW12" s="681"/>
      <c r="GX12" s="681"/>
      <c r="GY12" s="681"/>
      <c r="GZ12" s="681"/>
      <c r="HA12" s="681"/>
      <c r="HB12" s="681"/>
      <c r="HC12" s="681"/>
      <c r="HD12" s="681"/>
      <c r="HE12" s="681"/>
      <c r="HF12" s="681"/>
      <c r="HG12" s="681"/>
      <c r="HH12" s="681"/>
      <c r="HI12" s="681"/>
      <c r="HJ12" s="681"/>
      <c r="HK12" s="681"/>
      <c r="HL12" s="681"/>
      <c r="HM12" s="681"/>
      <c r="HN12" s="681"/>
      <c r="HO12" s="681"/>
      <c r="HP12" s="681"/>
      <c r="HQ12" s="681"/>
      <c r="HR12" s="681"/>
      <c r="HS12" s="681"/>
      <c r="HT12" s="681"/>
      <c r="HU12" s="681"/>
      <c r="HV12" s="681"/>
      <c r="HW12" s="681"/>
      <c r="HX12" s="681"/>
      <c r="HY12" s="681"/>
      <c r="HZ12" s="681"/>
      <c r="IA12" s="681"/>
      <c r="IB12" s="681"/>
      <c r="IC12" s="681"/>
      <c r="ID12" s="681"/>
      <c r="IE12" s="681"/>
      <c r="IF12" s="681"/>
      <c r="IG12" s="681"/>
      <c r="IH12" s="681"/>
      <c r="II12" s="681"/>
      <c r="IJ12" s="681"/>
      <c r="IK12" s="681"/>
      <c r="IL12" s="681"/>
      <c r="IM12" s="681"/>
      <c r="IN12" s="681"/>
      <c r="IO12" s="681"/>
      <c r="IP12" s="681"/>
      <c r="IQ12" s="681"/>
      <c r="IR12" s="44"/>
    </row>
    <row r="13" spans="1:251" ht="17.25" customHeight="1" thickBot="1">
      <c r="A13" s="1773"/>
      <c r="B13" s="1776"/>
      <c r="C13" s="1325"/>
      <c r="D13" s="1326" t="s">
        <v>615</v>
      </c>
      <c r="E13" s="1781"/>
      <c r="F13" s="1784"/>
      <c r="IL13" s="41"/>
      <c r="IM13" s="41"/>
      <c r="IN13" s="41"/>
      <c r="IO13" s="41"/>
      <c r="IP13" s="41"/>
      <c r="IQ13" s="41"/>
    </row>
    <row r="14" spans="1:6" ht="54" customHeight="1">
      <c r="A14" s="1773">
        <v>4</v>
      </c>
      <c r="B14" s="1774">
        <v>3</v>
      </c>
      <c r="C14" s="1785" t="s">
        <v>915</v>
      </c>
      <c r="D14" s="1778"/>
      <c r="E14" s="1779">
        <v>232000</v>
      </c>
      <c r="F14" s="1782">
        <v>109000</v>
      </c>
    </row>
    <row r="15" spans="1:6" ht="33">
      <c r="A15" s="1773"/>
      <c r="B15" s="1775"/>
      <c r="C15" s="1327"/>
      <c r="D15" s="1328" t="s">
        <v>916</v>
      </c>
      <c r="E15" s="1780"/>
      <c r="F15" s="1783"/>
    </row>
    <row r="16" spans="1:6" ht="33">
      <c r="A16" s="1773"/>
      <c r="B16" s="1775"/>
      <c r="C16" s="1327"/>
      <c r="D16" s="1328" t="s">
        <v>917</v>
      </c>
      <c r="E16" s="1780"/>
      <c r="F16" s="1783"/>
    </row>
    <row r="17" spans="1:6" ht="16.5">
      <c r="A17" s="1773"/>
      <c r="B17" s="1775"/>
      <c r="C17" s="1327"/>
      <c r="D17" s="1328" t="s">
        <v>918</v>
      </c>
      <c r="E17" s="1780"/>
      <c r="F17" s="1783"/>
    </row>
    <row r="18" spans="1:6" ht="33.75" thickBot="1">
      <c r="A18" s="1773"/>
      <c r="B18" s="1776"/>
      <c r="C18" s="1325"/>
      <c r="D18" s="1326" t="s">
        <v>919</v>
      </c>
      <c r="E18" s="1781"/>
      <c r="F18" s="1784"/>
    </row>
    <row r="19" spans="1:6" ht="52.5" customHeight="1">
      <c r="A19" s="1773">
        <v>5</v>
      </c>
      <c r="B19" s="1774">
        <v>4</v>
      </c>
      <c r="C19" s="1785" t="s">
        <v>920</v>
      </c>
      <c r="D19" s="1778"/>
      <c r="E19" s="1786"/>
      <c r="F19" s="1782">
        <v>44000</v>
      </c>
    </row>
    <row r="20" spans="1:6" ht="13.5" customHeight="1">
      <c r="A20" s="1773"/>
      <c r="B20" s="1775"/>
      <c r="C20" s="1327"/>
      <c r="D20" s="1328" t="s">
        <v>921</v>
      </c>
      <c r="E20" s="1787"/>
      <c r="F20" s="1783"/>
    </row>
    <row r="21" spans="1:6" ht="15.75" customHeight="1" thickBot="1">
      <c r="A21" s="1773"/>
      <c r="B21" s="1775"/>
      <c r="C21" s="1325"/>
      <c r="D21" s="1326" t="s">
        <v>922</v>
      </c>
      <c r="E21" s="1787"/>
      <c r="F21" s="1783"/>
    </row>
    <row r="22" spans="1:6" ht="66" customHeight="1">
      <c r="A22" s="1773">
        <v>6</v>
      </c>
      <c r="B22" s="1774">
        <v>5</v>
      </c>
      <c r="C22" s="1777" t="s">
        <v>923</v>
      </c>
      <c r="D22" s="1778"/>
      <c r="E22" s="1779">
        <v>297000</v>
      </c>
      <c r="F22" s="1782">
        <v>294000</v>
      </c>
    </row>
    <row r="23" spans="1:6" ht="16.5">
      <c r="A23" s="1773"/>
      <c r="B23" s="1775"/>
      <c r="C23" s="1329"/>
      <c r="D23" s="1330" t="s">
        <v>924</v>
      </c>
      <c r="E23" s="1780"/>
      <c r="F23" s="1783"/>
    </row>
    <row r="24" spans="1:6" ht="33">
      <c r="A24" s="1773"/>
      <c r="B24" s="1775"/>
      <c r="C24" s="1329"/>
      <c r="D24" s="1330" t="s">
        <v>776</v>
      </c>
      <c r="E24" s="1780"/>
      <c r="F24" s="1783"/>
    </row>
    <row r="25" spans="1:6" ht="16.5">
      <c r="A25" s="1773"/>
      <c r="B25" s="1775"/>
      <c r="C25" s="1329"/>
      <c r="D25" s="1330" t="s">
        <v>925</v>
      </c>
      <c r="E25" s="1780"/>
      <c r="F25" s="1783"/>
    </row>
    <row r="26" spans="1:6" ht="33">
      <c r="A26" s="1773"/>
      <c r="B26" s="1775"/>
      <c r="C26" s="1329"/>
      <c r="D26" s="1330" t="s">
        <v>926</v>
      </c>
      <c r="E26" s="1780"/>
      <c r="F26" s="1783"/>
    </row>
    <row r="27" spans="1:6" ht="16.5">
      <c r="A27" s="1773"/>
      <c r="B27" s="1775"/>
      <c r="C27" s="1329"/>
      <c r="D27" s="1330" t="s">
        <v>781</v>
      </c>
      <c r="E27" s="1780"/>
      <c r="F27" s="1783"/>
    </row>
    <row r="28" spans="1:6" ht="16.5">
      <c r="A28" s="1773"/>
      <c r="B28" s="1775"/>
      <c r="C28" s="1329"/>
      <c r="D28" s="1330" t="s">
        <v>748</v>
      </c>
      <c r="E28" s="1780"/>
      <c r="F28" s="1783"/>
    </row>
    <row r="29" spans="1:6" ht="16.5">
      <c r="A29" s="1773"/>
      <c r="B29" s="1775"/>
      <c r="C29" s="1329"/>
      <c r="D29" s="1330" t="s">
        <v>750</v>
      </c>
      <c r="E29" s="1780"/>
      <c r="F29" s="1783"/>
    </row>
    <row r="30" spans="1:6" ht="38.25" customHeight="1" thickBot="1">
      <c r="A30" s="1773"/>
      <c r="B30" s="1775"/>
      <c r="C30" s="1331"/>
      <c r="D30" s="1332" t="s">
        <v>704</v>
      </c>
      <c r="E30" s="1781"/>
      <c r="F30" s="1784"/>
    </row>
    <row r="31" spans="1:6" ht="22.5" customHeight="1" thickBot="1">
      <c r="A31" s="1323">
        <v>7</v>
      </c>
      <c r="B31" s="1766" t="s">
        <v>609</v>
      </c>
      <c r="C31" s="1767"/>
      <c r="D31" s="1768"/>
      <c r="E31" s="1333">
        <v>629000</v>
      </c>
      <c r="F31" s="1334">
        <v>631000</v>
      </c>
    </row>
    <row r="32" spans="1:6" ht="22.5" customHeight="1" thickBot="1">
      <c r="A32" s="1323">
        <v>8</v>
      </c>
      <c r="B32" s="1766" t="s">
        <v>927</v>
      </c>
      <c r="C32" s="1767"/>
      <c r="D32" s="1768"/>
      <c r="E32" s="1769">
        <v>1260000</v>
      </c>
      <c r="F32" s="1770"/>
    </row>
    <row r="33" spans="2:6" ht="63" customHeight="1">
      <c r="B33" s="1772" t="s">
        <v>977</v>
      </c>
      <c r="C33" s="1772"/>
      <c r="D33" s="1772"/>
      <c r="E33" s="1772"/>
      <c r="F33" s="1772"/>
    </row>
  </sheetData>
  <sheetProtection/>
  <mergeCells count="34">
    <mergeCell ref="A22:A30"/>
    <mergeCell ref="B22:B30"/>
    <mergeCell ref="C22:D22"/>
    <mergeCell ref="E22:E30"/>
    <mergeCell ref="F22:F30"/>
    <mergeCell ref="A9:A10"/>
    <mergeCell ref="B9:B10"/>
    <mergeCell ref="C9:D9"/>
    <mergeCell ref="E9:E10"/>
    <mergeCell ref="F9:F10"/>
    <mergeCell ref="B33:F33"/>
    <mergeCell ref="A11:A13"/>
    <mergeCell ref="B11:B13"/>
    <mergeCell ref="C11:D11"/>
    <mergeCell ref="E11:E13"/>
    <mergeCell ref="F11:F13"/>
    <mergeCell ref="A19:A21"/>
    <mergeCell ref="B19:B21"/>
    <mergeCell ref="C19:D19"/>
    <mergeCell ref="E19:E21"/>
    <mergeCell ref="F19:F21"/>
    <mergeCell ref="A14:A18"/>
    <mergeCell ref="B14:B18"/>
    <mergeCell ref="C14:D14"/>
    <mergeCell ref="E14:E18"/>
    <mergeCell ref="F14:F18"/>
    <mergeCell ref="B8:D8"/>
    <mergeCell ref="B1:D1"/>
    <mergeCell ref="B3:F3"/>
    <mergeCell ref="B4:F4"/>
    <mergeCell ref="B32:D32"/>
    <mergeCell ref="E32:F32"/>
    <mergeCell ref="B31:D31"/>
    <mergeCell ref="B7:D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4" r:id="rId1"/>
  <headerFooter>
    <oddFooter>&amp;C-&amp;P -</oddFooter>
  </headerFooter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zoomScalePageLayoutView="0" workbookViewId="0" topLeftCell="A1">
      <selection activeCell="B1" sqref="B1:C1"/>
    </sheetView>
  </sheetViews>
  <sheetFormatPr defaultColWidth="9.125" defaultRowHeight="12.75"/>
  <cols>
    <col min="1" max="1" width="3.75390625" style="209" customWidth="1"/>
    <col min="2" max="2" width="75.75390625" style="240" customWidth="1"/>
    <col min="3" max="4" width="13.75390625" style="241" customWidth="1"/>
    <col min="5" max="5" width="15.75390625" style="241" customWidth="1"/>
    <col min="6" max="6" width="13.75390625" style="241" customWidth="1"/>
    <col min="7" max="7" width="16.875" style="242" customWidth="1"/>
    <col min="8" max="16384" width="9.125" style="242" customWidth="1"/>
  </cols>
  <sheetData>
    <row r="1" spans="1:6" s="210" customFormat="1" ht="16.5" customHeight="1">
      <c r="A1" s="209"/>
      <c r="B1" s="1512" t="s">
        <v>1004</v>
      </c>
      <c r="C1" s="1512"/>
      <c r="D1" s="1513"/>
      <c r="E1" s="1513"/>
      <c r="F1" s="886"/>
    </row>
    <row r="2" spans="1:12" s="213" customFormat="1" ht="24.75" customHeight="1">
      <c r="A2" s="211"/>
      <c r="B2" s="1514" t="s">
        <v>328</v>
      </c>
      <c r="C2" s="1514"/>
      <c r="D2" s="1514"/>
      <c r="E2" s="1514"/>
      <c r="F2" s="212"/>
      <c r="G2" s="1516"/>
      <c r="H2" s="1516"/>
      <c r="I2" s="1516"/>
      <c r="J2" s="1516"/>
      <c r="K2" s="1516"/>
      <c r="L2" s="1516"/>
    </row>
    <row r="3" spans="1:12" s="210" customFormat="1" ht="24.75" customHeight="1">
      <c r="A3" s="209"/>
      <c r="B3" s="1517" t="s">
        <v>669</v>
      </c>
      <c r="C3" s="1517"/>
      <c r="D3" s="1517"/>
      <c r="E3" s="1517"/>
      <c r="F3" s="214"/>
      <c r="G3" s="1518"/>
      <c r="H3" s="1518"/>
      <c r="I3" s="1518"/>
      <c r="J3" s="1518"/>
      <c r="K3" s="1518"/>
      <c r="L3" s="1518"/>
    </row>
    <row r="4" spans="1:6" s="902" customFormat="1" ht="15">
      <c r="A4" s="215"/>
      <c r="B4" s="898"/>
      <c r="C4" s="899"/>
      <c r="D4" s="899"/>
      <c r="E4" s="900" t="s">
        <v>0</v>
      </c>
      <c r="F4" s="901"/>
    </row>
    <row r="5" spans="1:6" s="130" customFormat="1" ht="15" thickBot="1">
      <c r="A5" s="215"/>
      <c r="B5" s="216" t="s">
        <v>1</v>
      </c>
      <c r="C5" s="217" t="s">
        <v>3</v>
      </c>
      <c r="D5" s="217" t="s">
        <v>2</v>
      </c>
      <c r="E5" s="63" t="s">
        <v>4</v>
      </c>
      <c r="F5" s="63"/>
    </row>
    <row r="6" spans="1:6" s="41" customFormat="1" ht="17.25">
      <c r="A6" s="215"/>
      <c r="B6" s="1519" t="s">
        <v>6</v>
      </c>
      <c r="C6" s="1521" t="s">
        <v>531</v>
      </c>
      <c r="D6" s="1521" t="s">
        <v>633</v>
      </c>
      <c r="E6" s="218" t="s">
        <v>329</v>
      </c>
      <c r="F6" s="219"/>
    </row>
    <row r="7" spans="1:6" s="41" customFormat="1" ht="18" thickBot="1">
      <c r="A7" s="215"/>
      <c r="B7" s="1520"/>
      <c r="C7" s="1522"/>
      <c r="D7" s="1522"/>
      <c r="E7" s="220" t="s">
        <v>670</v>
      </c>
      <c r="F7" s="219"/>
    </row>
    <row r="8" spans="1:7" s="66" customFormat="1" ht="34.5" customHeight="1">
      <c r="A8" s="215">
        <v>1</v>
      </c>
      <c r="B8" s="221" t="s">
        <v>330</v>
      </c>
      <c r="C8" s="222">
        <v>0</v>
      </c>
      <c r="D8" s="222">
        <v>0</v>
      </c>
      <c r="E8" s="223"/>
      <c r="F8" s="224"/>
      <c r="G8" s="225"/>
    </row>
    <row r="9" spans="1:6" s="66" customFormat="1" ht="34.5" customHeight="1">
      <c r="A9" s="215">
        <v>2</v>
      </c>
      <c r="B9" s="226" t="s">
        <v>331</v>
      </c>
      <c r="C9" s="227">
        <f>SUM(C10:C13)</f>
        <v>1108325</v>
      </c>
      <c r="D9" s="227">
        <f>SUM(D10:D13)</f>
        <v>1125011</v>
      </c>
      <c r="E9" s="223">
        <f aca="true" t="shared" si="0" ref="E9:E16">(D9/C9)</f>
        <v>1.0150551507906074</v>
      </c>
      <c r="F9" s="224"/>
    </row>
    <row r="10" spans="1:6" s="41" customFormat="1" ht="33" customHeight="1">
      <c r="A10" s="215">
        <v>3</v>
      </c>
      <c r="B10" s="228" t="s">
        <v>332</v>
      </c>
      <c r="C10" s="229">
        <v>911028</v>
      </c>
      <c r="D10" s="229">
        <v>927157</v>
      </c>
      <c r="E10" s="230">
        <f>(D10/C10)</f>
        <v>1.017704175941903</v>
      </c>
      <c r="F10" s="231"/>
    </row>
    <row r="11" spans="1:6" s="41" customFormat="1" ht="25.5" customHeight="1">
      <c r="A11" s="215">
        <v>4</v>
      </c>
      <c r="B11" s="228" t="s">
        <v>333</v>
      </c>
      <c r="C11" s="229">
        <v>165613</v>
      </c>
      <c r="D11" s="229">
        <v>162239</v>
      </c>
      <c r="E11" s="230">
        <f t="shared" si="0"/>
        <v>0.9796272031784944</v>
      </c>
      <c r="F11" s="231"/>
    </row>
    <row r="12" spans="1:6" s="41" customFormat="1" ht="33">
      <c r="A12" s="215">
        <v>5</v>
      </c>
      <c r="B12" s="228" t="s">
        <v>334</v>
      </c>
      <c r="C12" s="229">
        <v>28306</v>
      </c>
      <c r="D12" s="229">
        <v>30745</v>
      </c>
      <c r="E12" s="230">
        <f t="shared" si="0"/>
        <v>1.0861654772839682</v>
      </c>
      <c r="F12" s="231"/>
    </row>
    <row r="13" spans="1:6" s="41" customFormat="1" ht="25.5" customHeight="1">
      <c r="A13" s="215">
        <v>6</v>
      </c>
      <c r="B13" s="228" t="s">
        <v>556</v>
      </c>
      <c r="C13" s="229">
        <v>3378</v>
      </c>
      <c r="D13" s="229">
        <v>4870</v>
      </c>
      <c r="E13" s="230">
        <f t="shared" si="0"/>
        <v>1.4416814683244523</v>
      </c>
      <c r="F13" s="231"/>
    </row>
    <row r="14" spans="1:6" s="66" customFormat="1" ht="34.5">
      <c r="A14" s="215">
        <v>7</v>
      </c>
      <c r="B14" s="226" t="s">
        <v>415</v>
      </c>
      <c r="C14" s="227">
        <f>SUM(C15:C27)</f>
        <v>1319428</v>
      </c>
      <c r="D14" s="227">
        <f>SUM(D15:D27)</f>
        <v>1480333</v>
      </c>
      <c r="E14" s="223">
        <f t="shared" si="0"/>
        <v>1.1219505725208196</v>
      </c>
      <c r="F14" s="224"/>
    </row>
    <row r="15" spans="1:6" s="41" customFormat="1" ht="25.5" customHeight="1">
      <c r="A15" s="215">
        <v>8</v>
      </c>
      <c r="B15" s="228" t="s">
        <v>410</v>
      </c>
      <c r="C15" s="229">
        <v>35020</v>
      </c>
      <c r="D15" s="229">
        <v>35020</v>
      </c>
      <c r="E15" s="230">
        <f t="shared" si="0"/>
        <v>1</v>
      </c>
      <c r="F15" s="231"/>
    </row>
    <row r="16" spans="1:6" s="41" customFormat="1" ht="25.5" customHeight="1">
      <c r="A16" s="215">
        <v>9</v>
      </c>
      <c r="B16" s="228" t="s">
        <v>411</v>
      </c>
      <c r="C16" s="229">
        <v>39270</v>
      </c>
      <c r="D16" s="229">
        <v>39270</v>
      </c>
      <c r="E16" s="230">
        <f t="shared" si="0"/>
        <v>1</v>
      </c>
      <c r="F16" s="231"/>
    </row>
    <row r="17" spans="1:6" s="41" customFormat="1" ht="25.5" customHeight="1">
      <c r="A17" s="215">
        <v>10</v>
      </c>
      <c r="B17" s="228" t="s">
        <v>335</v>
      </c>
      <c r="C17" s="229">
        <v>39887</v>
      </c>
      <c r="D17" s="229">
        <v>49393</v>
      </c>
      <c r="E17" s="230">
        <f aca="true" t="shared" si="1" ref="E17:E35">(D17/C17)</f>
        <v>1.2383232632185925</v>
      </c>
      <c r="F17" s="231"/>
    </row>
    <row r="18" spans="1:6" s="41" customFormat="1" ht="25.5" customHeight="1">
      <c r="A18" s="215">
        <v>11</v>
      </c>
      <c r="B18" s="228" t="s">
        <v>336</v>
      </c>
      <c r="C18" s="229">
        <v>52463</v>
      </c>
      <c r="D18" s="229">
        <v>65687</v>
      </c>
      <c r="E18" s="230">
        <f t="shared" si="1"/>
        <v>1.2520633589386807</v>
      </c>
      <c r="F18" s="231"/>
    </row>
    <row r="19" spans="1:6" s="41" customFormat="1" ht="22.5" customHeight="1">
      <c r="A19" s="215">
        <v>12</v>
      </c>
      <c r="B19" s="228" t="s">
        <v>337</v>
      </c>
      <c r="C19" s="229">
        <v>26160</v>
      </c>
      <c r="D19" s="229">
        <v>39900</v>
      </c>
      <c r="E19" s="230">
        <f t="shared" si="1"/>
        <v>1.525229357798165</v>
      </c>
      <c r="F19" s="231"/>
    </row>
    <row r="20" spans="1:6" s="41" customFormat="1" ht="22.5" customHeight="1">
      <c r="A20" s="215">
        <v>13</v>
      </c>
      <c r="B20" s="228" t="s">
        <v>412</v>
      </c>
      <c r="C20" s="229">
        <v>22000</v>
      </c>
      <c r="D20" s="229">
        <v>32245</v>
      </c>
      <c r="E20" s="230">
        <f t="shared" si="1"/>
        <v>1.465681818181818</v>
      </c>
      <c r="F20" s="231"/>
    </row>
    <row r="21" spans="1:6" s="41" customFormat="1" ht="22.5" customHeight="1">
      <c r="A21" s="215">
        <v>14</v>
      </c>
      <c r="B21" s="228" t="s">
        <v>413</v>
      </c>
      <c r="C21" s="229">
        <v>8500</v>
      </c>
      <c r="D21" s="229">
        <v>13780</v>
      </c>
      <c r="E21" s="230">
        <f t="shared" si="1"/>
        <v>1.6211764705882352</v>
      </c>
      <c r="F21" s="231"/>
    </row>
    <row r="22" spans="1:6" s="41" customFormat="1" ht="22.5" customHeight="1">
      <c r="A22" s="215">
        <v>15</v>
      </c>
      <c r="B22" s="228" t="s">
        <v>557</v>
      </c>
      <c r="C22" s="229">
        <v>54369</v>
      </c>
      <c r="D22" s="229">
        <v>54612</v>
      </c>
      <c r="E22" s="230">
        <f t="shared" si="1"/>
        <v>1.004469458698891</v>
      </c>
      <c r="F22" s="231"/>
    </row>
    <row r="23" spans="1:6" s="41" customFormat="1" ht="22.5" customHeight="1">
      <c r="A23" s="215">
        <v>16</v>
      </c>
      <c r="B23" s="228" t="s">
        <v>338</v>
      </c>
      <c r="C23" s="229">
        <v>9398</v>
      </c>
      <c r="D23" s="229">
        <v>19290</v>
      </c>
      <c r="E23" s="230">
        <f t="shared" si="1"/>
        <v>2.052564375399021</v>
      </c>
      <c r="F23" s="231"/>
    </row>
    <row r="24" spans="1:6" s="41" customFormat="1" ht="22.5" customHeight="1">
      <c r="A24" s="215">
        <v>17</v>
      </c>
      <c r="B24" s="228" t="s">
        <v>339</v>
      </c>
      <c r="C24" s="229">
        <v>111469</v>
      </c>
      <c r="D24" s="229">
        <f>142747+30058</f>
        <v>172805</v>
      </c>
      <c r="E24" s="230">
        <f t="shared" si="1"/>
        <v>1.5502516394692696</v>
      </c>
      <c r="F24" s="231"/>
    </row>
    <row r="25" spans="1:6" s="41" customFormat="1" ht="22.5" customHeight="1">
      <c r="A25" s="215">
        <v>18</v>
      </c>
      <c r="B25" s="228" t="s">
        <v>340</v>
      </c>
      <c r="C25" s="229">
        <v>482460</v>
      </c>
      <c r="D25" s="229">
        <v>501906</v>
      </c>
      <c r="E25" s="230">
        <f t="shared" si="1"/>
        <v>1.0403059320979977</v>
      </c>
      <c r="F25" s="231"/>
    </row>
    <row r="26" spans="1:6" s="41" customFormat="1" ht="22.5" customHeight="1">
      <c r="A26" s="215">
        <v>19</v>
      </c>
      <c r="B26" s="228" t="s">
        <v>341</v>
      </c>
      <c r="C26" s="229">
        <v>133</v>
      </c>
      <c r="D26" s="229">
        <v>76</v>
      </c>
      <c r="E26" s="230">
        <f>(D26/C26)</f>
        <v>0.5714285714285714</v>
      </c>
      <c r="F26" s="231"/>
    </row>
    <row r="27" spans="1:6" s="41" customFormat="1" ht="22.5" customHeight="1">
      <c r="A27" s="215">
        <v>20</v>
      </c>
      <c r="B27" s="228" t="s">
        <v>414</v>
      </c>
      <c r="C27" s="229">
        <v>438299</v>
      </c>
      <c r="D27" s="229">
        <v>456349</v>
      </c>
      <c r="E27" s="230">
        <f>(D27/C27)</f>
        <v>1.041181932881435</v>
      </c>
      <c r="F27" s="231"/>
    </row>
    <row r="28" spans="1:6" s="624" customFormat="1" ht="34.5" customHeight="1">
      <c r="A28" s="215">
        <v>21</v>
      </c>
      <c r="B28" s="232" t="s">
        <v>342</v>
      </c>
      <c r="C28" s="233">
        <f>SUM(C29:C34)</f>
        <v>766792</v>
      </c>
      <c r="D28" s="233">
        <f>SUM(D29:D34)</f>
        <v>461283</v>
      </c>
      <c r="E28" s="622">
        <f t="shared" si="1"/>
        <v>0.6015751338042129</v>
      </c>
      <c r="F28" s="623"/>
    </row>
    <row r="29" spans="1:6" s="625" customFormat="1" ht="25.5" customHeight="1">
      <c r="A29" s="215">
        <v>22</v>
      </c>
      <c r="B29" s="234" t="s">
        <v>343</v>
      </c>
      <c r="C29" s="235">
        <v>117500</v>
      </c>
      <c r="D29" s="235">
        <v>120660</v>
      </c>
      <c r="E29" s="620">
        <f t="shared" si="1"/>
        <v>1.0268936170212766</v>
      </c>
      <c r="F29" s="621"/>
    </row>
    <row r="30" spans="1:6" s="625" customFormat="1" ht="25.5" customHeight="1">
      <c r="A30" s="215">
        <v>23</v>
      </c>
      <c r="B30" s="234" t="s">
        <v>344</v>
      </c>
      <c r="C30" s="235">
        <v>140200</v>
      </c>
      <c r="D30" s="235">
        <v>140200</v>
      </c>
      <c r="E30" s="620">
        <f t="shared" si="1"/>
        <v>1</v>
      </c>
      <c r="F30" s="621"/>
    </row>
    <row r="31" spans="1:6" s="625" customFormat="1" ht="25.5" customHeight="1">
      <c r="A31" s="215">
        <v>24</v>
      </c>
      <c r="B31" s="234" t="s">
        <v>345</v>
      </c>
      <c r="C31" s="235">
        <v>25588</v>
      </c>
      <c r="D31" s="235">
        <v>25675</v>
      </c>
      <c r="E31" s="620">
        <f t="shared" si="1"/>
        <v>1.0034000312646554</v>
      </c>
      <c r="F31" s="621"/>
    </row>
    <row r="32" spans="1:6" s="625" customFormat="1" ht="25.5" customHeight="1">
      <c r="A32" s="215">
        <v>25</v>
      </c>
      <c r="B32" s="234" t="s">
        <v>346</v>
      </c>
      <c r="C32" s="235">
        <v>149704</v>
      </c>
      <c r="D32" s="235">
        <v>150648</v>
      </c>
      <c r="E32" s="620">
        <f t="shared" si="1"/>
        <v>1.0063057767327526</v>
      </c>
      <c r="F32" s="621"/>
    </row>
    <row r="33" spans="1:6" s="625" customFormat="1" ht="25.5" customHeight="1">
      <c r="A33" s="215">
        <v>26</v>
      </c>
      <c r="B33" s="234" t="s">
        <v>347</v>
      </c>
      <c r="C33" s="235">
        <v>308800</v>
      </c>
      <c r="D33" s="891" t="s">
        <v>958</v>
      </c>
      <c r="E33" s="620"/>
      <c r="F33" s="621"/>
    </row>
    <row r="34" spans="1:6" s="625" customFormat="1" ht="25.5" customHeight="1" thickBot="1">
      <c r="A34" s="215">
        <v>27</v>
      </c>
      <c r="B34" s="234" t="s">
        <v>348</v>
      </c>
      <c r="C34" s="235">
        <v>25000</v>
      </c>
      <c r="D34" s="235">
        <v>24100</v>
      </c>
      <c r="E34" s="620">
        <f t="shared" si="1"/>
        <v>0.964</v>
      </c>
      <c r="F34" s="621"/>
    </row>
    <row r="35" spans="1:6" s="239" customFormat="1" ht="36" customHeight="1" thickBot="1">
      <c r="A35" s="215">
        <v>28</v>
      </c>
      <c r="B35" s="236" t="s">
        <v>13</v>
      </c>
      <c r="C35" s="237">
        <f>SUM(C8:C9,C14,C28)</f>
        <v>3194545</v>
      </c>
      <c r="D35" s="237">
        <f>SUM(D8:D9,D14,D28)</f>
        <v>3066627</v>
      </c>
      <c r="E35" s="238">
        <f t="shared" si="1"/>
        <v>0.9599573648203422</v>
      </c>
      <c r="F35" s="224"/>
    </row>
    <row r="36" spans="2:5" ht="46.5" customHeight="1">
      <c r="B36" s="1515" t="s">
        <v>979</v>
      </c>
      <c r="C36" s="1515"/>
      <c r="D36" s="1515"/>
      <c r="E36" s="1515"/>
    </row>
  </sheetData>
  <sheetProtection/>
  <mergeCells count="10">
    <mergeCell ref="B1:C1"/>
    <mergeCell ref="D1:E1"/>
    <mergeCell ref="B2:E2"/>
    <mergeCell ref="B36:E36"/>
    <mergeCell ref="G2:L2"/>
    <mergeCell ref="B3:E3"/>
    <mergeCell ref="G3:L3"/>
    <mergeCell ref="B6:B7"/>
    <mergeCell ref="C6:C7"/>
    <mergeCell ref="D6:D7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82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"/>
  <sheetViews>
    <sheetView view="pageBreakPreview" zoomScaleSheetLayoutView="100" zoomScalePageLayoutView="0" workbookViewId="0" topLeftCell="A1">
      <selection activeCell="B1" sqref="B1"/>
    </sheetView>
  </sheetViews>
  <sheetFormatPr defaultColWidth="3.00390625" defaultRowHeight="12.75"/>
  <cols>
    <col min="1" max="1" width="4.375" style="678" customWidth="1"/>
    <col min="2" max="2" width="60.75390625" style="684" customWidth="1"/>
    <col min="3" max="3" width="16.00390625" style="685" customWidth="1"/>
    <col min="4" max="250" width="8.00390625" style="682" customWidth="1"/>
    <col min="251" max="251" width="3.00390625" style="682" bestFit="1" customWidth="1"/>
    <col min="252" max="16384" width="3.00390625" style="41" customWidth="1"/>
  </cols>
  <sheetData>
    <row r="1" spans="2:252" ht="17.25">
      <c r="B1" s="1" t="s">
        <v>1022</v>
      </c>
      <c r="C1" s="679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680"/>
      <c r="EH1" s="680"/>
      <c r="EI1" s="680"/>
      <c r="EJ1" s="680"/>
      <c r="EK1" s="680"/>
      <c r="EL1" s="680"/>
      <c r="EM1" s="680"/>
      <c r="EN1" s="680"/>
      <c r="EO1" s="680"/>
      <c r="EP1" s="680"/>
      <c r="EQ1" s="680"/>
      <c r="ER1" s="680"/>
      <c r="ES1" s="680"/>
      <c r="ET1" s="680"/>
      <c r="EU1" s="680"/>
      <c r="EV1" s="680"/>
      <c r="EW1" s="680"/>
      <c r="EX1" s="680"/>
      <c r="EY1" s="680"/>
      <c r="EZ1" s="680"/>
      <c r="FA1" s="680"/>
      <c r="FB1" s="680"/>
      <c r="FC1" s="680"/>
      <c r="FD1" s="680"/>
      <c r="FE1" s="680"/>
      <c r="FF1" s="680"/>
      <c r="FG1" s="680"/>
      <c r="FH1" s="680"/>
      <c r="FI1" s="680"/>
      <c r="FJ1" s="680"/>
      <c r="FK1" s="680"/>
      <c r="FL1" s="680"/>
      <c r="FM1" s="680"/>
      <c r="FN1" s="680"/>
      <c r="FO1" s="680"/>
      <c r="FP1" s="680"/>
      <c r="FQ1" s="680"/>
      <c r="FR1" s="680"/>
      <c r="FS1" s="680"/>
      <c r="FT1" s="680"/>
      <c r="FU1" s="680"/>
      <c r="FV1" s="680"/>
      <c r="FW1" s="680"/>
      <c r="FX1" s="680"/>
      <c r="FY1" s="680"/>
      <c r="FZ1" s="680"/>
      <c r="GA1" s="680"/>
      <c r="GB1" s="680"/>
      <c r="GC1" s="680"/>
      <c r="GD1" s="680"/>
      <c r="GE1" s="680"/>
      <c r="GF1" s="680"/>
      <c r="GG1" s="680"/>
      <c r="GH1" s="680"/>
      <c r="GI1" s="680"/>
      <c r="GJ1" s="680"/>
      <c r="GK1" s="680"/>
      <c r="GL1" s="680"/>
      <c r="GM1" s="680"/>
      <c r="GN1" s="680"/>
      <c r="GO1" s="680"/>
      <c r="GP1" s="680"/>
      <c r="GQ1" s="680"/>
      <c r="GR1" s="680"/>
      <c r="GS1" s="680"/>
      <c r="GT1" s="680"/>
      <c r="GU1" s="680"/>
      <c r="GV1" s="680"/>
      <c r="GW1" s="680"/>
      <c r="GX1" s="680"/>
      <c r="GY1" s="680"/>
      <c r="GZ1" s="680"/>
      <c r="HA1" s="680"/>
      <c r="HB1" s="680"/>
      <c r="HC1" s="680"/>
      <c r="HD1" s="680"/>
      <c r="HE1" s="680"/>
      <c r="HF1" s="680"/>
      <c r="HG1" s="680"/>
      <c r="HH1" s="680"/>
      <c r="HI1" s="680"/>
      <c r="HJ1" s="680"/>
      <c r="HK1" s="680"/>
      <c r="HL1" s="680"/>
      <c r="HM1" s="680"/>
      <c r="HN1" s="680"/>
      <c r="HO1" s="680"/>
      <c r="HP1" s="680"/>
      <c r="HQ1" s="680"/>
      <c r="HR1" s="680"/>
      <c r="HS1" s="680"/>
      <c r="HT1" s="680"/>
      <c r="HU1" s="680"/>
      <c r="HV1" s="680"/>
      <c r="HW1" s="680"/>
      <c r="HX1" s="680"/>
      <c r="HY1" s="680"/>
      <c r="HZ1" s="680"/>
      <c r="IA1" s="680"/>
      <c r="IB1" s="680"/>
      <c r="IC1" s="680"/>
      <c r="ID1" s="680"/>
      <c r="IE1" s="680"/>
      <c r="IF1" s="680"/>
      <c r="IG1" s="680"/>
      <c r="IH1" s="680"/>
      <c r="II1" s="680"/>
      <c r="IJ1" s="680"/>
      <c r="IK1" s="680"/>
      <c r="IL1" s="680"/>
      <c r="IM1" s="680"/>
      <c r="IN1" s="680"/>
      <c r="IO1" s="680"/>
      <c r="IP1" s="680"/>
      <c r="IQ1" s="680"/>
      <c r="IR1" s="244"/>
    </row>
    <row r="2" spans="2:252" ht="17.25">
      <c r="B2" s="706"/>
      <c r="C2" s="679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  <c r="EF2" s="680"/>
      <c r="EG2" s="680"/>
      <c r="EH2" s="680"/>
      <c r="EI2" s="680"/>
      <c r="EJ2" s="680"/>
      <c r="EK2" s="680"/>
      <c r="EL2" s="680"/>
      <c r="EM2" s="680"/>
      <c r="EN2" s="680"/>
      <c r="EO2" s="680"/>
      <c r="EP2" s="680"/>
      <c r="EQ2" s="680"/>
      <c r="ER2" s="680"/>
      <c r="ES2" s="680"/>
      <c r="ET2" s="680"/>
      <c r="EU2" s="680"/>
      <c r="EV2" s="680"/>
      <c r="EW2" s="680"/>
      <c r="EX2" s="680"/>
      <c r="EY2" s="680"/>
      <c r="EZ2" s="680"/>
      <c r="FA2" s="680"/>
      <c r="FB2" s="680"/>
      <c r="FC2" s="680"/>
      <c r="FD2" s="680"/>
      <c r="FE2" s="680"/>
      <c r="FF2" s="680"/>
      <c r="FG2" s="680"/>
      <c r="FH2" s="680"/>
      <c r="FI2" s="680"/>
      <c r="FJ2" s="680"/>
      <c r="FK2" s="680"/>
      <c r="FL2" s="680"/>
      <c r="FM2" s="680"/>
      <c r="FN2" s="680"/>
      <c r="FO2" s="680"/>
      <c r="FP2" s="680"/>
      <c r="FQ2" s="680"/>
      <c r="FR2" s="680"/>
      <c r="FS2" s="680"/>
      <c r="FT2" s="680"/>
      <c r="FU2" s="680"/>
      <c r="FV2" s="680"/>
      <c r="FW2" s="680"/>
      <c r="FX2" s="680"/>
      <c r="FY2" s="680"/>
      <c r="FZ2" s="680"/>
      <c r="GA2" s="680"/>
      <c r="GB2" s="680"/>
      <c r="GC2" s="680"/>
      <c r="GD2" s="680"/>
      <c r="GE2" s="680"/>
      <c r="GF2" s="680"/>
      <c r="GG2" s="680"/>
      <c r="GH2" s="680"/>
      <c r="GI2" s="680"/>
      <c r="GJ2" s="680"/>
      <c r="GK2" s="680"/>
      <c r="GL2" s="680"/>
      <c r="GM2" s="680"/>
      <c r="GN2" s="680"/>
      <c r="GO2" s="680"/>
      <c r="GP2" s="680"/>
      <c r="GQ2" s="680"/>
      <c r="GR2" s="680"/>
      <c r="GS2" s="680"/>
      <c r="GT2" s="680"/>
      <c r="GU2" s="680"/>
      <c r="GV2" s="680"/>
      <c r="GW2" s="680"/>
      <c r="GX2" s="680"/>
      <c r="GY2" s="680"/>
      <c r="GZ2" s="680"/>
      <c r="HA2" s="680"/>
      <c r="HB2" s="680"/>
      <c r="HC2" s="680"/>
      <c r="HD2" s="680"/>
      <c r="HE2" s="680"/>
      <c r="HF2" s="680"/>
      <c r="HG2" s="680"/>
      <c r="HH2" s="680"/>
      <c r="HI2" s="680"/>
      <c r="HJ2" s="680"/>
      <c r="HK2" s="680"/>
      <c r="HL2" s="680"/>
      <c r="HM2" s="680"/>
      <c r="HN2" s="680"/>
      <c r="HO2" s="680"/>
      <c r="HP2" s="680"/>
      <c r="HQ2" s="680"/>
      <c r="HR2" s="680"/>
      <c r="HS2" s="680"/>
      <c r="HT2" s="680"/>
      <c r="HU2" s="680"/>
      <c r="HV2" s="680"/>
      <c r="HW2" s="680"/>
      <c r="HX2" s="680"/>
      <c r="HY2" s="680"/>
      <c r="HZ2" s="680"/>
      <c r="IA2" s="680"/>
      <c r="IB2" s="680"/>
      <c r="IC2" s="680"/>
      <c r="ID2" s="680"/>
      <c r="IE2" s="680"/>
      <c r="IF2" s="680"/>
      <c r="IG2" s="680"/>
      <c r="IH2" s="680"/>
      <c r="II2" s="680"/>
      <c r="IJ2" s="680"/>
      <c r="IK2" s="680"/>
      <c r="IL2" s="680"/>
      <c r="IM2" s="680"/>
      <c r="IN2" s="680"/>
      <c r="IO2" s="680"/>
      <c r="IP2" s="680"/>
      <c r="IQ2" s="680"/>
      <c r="IR2" s="244"/>
    </row>
    <row r="3" spans="2:252" ht="17.25">
      <c r="B3" s="1764" t="s">
        <v>888</v>
      </c>
      <c r="C3" s="1764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/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  <c r="CG3" s="681"/>
      <c r="CH3" s="681"/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681"/>
      <c r="CX3" s="681"/>
      <c r="CY3" s="681"/>
      <c r="CZ3" s="681"/>
      <c r="DA3" s="681"/>
      <c r="DB3" s="681"/>
      <c r="DC3" s="681"/>
      <c r="DD3" s="681"/>
      <c r="DE3" s="681"/>
      <c r="DF3" s="681"/>
      <c r="DG3" s="681"/>
      <c r="DH3" s="681"/>
      <c r="DI3" s="681"/>
      <c r="DJ3" s="681"/>
      <c r="DK3" s="681"/>
      <c r="DL3" s="681"/>
      <c r="DM3" s="681"/>
      <c r="DN3" s="681"/>
      <c r="DO3" s="681"/>
      <c r="DP3" s="681"/>
      <c r="DQ3" s="681"/>
      <c r="DR3" s="681"/>
      <c r="DS3" s="681"/>
      <c r="DT3" s="681"/>
      <c r="DU3" s="681"/>
      <c r="DV3" s="681"/>
      <c r="DW3" s="681"/>
      <c r="DX3" s="681"/>
      <c r="DY3" s="681"/>
      <c r="DZ3" s="681"/>
      <c r="EA3" s="681"/>
      <c r="EB3" s="681"/>
      <c r="EC3" s="681"/>
      <c r="ED3" s="681"/>
      <c r="EE3" s="681"/>
      <c r="EF3" s="681"/>
      <c r="EG3" s="681"/>
      <c r="EH3" s="681"/>
      <c r="EI3" s="681"/>
      <c r="EJ3" s="681"/>
      <c r="EK3" s="681"/>
      <c r="EL3" s="681"/>
      <c r="EM3" s="681"/>
      <c r="EN3" s="681"/>
      <c r="EO3" s="681"/>
      <c r="EP3" s="681"/>
      <c r="EQ3" s="681"/>
      <c r="ER3" s="681"/>
      <c r="ES3" s="681"/>
      <c r="ET3" s="681"/>
      <c r="EU3" s="681"/>
      <c r="EV3" s="681"/>
      <c r="EW3" s="681"/>
      <c r="EX3" s="681"/>
      <c r="EY3" s="681"/>
      <c r="EZ3" s="681"/>
      <c r="FA3" s="681"/>
      <c r="FB3" s="681"/>
      <c r="FC3" s="681"/>
      <c r="FD3" s="681"/>
      <c r="FE3" s="681"/>
      <c r="FF3" s="681"/>
      <c r="FG3" s="681"/>
      <c r="FH3" s="681"/>
      <c r="FI3" s="681"/>
      <c r="FJ3" s="681"/>
      <c r="FK3" s="681"/>
      <c r="FL3" s="681"/>
      <c r="FM3" s="681"/>
      <c r="FN3" s="681"/>
      <c r="FO3" s="681"/>
      <c r="FP3" s="681"/>
      <c r="FQ3" s="681"/>
      <c r="FR3" s="681"/>
      <c r="FS3" s="681"/>
      <c r="FT3" s="681"/>
      <c r="FU3" s="681"/>
      <c r="FV3" s="681"/>
      <c r="FW3" s="681"/>
      <c r="FX3" s="681"/>
      <c r="FY3" s="681"/>
      <c r="FZ3" s="681"/>
      <c r="GA3" s="681"/>
      <c r="GB3" s="681"/>
      <c r="GC3" s="681"/>
      <c r="GD3" s="681"/>
      <c r="GE3" s="681"/>
      <c r="GF3" s="681"/>
      <c r="GG3" s="681"/>
      <c r="GH3" s="681"/>
      <c r="GI3" s="681"/>
      <c r="GJ3" s="681"/>
      <c r="GK3" s="681"/>
      <c r="GL3" s="681"/>
      <c r="GM3" s="681"/>
      <c r="GN3" s="681"/>
      <c r="GO3" s="681"/>
      <c r="GP3" s="681"/>
      <c r="GQ3" s="681"/>
      <c r="GR3" s="681"/>
      <c r="GS3" s="681"/>
      <c r="GT3" s="681"/>
      <c r="GU3" s="681"/>
      <c r="GV3" s="681"/>
      <c r="GW3" s="681"/>
      <c r="GX3" s="681"/>
      <c r="GY3" s="681"/>
      <c r="GZ3" s="681"/>
      <c r="HA3" s="681"/>
      <c r="HB3" s="681"/>
      <c r="HC3" s="681"/>
      <c r="HD3" s="681"/>
      <c r="HE3" s="681"/>
      <c r="HF3" s="681"/>
      <c r="HG3" s="681"/>
      <c r="HH3" s="681"/>
      <c r="HI3" s="681"/>
      <c r="HJ3" s="681"/>
      <c r="HK3" s="681"/>
      <c r="HL3" s="681"/>
      <c r="HM3" s="681"/>
      <c r="HN3" s="681"/>
      <c r="HO3" s="681"/>
      <c r="HP3" s="681"/>
      <c r="HQ3" s="681"/>
      <c r="HR3" s="681"/>
      <c r="HS3" s="681"/>
      <c r="HT3" s="681"/>
      <c r="HU3" s="681"/>
      <c r="HV3" s="681"/>
      <c r="HW3" s="681"/>
      <c r="HX3" s="681"/>
      <c r="HY3" s="681"/>
      <c r="HZ3" s="681"/>
      <c r="IA3" s="681"/>
      <c r="IB3" s="681"/>
      <c r="IC3" s="681"/>
      <c r="ID3" s="681"/>
      <c r="IE3" s="681"/>
      <c r="IF3" s="681"/>
      <c r="IG3" s="681"/>
      <c r="IH3" s="681"/>
      <c r="II3" s="681"/>
      <c r="IJ3" s="681"/>
      <c r="IK3" s="681"/>
      <c r="IL3" s="681"/>
      <c r="IM3" s="681"/>
      <c r="IN3" s="681"/>
      <c r="IO3" s="681"/>
      <c r="IP3" s="681"/>
      <c r="IQ3" s="681"/>
      <c r="IR3" s="44"/>
    </row>
    <row r="4" spans="2:3" ht="17.25">
      <c r="B4" s="1765" t="s">
        <v>953</v>
      </c>
      <c r="C4" s="1765"/>
    </row>
    <row r="5" spans="2:3" ht="17.25">
      <c r="B5" s="707"/>
      <c r="C5" s="707"/>
    </row>
    <row r="6" spans="2:3" ht="40.5" customHeight="1">
      <c r="B6" s="1790" t="s">
        <v>629</v>
      </c>
      <c r="C6" s="1790"/>
    </row>
    <row r="7" spans="2:3" ht="17.25" customHeight="1">
      <c r="B7" s="1487"/>
      <c r="C7" s="1487"/>
    </row>
    <row r="8" spans="2:3" ht="17.25">
      <c r="B8" s="709"/>
      <c r="C8" s="757" t="s">
        <v>0</v>
      </c>
    </row>
    <row r="9" spans="2:252" ht="17.25" thickBot="1">
      <c r="B9" s="758" t="s">
        <v>1</v>
      </c>
      <c r="C9" s="688" t="s">
        <v>3</v>
      </c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  <c r="AZ9" s="708"/>
      <c r="BA9" s="708"/>
      <c r="BB9" s="708"/>
      <c r="BC9" s="708"/>
      <c r="BD9" s="708"/>
      <c r="BE9" s="708"/>
      <c r="BF9" s="708"/>
      <c r="BG9" s="708"/>
      <c r="BH9" s="708"/>
      <c r="BI9" s="708"/>
      <c r="BJ9" s="708"/>
      <c r="BK9" s="708"/>
      <c r="BL9" s="708"/>
      <c r="BM9" s="708"/>
      <c r="BN9" s="708"/>
      <c r="BO9" s="708"/>
      <c r="BP9" s="708"/>
      <c r="BQ9" s="708"/>
      <c r="BR9" s="708"/>
      <c r="BS9" s="708"/>
      <c r="BT9" s="708"/>
      <c r="BU9" s="708"/>
      <c r="BV9" s="708"/>
      <c r="BW9" s="708"/>
      <c r="BX9" s="708"/>
      <c r="BY9" s="708"/>
      <c r="BZ9" s="708"/>
      <c r="CA9" s="708"/>
      <c r="CB9" s="708"/>
      <c r="CC9" s="708"/>
      <c r="CD9" s="708"/>
      <c r="CE9" s="708"/>
      <c r="CF9" s="708"/>
      <c r="CG9" s="708"/>
      <c r="CH9" s="708"/>
      <c r="CI9" s="708"/>
      <c r="CJ9" s="708"/>
      <c r="CK9" s="708"/>
      <c r="CL9" s="708"/>
      <c r="CM9" s="708"/>
      <c r="CN9" s="708"/>
      <c r="CO9" s="708"/>
      <c r="CP9" s="708"/>
      <c r="CQ9" s="708"/>
      <c r="CR9" s="708"/>
      <c r="CS9" s="708"/>
      <c r="CT9" s="708"/>
      <c r="CU9" s="708"/>
      <c r="CV9" s="708"/>
      <c r="CW9" s="708"/>
      <c r="CX9" s="708"/>
      <c r="CY9" s="708"/>
      <c r="CZ9" s="708"/>
      <c r="DA9" s="708"/>
      <c r="DB9" s="708"/>
      <c r="DC9" s="708"/>
      <c r="DD9" s="708"/>
      <c r="DE9" s="708"/>
      <c r="DF9" s="708"/>
      <c r="DG9" s="708"/>
      <c r="DH9" s="708"/>
      <c r="DI9" s="708"/>
      <c r="DJ9" s="708"/>
      <c r="DK9" s="708"/>
      <c r="DL9" s="708"/>
      <c r="DM9" s="708"/>
      <c r="DN9" s="708"/>
      <c r="DO9" s="708"/>
      <c r="DP9" s="708"/>
      <c r="DQ9" s="708"/>
      <c r="DR9" s="708"/>
      <c r="DS9" s="708"/>
      <c r="DT9" s="708"/>
      <c r="DU9" s="708"/>
      <c r="DV9" s="708"/>
      <c r="DW9" s="708"/>
      <c r="DX9" s="708"/>
      <c r="DY9" s="708"/>
      <c r="DZ9" s="708"/>
      <c r="EA9" s="708"/>
      <c r="EB9" s="708"/>
      <c r="EC9" s="708"/>
      <c r="ED9" s="708"/>
      <c r="EE9" s="708"/>
      <c r="EF9" s="708"/>
      <c r="EG9" s="708"/>
      <c r="EH9" s="708"/>
      <c r="EI9" s="708"/>
      <c r="EJ9" s="708"/>
      <c r="EK9" s="708"/>
      <c r="EL9" s="708"/>
      <c r="EM9" s="708"/>
      <c r="EN9" s="708"/>
      <c r="EO9" s="708"/>
      <c r="EP9" s="708"/>
      <c r="EQ9" s="708"/>
      <c r="ER9" s="708"/>
      <c r="ES9" s="708"/>
      <c r="ET9" s="708"/>
      <c r="EU9" s="708"/>
      <c r="EV9" s="708"/>
      <c r="EW9" s="708"/>
      <c r="EX9" s="708"/>
      <c r="EY9" s="708"/>
      <c r="EZ9" s="708"/>
      <c r="FA9" s="708"/>
      <c r="FB9" s="708"/>
      <c r="FC9" s="708"/>
      <c r="FD9" s="708"/>
      <c r="FE9" s="708"/>
      <c r="FF9" s="708"/>
      <c r="FG9" s="708"/>
      <c r="FH9" s="708"/>
      <c r="FI9" s="708"/>
      <c r="FJ9" s="708"/>
      <c r="FK9" s="708"/>
      <c r="FL9" s="708"/>
      <c r="FM9" s="708"/>
      <c r="FN9" s="708"/>
      <c r="FO9" s="708"/>
      <c r="FP9" s="708"/>
      <c r="FQ9" s="708"/>
      <c r="FR9" s="708"/>
      <c r="FS9" s="708"/>
      <c r="FT9" s="708"/>
      <c r="FU9" s="708"/>
      <c r="FV9" s="708"/>
      <c r="FW9" s="708"/>
      <c r="FX9" s="708"/>
      <c r="FY9" s="708"/>
      <c r="FZ9" s="708"/>
      <c r="GA9" s="708"/>
      <c r="GB9" s="708"/>
      <c r="GC9" s="708"/>
      <c r="GD9" s="708"/>
      <c r="GE9" s="708"/>
      <c r="GF9" s="708"/>
      <c r="GG9" s="708"/>
      <c r="GH9" s="708"/>
      <c r="GI9" s="708"/>
      <c r="GJ9" s="708"/>
      <c r="GK9" s="708"/>
      <c r="GL9" s="708"/>
      <c r="GM9" s="708"/>
      <c r="GN9" s="708"/>
      <c r="GO9" s="708"/>
      <c r="GP9" s="708"/>
      <c r="GQ9" s="708"/>
      <c r="GR9" s="708"/>
      <c r="GS9" s="708"/>
      <c r="GT9" s="708"/>
      <c r="GU9" s="708"/>
      <c r="GV9" s="708"/>
      <c r="GW9" s="708"/>
      <c r="GX9" s="708"/>
      <c r="GY9" s="708"/>
      <c r="GZ9" s="708"/>
      <c r="HA9" s="708"/>
      <c r="HB9" s="708"/>
      <c r="HC9" s="708"/>
      <c r="HD9" s="708"/>
      <c r="HE9" s="708"/>
      <c r="HF9" s="708"/>
      <c r="HG9" s="708"/>
      <c r="HH9" s="708"/>
      <c r="HI9" s="708"/>
      <c r="HJ9" s="708"/>
      <c r="HK9" s="708"/>
      <c r="HL9" s="708"/>
      <c r="HM9" s="708"/>
      <c r="HN9" s="708"/>
      <c r="HO9" s="708"/>
      <c r="HP9" s="708"/>
      <c r="HQ9" s="708"/>
      <c r="HR9" s="708"/>
      <c r="HS9" s="708"/>
      <c r="HT9" s="708"/>
      <c r="HU9" s="708"/>
      <c r="HV9" s="708"/>
      <c r="HW9" s="708"/>
      <c r="HX9" s="708"/>
      <c r="HY9" s="708"/>
      <c r="HZ9" s="708"/>
      <c r="IA9" s="708"/>
      <c r="IB9" s="708"/>
      <c r="IC9" s="708"/>
      <c r="ID9" s="708"/>
      <c r="IE9" s="708"/>
      <c r="IF9" s="708"/>
      <c r="IG9" s="708"/>
      <c r="IH9" s="708"/>
      <c r="II9" s="708"/>
      <c r="IJ9" s="708"/>
      <c r="IK9" s="708"/>
      <c r="IL9" s="708"/>
      <c r="IM9" s="708"/>
      <c r="IN9" s="708"/>
      <c r="IO9" s="708"/>
      <c r="IP9" s="708"/>
      <c r="IQ9" s="708"/>
      <c r="IR9" s="44"/>
    </row>
    <row r="10" spans="1:3" ht="35.25" customHeight="1" thickBot="1">
      <c r="A10" s="683"/>
      <c r="B10" s="759" t="s">
        <v>889</v>
      </c>
      <c r="C10" s="710" t="s">
        <v>627</v>
      </c>
    </row>
    <row r="11" spans="1:252" ht="36.75" customHeight="1">
      <c r="A11" s="683">
        <v>1</v>
      </c>
      <c r="B11" s="1480" t="s">
        <v>890</v>
      </c>
      <c r="C11" s="1492">
        <v>135800</v>
      </c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1"/>
      <c r="CJ11" s="681"/>
      <c r="CK11" s="681"/>
      <c r="CL11" s="681"/>
      <c r="CM11" s="681"/>
      <c r="CN11" s="681"/>
      <c r="CO11" s="681"/>
      <c r="CP11" s="681"/>
      <c r="CQ11" s="681"/>
      <c r="CR11" s="681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1"/>
      <c r="DJ11" s="681"/>
      <c r="DK11" s="681"/>
      <c r="DL11" s="681"/>
      <c r="DM11" s="681"/>
      <c r="DN11" s="681"/>
      <c r="DO11" s="681"/>
      <c r="DP11" s="681"/>
      <c r="DQ11" s="681"/>
      <c r="DR11" s="681"/>
      <c r="DS11" s="681"/>
      <c r="DT11" s="681"/>
      <c r="DU11" s="681"/>
      <c r="DV11" s="681"/>
      <c r="DW11" s="681"/>
      <c r="DX11" s="681"/>
      <c r="DY11" s="681"/>
      <c r="DZ11" s="681"/>
      <c r="EA11" s="681"/>
      <c r="EB11" s="681"/>
      <c r="EC11" s="681"/>
      <c r="ED11" s="681"/>
      <c r="EE11" s="681"/>
      <c r="EF11" s="681"/>
      <c r="EG11" s="681"/>
      <c r="EH11" s="681"/>
      <c r="EI11" s="681"/>
      <c r="EJ11" s="681"/>
      <c r="EK11" s="681"/>
      <c r="EL11" s="681"/>
      <c r="EM11" s="681"/>
      <c r="EN11" s="681"/>
      <c r="EO11" s="681"/>
      <c r="EP11" s="681"/>
      <c r="EQ11" s="681"/>
      <c r="ER11" s="681"/>
      <c r="ES11" s="681"/>
      <c r="ET11" s="681"/>
      <c r="EU11" s="681"/>
      <c r="EV11" s="681"/>
      <c r="EW11" s="681"/>
      <c r="EX11" s="681"/>
      <c r="EY11" s="681"/>
      <c r="EZ11" s="681"/>
      <c r="FA11" s="681"/>
      <c r="FB11" s="681"/>
      <c r="FC11" s="681"/>
      <c r="FD11" s="681"/>
      <c r="FE11" s="681"/>
      <c r="FF11" s="681"/>
      <c r="FG11" s="681"/>
      <c r="FH11" s="681"/>
      <c r="FI11" s="681"/>
      <c r="FJ11" s="681"/>
      <c r="FK11" s="681"/>
      <c r="FL11" s="681"/>
      <c r="FM11" s="681"/>
      <c r="FN11" s="681"/>
      <c r="FO11" s="681"/>
      <c r="FP11" s="681"/>
      <c r="FQ11" s="681"/>
      <c r="FR11" s="681"/>
      <c r="FS11" s="681"/>
      <c r="FT11" s="681"/>
      <c r="FU11" s="681"/>
      <c r="FV11" s="681"/>
      <c r="FW11" s="681"/>
      <c r="FX11" s="681"/>
      <c r="FY11" s="681"/>
      <c r="FZ11" s="681"/>
      <c r="GA11" s="681"/>
      <c r="GB11" s="681"/>
      <c r="GC11" s="681"/>
      <c r="GD11" s="681"/>
      <c r="GE11" s="681"/>
      <c r="GF11" s="681"/>
      <c r="GG11" s="681"/>
      <c r="GH11" s="681"/>
      <c r="GI11" s="681"/>
      <c r="GJ11" s="681"/>
      <c r="GK11" s="681"/>
      <c r="GL11" s="681"/>
      <c r="GM11" s="681"/>
      <c r="GN11" s="681"/>
      <c r="GO11" s="681"/>
      <c r="GP11" s="681"/>
      <c r="GQ11" s="681"/>
      <c r="GR11" s="681"/>
      <c r="GS11" s="681"/>
      <c r="GT11" s="681"/>
      <c r="GU11" s="681"/>
      <c r="GV11" s="681"/>
      <c r="GW11" s="681"/>
      <c r="GX11" s="681"/>
      <c r="GY11" s="681"/>
      <c r="GZ11" s="681"/>
      <c r="HA11" s="681"/>
      <c r="HB11" s="681"/>
      <c r="HC11" s="681"/>
      <c r="HD11" s="681"/>
      <c r="HE11" s="681"/>
      <c r="HF11" s="681"/>
      <c r="HG11" s="681"/>
      <c r="HH11" s="681"/>
      <c r="HI11" s="681"/>
      <c r="HJ11" s="681"/>
      <c r="HK11" s="681"/>
      <c r="HL11" s="681"/>
      <c r="HM11" s="681"/>
      <c r="HN11" s="681"/>
      <c r="HO11" s="681"/>
      <c r="HP11" s="681"/>
      <c r="HQ11" s="681"/>
      <c r="HR11" s="681"/>
      <c r="HS11" s="681"/>
      <c r="HT11" s="681"/>
      <c r="HU11" s="681"/>
      <c r="HV11" s="681"/>
      <c r="HW11" s="681"/>
      <c r="HX11" s="681"/>
      <c r="HY11" s="681"/>
      <c r="HZ11" s="681"/>
      <c r="IA11" s="681"/>
      <c r="IB11" s="681"/>
      <c r="IC11" s="681"/>
      <c r="ID11" s="681"/>
      <c r="IE11" s="681"/>
      <c r="IF11" s="681"/>
      <c r="IG11" s="681"/>
      <c r="IH11" s="681"/>
      <c r="II11" s="681"/>
      <c r="IJ11" s="681"/>
      <c r="IK11" s="681"/>
      <c r="IL11" s="681"/>
      <c r="IM11" s="681"/>
      <c r="IN11" s="681"/>
      <c r="IO11" s="681"/>
      <c r="IP11" s="681"/>
      <c r="IQ11" s="681"/>
      <c r="IR11" s="44"/>
    </row>
    <row r="12" spans="1:252" ht="36.75" customHeight="1" thickBot="1">
      <c r="A12" s="683">
        <v>2</v>
      </c>
      <c r="B12" s="1481" t="s">
        <v>891</v>
      </c>
      <c r="C12" s="1493">
        <v>14000</v>
      </c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 t="s">
        <v>254</v>
      </c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681"/>
      <c r="AV12" s="681"/>
      <c r="AW12" s="681"/>
      <c r="AX12" s="681"/>
      <c r="AY12" s="681"/>
      <c r="AZ12" s="681"/>
      <c r="BA12" s="681"/>
      <c r="BB12" s="681"/>
      <c r="BC12" s="681"/>
      <c r="BD12" s="681"/>
      <c r="BE12" s="681"/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1"/>
      <c r="BR12" s="681"/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1"/>
      <c r="CF12" s="681"/>
      <c r="CG12" s="681"/>
      <c r="CH12" s="681"/>
      <c r="CI12" s="681"/>
      <c r="CJ12" s="681"/>
      <c r="CK12" s="681"/>
      <c r="CL12" s="681"/>
      <c r="CM12" s="681"/>
      <c r="CN12" s="681"/>
      <c r="CO12" s="681"/>
      <c r="CP12" s="681"/>
      <c r="CQ12" s="681"/>
      <c r="CR12" s="68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1"/>
      <c r="DJ12" s="681"/>
      <c r="DK12" s="681"/>
      <c r="DL12" s="681"/>
      <c r="DM12" s="681"/>
      <c r="DN12" s="681"/>
      <c r="DO12" s="681"/>
      <c r="DP12" s="681"/>
      <c r="DQ12" s="681"/>
      <c r="DR12" s="681"/>
      <c r="DS12" s="681"/>
      <c r="DT12" s="681"/>
      <c r="DU12" s="681"/>
      <c r="DV12" s="681"/>
      <c r="DW12" s="681"/>
      <c r="DX12" s="681"/>
      <c r="DY12" s="681"/>
      <c r="DZ12" s="681"/>
      <c r="EA12" s="681"/>
      <c r="EB12" s="681"/>
      <c r="EC12" s="681"/>
      <c r="ED12" s="681"/>
      <c r="EE12" s="681"/>
      <c r="EF12" s="681"/>
      <c r="EG12" s="681"/>
      <c r="EH12" s="681"/>
      <c r="EI12" s="681"/>
      <c r="EJ12" s="681"/>
      <c r="EK12" s="681"/>
      <c r="EL12" s="681"/>
      <c r="EM12" s="681"/>
      <c r="EN12" s="681"/>
      <c r="EO12" s="681"/>
      <c r="EP12" s="681"/>
      <c r="EQ12" s="681"/>
      <c r="ER12" s="681"/>
      <c r="ES12" s="681"/>
      <c r="ET12" s="681"/>
      <c r="EU12" s="681"/>
      <c r="EV12" s="681"/>
      <c r="EW12" s="681"/>
      <c r="EX12" s="681"/>
      <c r="EY12" s="681"/>
      <c r="EZ12" s="681"/>
      <c r="FA12" s="681"/>
      <c r="FB12" s="681"/>
      <c r="FC12" s="681"/>
      <c r="FD12" s="681"/>
      <c r="FE12" s="681"/>
      <c r="FF12" s="681"/>
      <c r="FG12" s="681"/>
      <c r="FH12" s="681"/>
      <c r="FI12" s="681"/>
      <c r="FJ12" s="681"/>
      <c r="FK12" s="681"/>
      <c r="FL12" s="681"/>
      <c r="FM12" s="681"/>
      <c r="FN12" s="681"/>
      <c r="FO12" s="681"/>
      <c r="FP12" s="681"/>
      <c r="FQ12" s="681"/>
      <c r="FR12" s="681"/>
      <c r="FS12" s="681"/>
      <c r="FT12" s="681"/>
      <c r="FU12" s="681"/>
      <c r="FV12" s="681"/>
      <c r="FW12" s="681"/>
      <c r="FX12" s="681"/>
      <c r="FY12" s="681"/>
      <c r="FZ12" s="681"/>
      <c r="GA12" s="681"/>
      <c r="GB12" s="681"/>
      <c r="GC12" s="681"/>
      <c r="GD12" s="681"/>
      <c r="GE12" s="681"/>
      <c r="GF12" s="681"/>
      <c r="GG12" s="681"/>
      <c r="GH12" s="681"/>
      <c r="GI12" s="681"/>
      <c r="GJ12" s="681"/>
      <c r="GK12" s="681"/>
      <c r="GL12" s="681"/>
      <c r="GM12" s="681"/>
      <c r="GN12" s="681"/>
      <c r="GO12" s="681"/>
      <c r="GP12" s="681"/>
      <c r="GQ12" s="681"/>
      <c r="GR12" s="681"/>
      <c r="GS12" s="681"/>
      <c r="GT12" s="681"/>
      <c r="GU12" s="681"/>
      <c r="GV12" s="681"/>
      <c r="GW12" s="681"/>
      <c r="GX12" s="681"/>
      <c r="GY12" s="681"/>
      <c r="GZ12" s="681"/>
      <c r="HA12" s="681"/>
      <c r="HB12" s="681"/>
      <c r="HC12" s="681"/>
      <c r="HD12" s="681"/>
      <c r="HE12" s="681"/>
      <c r="HF12" s="681"/>
      <c r="HG12" s="681"/>
      <c r="HH12" s="681"/>
      <c r="HI12" s="681"/>
      <c r="HJ12" s="681"/>
      <c r="HK12" s="681"/>
      <c r="HL12" s="681"/>
      <c r="HM12" s="681"/>
      <c r="HN12" s="681"/>
      <c r="HO12" s="681"/>
      <c r="HP12" s="681"/>
      <c r="HQ12" s="681"/>
      <c r="HR12" s="681"/>
      <c r="HS12" s="681"/>
      <c r="HT12" s="681"/>
      <c r="HU12" s="681"/>
      <c r="HV12" s="681"/>
      <c r="HW12" s="681"/>
      <c r="HX12" s="681"/>
      <c r="HY12" s="681"/>
      <c r="HZ12" s="681"/>
      <c r="IA12" s="681"/>
      <c r="IB12" s="681"/>
      <c r="IC12" s="681"/>
      <c r="ID12" s="681"/>
      <c r="IE12" s="681"/>
      <c r="IF12" s="681"/>
      <c r="IG12" s="681"/>
      <c r="IH12" s="681"/>
      <c r="II12" s="681"/>
      <c r="IJ12" s="681"/>
      <c r="IK12" s="681"/>
      <c r="IL12" s="681"/>
      <c r="IM12" s="681"/>
      <c r="IN12" s="681"/>
      <c r="IO12" s="681"/>
      <c r="IP12" s="681"/>
      <c r="IQ12" s="681"/>
      <c r="IR12" s="44"/>
    </row>
    <row r="13" spans="1:252" ht="45" customHeight="1" thickBot="1">
      <c r="A13" s="683">
        <v>3</v>
      </c>
      <c r="B13" s="1491" t="s">
        <v>978</v>
      </c>
      <c r="C13" s="1494">
        <f>SUM(C11:C12)</f>
        <v>149800</v>
      </c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1"/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1"/>
      <c r="CI13" s="681"/>
      <c r="CJ13" s="681"/>
      <c r="CK13" s="681"/>
      <c r="CL13" s="681"/>
      <c r="CM13" s="681"/>
      <c r="CN13" s="681"/>
      <c r="CO13" s="681"/>
      <c r="CP13" s="681"/>
      <c r="CQ13" s="681"/>
      <c r="CR13" s="681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1"/>
      <c r="DJ13" s="681"/>
      <c r="DK13" s="681"/>
      <c r="DL13" s="681"/>
      <c r="DM13" s="681"/>
      <c r="DN13" s="681"/>
      <c r="DO13" s="681"/>
      <c r="DP13" s="681"/>
      <c r="DQ13" s="681"/>
      <c r="DR13" s="681"/>
      <c r="DS13" s="681"/>
      <c r="DT13" s="681"/>
      <c r="DU13" s="681"/>
      <c r="DV13" s="681"/>
      <c r="DW13" s="681"/>
      <c r="DX13" s="681"/>
      <c r="DY13" s="681"/>
      <c r="DZ13" s="681"/>
      <c r="EA13" s="681"/>
      <c r="EB13" s="681"/>
      <c r="EC13" s="681"/>
      <c r="ED13" s="681"/>
      <c r="EE13" s="681"/>
      <c r="EF13" s="681"/>
      <c r="EG13" s="681"/>
      <c r="EH13" s="681"/>
      <c r="EI13" s="681"/>
      <c r="EJ13" s="681"/>
      <c r="EK13" s="681"/>
      <c r="EL13" s="681"/>
      <c r="EM13" s="681"/>
      <c r="EN13" s="681"/>
      <c r="EO13" s="681"/>
      <c r="EP13" s="681"/>
      <c r="EQ13" s="681"/>
      <c r="ER13" s="681"/>
      <c r="ES13" s="681"/>
      <c r="ET13" s="681"/>
      <c r="EU13" s="681"/>
      <c r="EV13" s="681"/>
      <c r="EW13" s="681"/>
      <c r="EX13" s="681"/>
      <c r="EY13" s="681"/>
      <c r="EZ13" s="681"/>
      <c r="FA13" s="681"/>
      <c r="FB13" s="681"/>
      <c r="FC13" s="681"/>
      <c r="FD13" s="681"/>
      <c r="FE13" s="681"/>
      <c r="FF13" s="681"/>
      <c r="FG13" s="681"/>
      <c r="FH13" s="681"/>
      <c r="FI13" s="681"/>
      <c r="FJ13" s="681"/>
      <c r="FK13" s="681"/>
      <c r="FL13" s="681"/>
      <c r="FM13" s="681"/>
      <c r="FN13" s="681"/>
      <c r="FO13" s="681"/>
      <c r="FP13" s="681"/>
      <c r="FQ13" s="681"/>
      <c r="FR13" s="681"/>
      <c r="FS13" s="681"/>
      <c r="FT13" s="681"/>
      <c r="FU13" s="681"/>
      <c r="FV13" s="681"/>
      <c r="FW13" s="681"/>
      <c r="FX13" s="681"/>
      <c r="FY13" s="681"/>
      <c r="FZ13" s="681"/>
      <c r="GA13" s="681"/>
      <c r="GB13" s="681"/>
      <c r="GC13" s="681"/>
      <c r="GD13" s="681"/>
      <c r="GE13" s="681"/>
      <c r="GF13" s="681"/>
      <c r="GG13" s="681"/>
      <c r="GH13" s="681"/>
      <c r="GI13" s="681"/>
      <c r="GJ13" s="681"/>
      <c r="GK13" s="681"/>
      <c r="GL13" s="681"/>
      <c r="GM13" s="681"/>
      <c r="GN13" s="681"/>
      <c r="GO13" s="681"/>
      <c r="GP13" s="681"/>
      <c r="GQ13" s="681"/>
      <c r="GR13" s="681"/>
      <c r="GS13" s="681"/>
      <c r="GT13" s="681"/>
      <c r="GU13" s="681"/>
      <c r="GV13" s="681"/>
      <c r="GW13" s="681"/>
      <c r="GX13" s="681"/>
      <c r="GY13" s="681"/>
      <c r="GZ13" s="681"/>
      <c r="HA13" s="681"/>
      <c r="HB13" s="681"/>
      <c r="HC13" s="681"/>
      <c r="HD13" s="681"/>
      <c r="HE13" s="681"/>
      <c r="HF13" s="681"/>
      <c r="HG13" s="681"/>
      <c r="HH13" s="681"/>
      <c r="HI13" s="681"/>
      <c r="HJ13" s="681"/>
      <c r="HK13" s="681"/>
      <c r="HL13" s="681"/>
      <c r="HM13" s="681"/>
      <c r="HN13" s="681"/>
      <c r="HO13" s="681"/>
      <c r="HP13" s="681"/>
      <c r="HQ13" s="681"/>
      <c r="HR13" s="681"/>
      <c r="HS13" s="681"/>
      <c r="HT13" s="681"/>
      <c r="HU13" s="681"/>
      <c r="HV13" s="681"/>
      <c r="HW13" s="681"/>
      <c r="HX13" s="681"/>
      <c r="HY13" s="681"/>
      <c r="HZ13" s="681"/>
      <c r="IA13" s="681"/>
      <c r="IB13" s="681"/>
      <c r="IC13" s="681"/>
      <c r="ID13" s="681"/>
      <c r="IE13" s="681"/>
      <c r="IF13" s="681"/>
      <c r="IG13" s="681"/>
      <c r="IH13" s="681"/>
      <c r="II13" s="681"/>
      <c r="IJ13" s="681"/>
      <c r="IK13" s="681"/>
      <c r="IL13" s="681"/>
      <c r="IM13" s="681"/>
      <c r="IN13" s="681"/>
      <c r="IO13" s="681"/>
      <c r="IP13" s="681"/>
      <c r="IQ13" s="681"/>
      <c r="IR13" s="44"/>
    </row>
  </sheetData>
  <sheetProtection/>
  <mergeCells count="3">
    <mergeCell ref="B3:C3"/>
    <mergeCell ref="B4:C4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&amp;C-&amp;P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="75" zoomScaleSheetLayoutView="75" zoomScalePageLayoutView="0" workbookViewId="0" topLeftCell="A1">
      <selection activeCell="B1" sqref="B1:U1"/>
    </sheetView>
  </sheetViews>
  <sheetFormatPr defaultColWidth="10.375" defaultRowHeight="12.75"/>
  <cols>
    <col min="1" max="1" width="3.75390625" style="1191" customWidth="1"/>
    <col min="2" max="3" width="5.75390625" style="310" customWidth="1"/>
    <col min="4" max="4" width="51.75390625" style="1317" customWidth="1"/>
    <col min="5" max="5" width="19.75390625" style="311" customWidth="1"/>
    <col min="6" max="6" width="3.00390625" style="309" customWidth="1"/>
    <col min="7" max="8" width="13.75390625" style="309" customWidth="1"/>
    <col min="9" max="11" width="12.25390625" style="309" customWidth="1"/>
    <col min="12" max="14" width="13.75390625" style="309" customWidth="1"/>
    <col min="15" max="15" width="15.75390625" style="309" customWidth="1"/>
    <col min="16" max="18" width="12.25390625" style="309" customWidth="1"/>
    <col min="19" max="21" width="13.75390625" style="309" customWidth="1"/>
    <col min="22" max="22" width="15.75390625" style="309" customWidth="1"/>
    <col min="23" max="16384" width="10.375" style="309" customWidth="1"/>
  </cols>
  <sheetData>
    <row r="1" spans="2:22" ht="16.5">
      <c r="B1" s="1810" t="s">
        <v>1023</v>
      </c>
      <c r="C1" s="1810"/>
      <c r="D1" s="1810"/>
      <c r="E1" s="1810"/>
      <c r="F1" s="1810"/>
      <c r="G1" s="1810"/>
      <c r="H1" s="1810"/>
      <c r="I1" s="1810"/>
      <c r="J1" s="1810"/>
      <c r="K1" s="1810"/>
      <c r="L1" s="1810"/>
      <c r="M1" s="1810"/>
      <c r="N1" s="1810"/>
      <c r="O1" s="1810"/>
      <c r="P1" s="1810"/>
      <c r="Q1" s="1810"/>
      <c r="R1" s="1810"/>
      <c r="S1" s="1810"/>
      <c r="T1" s="1810"/>
      <c r="U1" s="1810"/>
      <c r="V1" s="1318"/>
    </row>
    <row r="2" spans="2:22" ht="24.75" customHeight="1">
      <c r="B2" s="1811" t="s">
        <v>122</v>
      </c>
      <c r="C2" s="1811"/>
      <c r="D2" s="1811"/>
      <c r="E2" s="1811"/>
      <c r="F2" s="1811"/>
      <c r="G2" s="1811"/>
      <c r="H2" s="1811"/>
      <c r="I2" s="1811"/>
      <c r="J2" s="1811"/>
      <c r="K2" s="1811"/>
      <c r="L2" s="1811"/>
      <c r="M2" s="1811"/>
      <c r="N2" s="1811"/>
      <c r="O2" s="1811"/>
      <c r="P2" s="1811"/>
      <c r="Q2" s="1811"/>
      <c r="R2" s="1811"/>
      <c r="S2" s="1811"/>
      <c r="T2" s="1811"/>
      <c r="U2" s="1811"/>
      <c r="V2" s="1811"/>
    </row>
    <row r="3" spans="2:22" ht="24.75" customHeight="1">
      <c r="B3" s="1811" t="s">
        <v>433</v>
      </c>
      <c r="C3" s="1811"/>
      <c r="D3" s="1811"/>
      <c r="E3" s="1811"/>
      <c r="F3" s="1811"/>
      <c r="G3" s="1811"/>
      <c r="H3" s="1811"/>
      <c r="I3" s="1811"/>
      <c r="J3" s="1811"/>
      <c r="K3" s="1811"/>
      <c r="L3" s="1811"/>
      <c r="M3" s="1811"/>
      <c r="N3" s="1811"/>
      <c r="O3" s="1811"/>
      <c r="P3" s="1811"/>
      <c r="Q3" s="1811"/>
      <c r="R3" s="1811"/>
      <c r="S3" s="1811"/>
      <c r="T3" s="1811"/>
      <c r="U3" s="1811"/>
      <c r="V3" s="1811"/>
    </row>
    <row r="4" spans="2:22" ht="24.75" customHeight="1">
      <c r="B4" s="1811" t="s">
        <v>401</v>
      </c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</row>
    <row r="5" spans="1:22" s="1190" customFormat="1" ht="15">
      <c r="A5" s="1191"/>
      <c r="B5" s="1191"/>
      <c r="C5" s="1191"/>
      <c r="D5" s="1192"/>
      <c r="E5" s="1193"/>
      <c r="U5" s="1812" t="s">
        <v>0</v>
      </c>
      <c r="V5" s="1812"/>
    </row>
    <row r="6" spans="2:22" s="1191" customFormat="1" ht="15.75" thickBot="1">
      <c r="B6" s="1191" t="s">
        <v>928</v>
      </c>
      <c r="C6" s="1191" t="s">
        <v>3</v>
      </c>
      <c r="D6" s="1335" t="s">
        <v>2</v>
      </c>
      <c r="E6" s="1193" t="s">
        <v>4</v>
      </c>
      <c r="G6" s="1191" t="s">
        <v>5</v>
      </c>
      <c r="H6" s="1191" t="s">
        <v>15</v>
      </c>
      <c r="I6" s="1191" t="s">
        <v>16</v>
      </c>
      <c r="J6" s="1191" t="s">
        <v>17</v>
      </c>
      <c r="K6" s="1191" t="s">
        <v>36</v>
      </c>
      <c r="L6" s="1191" t="s">
        <v>30</v>
      </c>
      <c r="M6" s="1191" t="s">
        <v>23</v>
      </c>
      <c r="N6" s="1191" t="s">
        <v>37</v>
      </c>
      <c r="O6" s="1191" t="s">
        <v>38</v>
      </c>
      <c r="P6" s="1191" t="s">
        <v>160</v>
      </c>
      <c r="Q6" s="1191" t="s">
        <v>161</v>
      </c>
      <c r="R6" s="1191" t="s">
        <v>162</v>
      </c>
      <c r="S6" s="1336" t="s">
        <v>368</v>
      </c>
      <c r="T6" s="1336" t="s">
        <v>610</v>
      </c>
      <c r="U6" s="1336" t="s">
        <v>611</v>
      </c>
      <c r="V6" s="1336" t="s">
        <v>929</v>
      </c>
    </row>
    <row r="7" spans="1:22" s="312" customFormat="1" ht="24.75" customHeight="1">
      <c r="A7" s="1337"/>
      <c r="B7" s="1813" t="s">
        <v>18</v>
      </c>
      <c r="C7" s="1816" t="s">
        <v>19</v>
      </c>
      <c r="D7" s="1819" t="s">
        <v>402</v>
      </c>
      <c r="E7" s="1822" t="s">
        <v>403</v>
      </c>
      <c r="F7" s="1338"/>
      <c r="G7" s="1825" t="s">
        <v>422</v>
      </c>
      <c r="H7" s="1825"/>
      <c r="I7" s="1797"/>
      <c r="J7" s="1797"/>
      <c r="K7" s="1797"/>
      <c r="L7" s="1797"/>
      <c r="M7" s="1797"/>
      <c r="N7" s="1797"/>
      <c r="O7" s="1826"/>
      <c r="P7" s="1796" t="s">
        <v>423</v>
      </c>
      <c r="Q7" s="1797"/>
      <c r="R7" s="1797"/>
      <c r="S7" s="1797"/>
      <c r="T7" s="1797"/>
      <c r="U7" s="1797"/>
      <c r="V7" s="1800" t="s">
        <v>618</v>
      </c>
    </row>
    <row r="8" spans="1:22" s="312" customFormat="1" ht="24.75" customHeight="1">
      <c r="A8" s="1337"/>
      <c r="B8" s="1814"/>
      <c r="C8" s="1817"/>
      <c r="D8" s="1820"/>
      <c r="E8" s="1823"/>
      <c r="F8" s="1339"/>
      <c r="G8" s="1803" t="s">
        <v>404</v>
      </c>
      <c r="H8" s="1805" t="s">
        <v>951</v>
      </c>
      <c r="I8" s="1807" t="s">
        <v>406</v>
      </c>
      <c r="J8" s="1807"/>
      <c r="K8" s="1807"/>
      <c r="L8" s="1807"/>
      <c r="M8" s="1807"/>
      <c r="N8" s="1807"/>
      <c r="O8" s="1808" t="s">
        <v>405</v>
      </c>
      <c r="P8" s="1798"/>
      <c r="Q8" s="1799"/>
      <c r="R8" s="1799"/>
      <c r="S8" s="1799"/>
      <c r="T8" s="1799"/>
      <c r="U8" s="1799"/>
      <c r="V8" s="1801"/>
    </row>
    <row r="9" spans="1:22" s="312" customFormat="1" ht="60.75" customHeight="1" thickBot="1">
      <c r="A9" s="1337"/>
      <c r="B9" s="1815"/>
      <c r="C9" s="1818"/>
      <c r="D9" s="1821"/>
      <c r="E9" s="1824"/>
      <c r="F9" s="1339"/>
      <c r="G9" s="1804"/>
      <c r="H9" s="1806"/>
      <c r="I9" s="406" t="s">
        <v>424</v>
      </c>
      <c r="J9" s="406" t="s">
        <v>539</v>
      </c>
      <c r="K9" s="406" t="s">
        <v>644</v>
      </c>
      <c r="L9" s="406" t="s">
        <v>930</v>
      </c>
      <c r="M9" s="406" t="s">
        <v>695</v>
      </c>
      <c r="N9" s="406" t="s">
        <v>696</v>
      </c>
      <c r="O9" s="1809"/>
      <c r="P9" s="407" t="s">
        <v>425</v>
      </c>
      <c r="Q9" s="408" t="s">
        <v>539</v>
      </c>
      <c r="R9" s="408" t="s">
        <v>644</v>
      </c>
      <c r="S9" s="408" t="s">
        <v>930</v>
      </c>
      <c r="T9" s="408" t="s">
        <v>695</v>
      </c>
      <c r="U9" s="408" t="s">
        <v>696</v>
      </c>
      <c r="V9" s="1802"/>
    </row>
    <row r="10" spans="1:22" s="312" customFormat="1" ht="33" customHeight="1">
      <c r="A10" s="1340">
        <v>1</v>
      </c>
      <c r="B10" s="1341">
        <v>18</v>
      </c>
      <c r="C10" s="1342" t="s">
        <v>14</v>
      </c>
      <c r="D10" s="1343"/>
      <c r="E10" s="1344"/>
      <c r="F10" s="1345"/>
      <c r="G10" s="1346"/>
      <c r="H10" s="1347"/>
      <c r="I10" s="1348"/>
      <c r="J10" s="1348"/>
      <c r="K10" s="1348"/>
      <c r="L10" s="1348"/>
      <c r="M10" s="1348"/>
      <c r="N10" s="1348"/>
      <c r="O10" s="1349"/>
      <c r="P10" s="1346"/>
      <c r="Q10" s="1350"/>
      <c r="R10" s="1350"/>
      <c r="S10" s="1350"/>
      <c r="T10" s="1350"/>
      <c r="U10" s="1350"/>
      <c r="V10" s="1351"/>
    </row>
    <row r="11" spans="1:22" s="312" customFormat="1" ht="33">
      <c r="A11" s="1352">
        <v>2</v>
      </c>
      <c r="B11" s="1353"/>
      <c r="C11" s="1354">
        <v>1</v>
      </c>
      <c r="D11" s="1355" t="s">
        <v>615</v>
      </c>
      <c r="E11" s="1356" t="s">
        <v>931</v>
      </c>
      <c r="F11" s="717"/>
      <c r="G11" s="1357">
        <f>+V11-O11-H11</f>
        <v>187554</v>
      </c>
      <c r="H11" s="1358"/>
      <c r="I11" s="1359"/>
      <c r="J11" s="1359"/>
      <c r="K11" s="1359"/>
      <c r="L11" s="1359">
        <v>917181</v>
      </c>
      <c r="M11" s="1359">
        <v>15000</v>
      </c>
      <c r="N11" s="1359"/>
      <c r="O11" s="1360">
        <f>SUM(I11:N11)</f>
        <v>932181</v>
      </c>
      <c r="P11" s="1357"/>
      <c r="Q11" s="1359"/>
      <c r="R11" s="1359"/>
      <c r="S11" s="1359">
        <v>237</v>
      </c>
      <c r="T11" s="1359">
        <v>1119498</v>
      </c>
      <c r="U11" s="1359"/>
      <c r="V11" s="1361">
        <f>SUM(P11:U11)</f>
        <v>1119735</v>
      </c>
    </row>
    <row r="12" spans="1:22" ht="33" customHeight="1">
      <c r="A12" s="1340">
        <v>3</v>
      </c>
      <c r="B12" s="716"/>
      <c r="C12" s="1362">
        <v>2</v>
      </c>
      <c r="D12" s="1363" t="s">
        <v>511</v>
      </c>
      <c r="E12" s="1356" t="s">
        <v>932</v>
      </c>
      <c r="F12" s="314"/>
      <c r="G12" s="1364">
        <f aca="true" t="shared" si="0" ref="G12:G37">+V12-O12-H12</f>
        <v>0</v>
      </c>
      <c r="H12" s="1365"/>
      <c r="I12" s="1359"/>
      <c r="J12" s="1359"/>
      <c r="K12" s="1359">
        <v>17017</v>
      </c>
      <c r="L12" s="1359"/>
      <c r="M12" s="1359">
        <v>8958</v>
      </c>
      <c r="N12" s="1359"/>
      <c r="O12" s="1360">
        <f aca="true" t="shared" si="1" ref="O12:O24">SUM(I12:N12)</f>
        <v>25975</v>
      </c>
      <c r="P12" s="1366"/>
      <c r="Q12" s="1367"/>
      <c r="R12" s="1367">
        <v>12413</v>
      </c>
      <c r="S12" s="1367">
        <f>2345+10080</f>
        <v>12425</v>
      </c>
      <c r="T12" s="1367">
        <f>655+482</f>
        <v>1137</v>
      </c>
      <c r="U12" s="1359"/>
      <c r="V12" s="1361">
        <f aca="true" t="shared" si="2" ref="V12:V35">SUM(P12:U12)</f>
        <v>25975</v>
      </c>
    </row>
    <row r="13" spans="1:22" ht="33" customHeight="1">
      <c r="A13" s="1352">
        <v>4</v>
      </c>
      <c r="B13" s="716"/>
      <c r="C13" s="1362">
        <v>3</v>
      </c>
      <c r="D13" s="1355" t="s">
        <v>699</v>
      </c>
      <c r="E13" s="1356" t="s">
        <v>931</v>
      </c>
      <c r="F13" s="314"/>
      <c r="G13" s="1364">
        <f t="shared" si="0"/>
        <v>59476</v>
      </c>
      <c r="H13" s="1365"/>
      <c r="I13" s="1359"/>
      <c r="J13" s="1359"/>
      <c r="K13" s="1359"/>
      <c r="L13" s="1359"/>
      <c r="M13" s="1359">
        <v>223100</v>
      </c>
      <c r="N13" s="1359"/>
      <c r="O13" s="1360">
        <f t="shared" si="1"/>
        <v>223100</v>
      </c>
      <c r="P13" s="1366"/>
      <c r="Q13" s="1367">
        <v>6699</v>
      </c>
      <c r="R13" s="1367"/>
      <c r="S13" s="1367"/>
      <c r="T13" s="1367">
        <v>275877</v>
      </c>
      <c r="U13" s="1359"/>
      <c r="V13" s="1361">
        <f t="shared" si="2"/>
        <v>282576</v>
      </c>
    </row>
    <row r="14" spans="1:22" ht="33" customHeight="1">
      <c r="A14" s="1340">
        <v>5</v>
      </c>
      <c r="B14" s="716"/>
      <c r="C14" s="1362">
        <v>4</v>
      </c>
      <c r="D14" s="1355" t="s">
        <v>700</v>
      </c>
      <c r="E14" s="1356" t="s">
        <v>932</v>
      </c>
      <c r="F14" s="314"/>
      <c r="G14" s="1364">
        <f t="shared" si="0"/>
        <v>5021</v>
      </c>
      <c r="H14" s="1365"/>
      <c r="I14" s="1359"/>
      <c r="J14" s="1359"/>
      <c r="K14" s="1359">
        <v>58534</v>
      </c>
      <c r="L14" s="1359"/>
      <c r="M14" s="1359">
        <v>3081</v>
      </c>
      <c r="N14" s="1359"/>
      <c r="O14" s="1360">
        <f t="shared" si="1"/>
        <v>61615</v>
      </c>
      <c r="P14" s="1366"/>
      <c r="Q14" s="1367"/>
      <c r="R14" s="1367">
        <v>143</v>
      </c>
      <c r="S14" s="1367">
        <v>64724</v>
      </c>
      <c r="T14" s="1367">
        <v>1769</v>
      </c>
      <c r="U14" s="1359"/>
      <c r="V14" s="1361">
        <f t="shared" si="2"/>
        <v>66636</v>
      </c>
    </row>
    <row r="15" spans="1:22" s="312" customFormat="1" ht="33">
      <c r="A15" s="1352">
        <v>6</v>
      </c>
      <c r="B15" s="716"/>
      <c r="C15" s="1362">
        <v>5</v>
      </c>
      <c r="D15" s="466" t="s">
        <v>623</v>
      </c>
      <c r="E15" s="1356" t="s">
        <v>931</v>
      </c>
      <c r="F15" s="717"/>
      <c r="G15" s="1364">
        <f t="shared" si="0"/>
        <v>41474</v>
      </c>
      <c r="H15" s="1365"/>
      <c r="I15" s="1359"/>
      <c r="J15" s="1359"/>
      <c r="K15" s="1359"/>
      <c r="L15" s="1359">
        <v>134273</v>
      </c>
      <c r="M15" s="1359">
        <v>0</v>
      </c>
      <c r="N15" s="1359"/>
      <c r="O15" s="1360">
        <f t="shared" si="1"/>
        <v>134273</v>
      </c>
      <c r="P15" s="1357">
        <v>2921</v>
      </c>
      <c r="Q15" s="1359">
        <v>3620</v>
      </c>
      <c r="R15" s="1359"/>
      <c r="S15" s="1359"/>
      <c r="T15" s="1359">
        <f>165956+3250</f>
        <v>169206</v>
      </c>
      <c r="U15" s="1359"/>
      <c r="V15" s="1361">
        <f t="shared" si="2"/>
        <v>175747</v>
      </c>
    </row>
    <row r="16" spans="1:22" ht="33" customHeight="1">
      <c r="A16" s="1340">
        <v>7</v>
      </c>
      <c r="B16" s="716"/>
      <c r="C16" s="1362">
        <v>6</v>
      </c>
      <c r="D16" s="1355" t="s">
        <v>702</v>
      </c>
      <c r="E16" s="1356" t="s">
        <v>933</v>
      </c>
      <c r="F16" s="314"/>
      <c r="G16" s="1364">
        <f t="shared" si="0"/>
        <v>11379</v>
      </c>
      <c r="H16" s="1365"/>
      <c r="I16" s="1359"/>
      <c r="J16" s="1359"/>
      <c r="K16" s="1359"/>
      <c r="L16" s="1359">
        <v>19069</v>
      </c>
      <c r="M16" s="1359">
        <v>20344</v>
      </c>
      <c r="N16" s="1359"/>
      <c r="O16" s="1360">
        <f t="shared" si="1"/>
        <v>39413</v>
      </c>
      <c r="P16" s="1357"/>
      <c r="Q16" s="1359"/>
      <c r="R16" s="1359">
        <v>1956</v>
      </c>
      <c r="S16" s="1359"/>
      <c r="T16" s="1359">
        <v>48836</v>
      </c>
      <c r="U16" s="1359"/>
      <c r="V16" s="1361">
        <f t="shared" si="2"/>
        <v>50792</v>
      </c>
    </row>
    <row r="17" spans="1:22" ht="33" customHeight="1">
      <c r="A17" s="1352">
        <v>8</v>
      </c>
      <c r="B17" s="716"/>
      <c r="C17" s="1362">
        <v>7</v>
      </c>
      <c r="D17" s="1355" t="s">
        <v>703</v>
      </c>
      <c r="E17" s="1356" t="s">
        <v>933</v>
      </c>
      <c r="F17" s="314"/>
      <c r="G17" s="1364">
        <f t="shared" si="0"/>
        <v>39517</v>
      </c>
      <c r="H17" s="1365"/>
      <c r="I17" s="1359"/>
      <c r="J17" s="1359"/>
      <c r="K17" s="1359"/>
      <c r="L17" s="1359">
        <v>27673</v>
      </c>
      <c r="M17" s="1359">
        <v>25819</v>
      </c>
      <c r="N17" s="1359"/>
      <c r="O17" s="1360">
        <f t="shared" si="1"/>
        <v>53492</v>
      </c>
      <c r="P17" s="1357"/>
      <c r="Q17" s="1359"/>
      <c r="R17" s="1359">
        <v>2459</v>
      </c>
      <c r="S17" s="1359"/>
      <c r="T17" s="1359">
        <v>90550</v>
      </c>
      <c r="U17" s="1359"/>
      <c r="V17" s="1361">
        <f t="shared" si="2"/>
        <v>93009</v>
      </c>
    </row>
    <row r="18" spans="1:22" ht="33" customHeight="1">
      <c r="A18" s="1340">
        <v>9</v>
      </c>
      <c r="B18" s="716"/>
      <c r="C18" s="1362">
        <v>8</v>
      </c>
      <c r="D18" s="1355" t="s">
        <v>934</v>
      </c>
      <c r="E18" s="1356" t="s">
        <v>932</v>
      </c>
      <c r="F18" s="314"/>
      <c r="G18" s="1364">
        <f t="shared" si="0"/>
        <v>1320</v>
      </c>
      <c r="H18" s="1365"/>
      <c r="I18" s="1359"/>
      <c r="J18" s="1359"/>
      <c r="K18" s="1359">
        <v>71352</v>
      </c>
      <c r="L18" s="1359"/>
      <c r="M18" s="1359">
        <v>0</v>
      </c>
      <c r="N18" s="1359"/>
      <c r="O18" s="1360">
        <f t="shared" si="1"/>
        <v>71352</v>
      </c>
      <c r="P18" s="1366"/>
      <c r="Q18" s="1367"/>
      <c r="R18" s="1367">
        <v>4926</v>
      </c>
      <c r="S18" s="1367">
        <v>67701</v>
      </c>
      <c r="T18" s="1367">
        <v>45</v>
      </c>
      <c r="U18" s="1359"/>
      <c r="V18" s="1361">
        <f t="shared" si="2"/>
        <v>72672</v>
      </c>
    </row>
    <row r="19" spans="1:22" s="312" customFormat="1" ht="66">
      <c r="A19" s="1352">
        <v>10</v>
      </c>
      <c r="B19" s="716"/>
      <c r="C19" s="1362">
        <v>9</v>
      </c>
      <c r="D19" s="1355" t="s">
        <v>624</v>
      </c>
      <c r="E19" s="1356" t="s">
        <v>931</v>
      </c>
      <c r="F19" s="717"/>
      <c r="G19" s="1364">
        <f t="shared" si="0"/>
        <v>113560</v>
      </c>
      <c r="H19" s="1365"/>
      <c r="I19" s="1359"/>
      <c r="J19" s="1359"/>
      <c r="K19" s="1359"/>
      <c r="L19" s="1359">
        <v>87086</v>
      </c>
      <c r="M19" s="1359">
        <v>0</v>
      </c>
      <c r="N19" s="1359"/>
      <c r="O19" s="1360">
        <f t="shared" si="1"/>
        <v>87086</v>
      </c>
      <c r="P19" s="1357"/>
      <c r="Q19" s="1359"/>
      <c r="R19" s="1359">
        <v>4834</v>
      </c>
      <c r="S19" s="1359">
        <v>40</v>
      </c>
      <c r="T19" s="1359">
        <v>195772</v>
      </c>
      <c r="U19" s="1359"/>
      <c r="V19" s="1361">
        <f t="shared" si="2"/>
        <v>200646</v>
      </c>
    </row>
    <row r="20" spans="1:22" ht="33" customHeight="1">
      <c r="A20" s="1340">
        <v>11</v>
      </c>
      <c r="B20" s="716"/>
      <c r="C20" s="1362">
        <v>10</v>
      </c>
      <c r="D20" s="1355" t="s">
        <v>701</v>
      </c>
      <c r="E20" s="1356" t="s">
        <v>931</v>
      </c>
      <c r="F20" s="314"/>
      <c r="G20" s="1364">
        <f t="shared" si="0"/>
        <v>161006</v>
      </c>
      <c r="H20" s="1365"/>
      <c r="I20" s="1359"/>
      <c r="J20" s="1359"/>
      <c r="K20" s="1359"/>
      <c r="L20" s="1359">
        <v>173975</v>
      </c>
      <c r="M20" s="1359">
        <v>0</v>
      </c>
      <c r="N20" s="1359"/>
      <c r="O20" s="1360">
        <f t="shared" si="1"/>
        <v>173975</v>
      </c>
      <c r="P20" s="1357"/>
      <c r="Q20" s="1359"/>
      <c r="R20" s="1359">
        <v>6401</v>
      </c>
      <c r="S20" s="1359">
        <v>100</v>
      </c>
      <c r="T20" s="1359">
        <v>328480</v>
      </c>
      <c r="U20" s="1359"/>
      <c r="V20" s="1361">
        <f t="shared" si="2"/>
        <v>334981</v>
      </c>
    </row>
    <row r="21" spans="1:22" ht="33" customHeight="1">
      <c r="A21" s="1352">
        <v>12</v>
      </c>
      <c r="B21" s="716"/>
      <c r="C21" s="1362">
        <v>11</v>
      </c>
      <c r="D21" s="1355" t="s">
        <v>704</v>
      </c>
      <c r="E21" s="1356" t="s">
        <v>935</v>
      </c>
      <c r="F21" s="314"/>
      <c r="G21" s="1364">
        <f t="shared" si="0"/>
        <v>397000</v>
      </c>
      <c r="H21" s="1365"/>
      <c r="I21" s="1359"/>
      <c r="J21" s="1359"/>
      <c r="K21" s="1359">
        <v>2092161</v>
      </c>
      <c r="L21" s="1359"/>
      <c r="M21" s="1359">
        <v>1107839</v>
      </c>
      <c r="N21" s="1359"/>
      <c r="O21" s="1360">
        <f t="shared" si="1"/>
        <v>3200000</v>
      </c>
      <c r="P21" s="1357">
        <v>40063</v>
      </c>
      <c r="Q21" s="1359">
        <v>83854</v>
      </c>
      <c r="R21" s="1359">
        <v>327034</v>
      </c>
      <c r="S21" s="1359">
        <v>1231269</v>
      </c>
      <c r="T21" s="1359">
        <v>1914780</v>
      </c>
      <c r="U21" s="1359"/>
      <c r="V21" s="1361">
        <f t="shared" si="2"/>
        <v>3597000</v>
      </c>
    </row>
    <row r="22" spans="1:22" ht="33" customHeight="1">
      <c r="A22" s="1340">
        <v>13</v>
      </c>
      <c r="B22" s="716"/>
      <c r="C22" s="1362">
        <v>12</v>
      </c>
      <c r="D22" s="1355" t="s">
        <v>540</v>
      </c>
      <c r="E22" s="1356" t="s">
        <v>936</v>
      </c>
      <c r="F22" s="314"/>
      <c r="G22" s="1364">
        <f t="shared" si="0"/>
        <v>0</v>
      </c>
      <c r="H22" s="1365"/>
      <c r="I22" s="1359"/>
      <c r="J22" s="1359"/>
      <c r="K22" s="1359">
        <v>19671</v>
      </c>
      <c r="L22" s="1359"/>
      <c r="M22" s="1359">
        <f>12000+208329</f>
        <v>220329</v>
      </c>
      <c r="N22" s="1359"/>
      <c r="O22" s="1360">
        <f t="shared" si="1"/>
        <v>240000</v>
      </c>
      <c r="P22" s="1357"/>
      <c r="Q22" s="1359"/>
      <c r="R22" s="1359">
        <v>9749</v>
      </c>
      <c r="S22" s="1359">
        <v>3835</v>
      </c>
      <c r="T22" s="1359">
        <f>220416+6000</f>
        <v>226416</v>
      </c>
      <c r="U22" s="1359"/>
      <c r="V22" s="1361">
        <f t="shared" si="2"/>
        <v>240000</v>
      </c>
    </row>
    <row r="23" spans="1:22" s="312" customFormat="1" ht="33">
      <c r="A23" s="1352">
        <v>14</v>
      </c>
      <c r="B23" s="716"/>
      <c r="C23" s="1362">
        <v>13</v>
      </c>
      <c r="D23" s="1355" t="s">
        <v>705</v>
      </c>
      <c r="E23" s="1356" t="s">
        <v>937</v>
      </c>
      <c r="F23" s="717"/>
      <c r="G23" s="1364">
        <f t="shared" si="0"/>
        <v>0</v>
      </c>
      <c r="H23" s="1365"/>
      <c r="I23" s="1359"/>
      <c r="J23" s="1359"/>
      <c r="K23" s="1359"/>
      <c r="L23" s="1359">
        <v>480600</v>
      </c>
      <c r="M23" s="1359">
        <v>21000</v>
      </c>
      <c r="N23" s="1359"/>
      <c r="O23" s="1360">
        <f t="shared" si="1"/>
        <v>501600</v>
      </c>
      <c r="P23" s="1357"/>
      <c r="Q23" s="1359"/>
      <c r="R23" s="1359">
        <v>326</v>
      </c>
      <c r="S23" s="1359">
        <v>17127</v>
      </c>
      <c r="T23" s="1359">
        <f>472147+12000</f>
        <v>484147</v>
      </c>
      <c r="U23" s="1359"/>
      <c r="V23" s="1361">
        <f t="shared" si="2"/>
        <v>501600</v>
      </c>
    </row>
    <row r="24" spans="1:22" s="312" customFormat="1" ht="55.5" customHeight="1">
      <c r="A24" s="1340">
        <v>15</v>
      </c>
      <c r="B24" s="716"/>
      <c r="C24" s="1362">
        <v>14</v>
      </c>
      <c r="D24" s="1355" t="s">
        <v>547</v>
      </c>
      <c r="E24" s="1356" t="s">
        <v>938</v>
      </c>
      <c r="F24" s="717"/>
      <c r="G24" s="1364">
        <f t="shared" si="0"/>
        <v>143262</v>
      </c>
      <c r="H24" s="1365"/>
      <c r="I24" s="1359">
        <v>977327</v>
      </c>
      <c r="J24" s="1359"/>
      <c r="K24" s="1359"/>
      <c r="L24" s="1359"/>
      <c r="M24" s="1359">
        <v>27091</v>
      </c>
      <c r="N24" s="1359"/>
      <c r="O24" s="1360">
        <f t="shared" si="1"/>
        <v>1004418</v>
      </c>
      <c r="P24" s="1357">
        <v>25062</v>
      </c>
      <c r="Q24" s="1359">
        <v>32060</v>
      </c>
      <c r="R24" s="1359">
        <v>393153</v>
      </c>
      <c r="S24" s="1359">
        <f>688437</f>
        <v>688437</v>
      </c>
      <c r="T24" s="1359">
        <v>8968</v>
      </c>
      <c r="U24" s="1359"/>
      <c r="V24" s="1361">
        <f t="shared" si="2"/>
        <v>1147680</v>
      </c>
    </row>
    <row r="25" spans="1:22" ht="34.5" customHeight="1">
      <c r="A25" s="1352">
        <v>16</v>
      </c>
      <c r="B25" s="716"/>
      <c r="C25" s="1362">
        <v>16</v>
      </c>
      <c r="D25" s="1355" t="s">
        <v>508</v>
      </c>
      <c r="E25" s="1356" t="s">
        <v>932</v>
      </c>
      <c r="F25" s="314"/>
      <c r="G25" s="1364">
        <f t="shared" si="0"/>
        <v>62406</v>
      </c>
      <c r="H25" s="1365"/>
      <c r="I25" s="1359"/>
      <c r="J25" s="1359"/>
      <c r="K25" s="1359">
        <v>227554</v>
      </c>
      <c r="L25" s="1359"/>
      <c r="M25" s="1359">
        <v>10916</v>
      </c>
      <c r="N25" s="1359"/>
      <c r="O25" s="1360">
        <f aca="true" t="shared" si="3" ref="O25:O35">SUM(I25:N25)</f>
        <v>238470</v>
      </c>
      <c r="P25" s="1357"/>
      <c r="Q25" s="1359"/>
      <c r="R25" s="1359">
        <v>4460</v>
      </c>
      <c r="S25" s="1367">
        <v>267453</v>
      </c>
      <c r="T25" s="1367">
        <f>23001+5962</f>
        <v>28963</v>
      </c>
      <c r="U25" s="1359"/>
      <c r="V25" s="1361">
        <f t="shared" si="2"/>
        <v>300876</v>
      </c>
    </row>
    <row r="26" spans="1:22" s="312" customFormat="1" ht="33">
      <c r="A26" s="1340">
        <v>17</v>
      </c>
      <c r="B26" s="716"/>
      <c r="C26" s="1362">
        <v>17</v>
      </c>
      <c r="D26" s="466" t="s">
        <v>622</v>
      </c>
      <c r="E26" s="1356" t="s">
        <v>931</v>
      </c>
      <c r="F26" s="717"/>
      <c r="G26" s="1364">
        <f t="shared" si="0"/>
        <v>0</v>
      </c>
      <c r="H26" s="1365"/>
      <c r="I26" s="1359"/>
      <c r="J26" s="1359"/>
      <c r="K26" s="1359"/>
      <c r="L26" s="1359">
        <v>788115</v>
      </c>
      <c r="M26" s="1359">
        <v>41400</v>
      </c>
      <c r="N26" s="1359"/>
      <c r="O26" s="1360">
        <f t="shared" si="3"/>
        <v>829515</v>
      </c>
      <c r="P26" s="1357"/>
      <c r="Q26" s="1359"/>
      <c r="R26" s="1359">
        <v>6414</v>
      </c>
      <c r="S26" s="1359">
        <v>26646</v>
      </c>
      <c r="T26" s="1359">
        <f>782603+13852</f>
        <v>796455</v>
      </c>
      <c r="U26" s="1359"/>
      <c r="V26" s="1361">
        <f t="shared" si="2"/>
        <v>829515</v>
      </c>
    </row>
    <row r="27" spans="1:22" ht="33" customHeight="1">
      <c r="A27" s="1352">
        <v>18</v>
      </c>
      <c r="B27" s="716"/>
      <c r="C27" s="1368">
        <v>20</v>
      </c>
      <c r="D27" s="1369" t="s">
        <v>658</v>
      </c>
      <c r="E27" s="1356" t="s">
        <v>939</v>
      </c>
      <c r="F27" s="314"/>
      <c r="G27" s="1364">
        <f t="shared" si="0"/>
        <v>60390</v>
      </c>
      <c r="H27" s="1365"/>
      <c r="I27" s="1359"/>
      <c r="J27" s="1359"/>
      <c r="K27" s="1359"/>
      <c r="L27" s="1359">
        <v>1544000</v>
      </c>
      <c r="M27" s="1359">
        <v>76000</v>
      </c>
      <c r="N27" s="1359"/>
      <c r="O27" s="1360">
        <f t="shared" si="3"/>
        <v>1620000</v>
      </c>
      <c r="P27" s="1357"/>
      <c r="Q27" s="1359"/>
      <c r="R27" s="1359">
        <v>16599</v>
      </c>
      <c r="S27" s="1359">
        <v>79782</v>
      </c>
      <c r="T27" s="1359">
        <f>1561731+22278</f>
        <v>1584009</v>
      </c>
      <c r="U27" s="1359"/>
      <c r="V27" s="1361">
        <f t="shared" si="2"/>
        <v>1680390</v>
      </c>
    </row>
    <row r="28" spans="1:22" ht="33" customHeight="1">
      <c r="A28" s="1340">
        <v>19</v>
      </c>
      <c r="B28" s="716"/>
      <c r="C28" s="1362">
        <v>21</v>
      </c>
      <c r="D28" s="1355" t="s">
        <v>591</v>
      </c>
      <c r="E28" s="1356" t="s">
        <v>937</v>
      </c>
      <c r="F28" s="314"/>
      <c r="G28" s="1370">
        <f t="shared" si="0"/>
        <v>0</v>
      </c>
      <c r="H28" s="1371">
        <v>277946</v>
      </c>
      <c r="I28" s="1359"/>
      <c r="J28" s="1359"/>
      <c r="K28" s="1359">
        <v>558299</v>
      </c>
      <c r="L28" s="1359"/>
      <c r="M28" s="1359">
        <v>793085</v>
      </c>
      <c r="N28" s="1359"/>
      <c r="O28" s="1360">
        <f t="shared" si="3"/>
        <v>1351384</v>
      </c>
      <c r="P28" s="1366"/>
      <c r="Q28" s="1367"/>
      <c r="R28" s="1367">
        <v>28000</v>
      </c>
      <c r="S28" s="1367">
        <v>26441</v>
      </c>
      <c r="T28" s="1367">
        <v>1574889</v>
      </c>
      <c r="U28" s="1359"/>
      <c r="V28" s="1361">
        <f t="shared" si="2"/>
        <v>1629330</v>
      </c>
    </row>
    <row r="29" spans="1:22" ht="33" customHeight="1">
      <c r="A29" s="1352">
        <v>20</v>
      </c>
      <c r="B29" s="716"/>
      <c r="C29" s="1362">
        <v>22</v>
      </c>
      <c r="D29" s="1355" t="s">
        <v>707</v>
      </c>
      <c r="E29" s="1469" t="s">
        <v>933</v>
      </c>
      <c r="F29" s="314"/>
      <c r="G29" s="1364">
        <f t="shared" si="0"/>
        <v>0</v>
      </c>
      <c r="H29" s="1365"/>
      <c r="I29" s="1359"/>
      <c r="J29" s="1359"/>
      <c r="K29" s="1359"/>
      <c r="L29" s="1367">
        <v>815</v>
      </c>
      <c r="M29" s="1367">
        <v>3977</v>
      </c>
      <c r="N29" s="1359"/>
      <c r="O29" s="1360">
        <f t="shared" si="3"/>
        <v>4792</v>
      </c>
      <c r="P29" s="1366"/>
      <c r="Q29" s="1367"/>
      <c r="R29" s="1367"/>
      <c r="S29" s="1367"/>
      <c r="T29" s="1367">
        <v>4792</v>
      </c>
      <c r="U29" s="1359"/>
      <c r="V29" s="1361">
        <f t="shared" si="2"/>
        <v>4792</v>
      </c>
    </row>
    <row r="30" spans="1:22" ht="49.5">
      <c r="A30" s="1340">
        <v>21</v>
      </c>
      <c r="B30" s="716"/>
      <c r="C30" s="1362">
        <v>23</v>
      </c>
      <c r="D30" s="1372" t="s">
        <v>708</v>
      </c>
      <c r="E30" s="1356" t="s">
        <v>939</v>
      </c>
      <c r="F30" s="314"/>
      <c r="G30" s="1364">
        <f t="shared" si="0"/>
        <v>12126</v>
      </c>
      <c r="H30" s="1365"/>
      <c r="I30" s="1359"/>
      <c r="J30" s="1359"/>
      <c r="K30" s="1359"/>
      <c r="L30" s="1359">
        <v>243150</v>
      </c>
      <c r="M30" s="1359">
        <v>11850</v>
      </c>
      <c r="N30" s="1359"/>
      <c r="O30" s="1360">
        <f t="shared" si="3"/>
        <v>255000</v>
      </c>
      <c r="P30" s="1357"/>
      <c r="Q30" s="1359"/>
      <c r="R30" s="1359">
        <v>4379</v>
      </c>
      <c r="S30" s="1359">
        <v>12827</v>
      </c>
      <c r="T30" s="1359">
        <v>249920</v>
      </c>
      <c r="U30" s="1359"/>
      <c r="V30" s="1361">
        <f t="shared" si="2"/>
        <v>267126</v>
      </c>
    </row>
    <row r="31" spans="1:22" ht="33" customHeight="1">
      <c r="A31" s="1352">
        <v>22</v>
      </c>
      <c r="B31" s="716"/>
      <c r="C31" s="1362">
        <v>24</v>
      </c>
      <c r="D31" s="1363" t="s">
        <v>894</v>
      </c>
      <c r="E31" s="1356" t="s">
        <v>940</v>
      </c>
      <c r="F31" s="314"/>
      <c r="G31" s="1364">
        <f t="shared" si="0"/>
        <v>0</v>
      </c>
      <c r="H31" s="1365"/>
      <c r="I31" s="1359"/>
      <c r="J31" s="1359"/>
      <c r="K31" s="1359"/>
      <c r="L31" s="1359">
        <f>23652+14397</f>
        <v>38049</v>
      </c>
      <c r="M31" s="1359">
        <f>31805+70955+43191</f>
        <v>145951</v>
      </c>
      <c r="N31" s="1359"/>
      <c r="O31" s="1360">
        <f t="shared" si="3"/>
        <v>184000</v>
      </c>
      <c r="P31" s="1357"/>
      <c r="Q31" s="1359"/>
      <c r="R31" s="1359">
        <v>9200</v>
      </c>
      <c r="S31" s="1359">
        <f>3350+5228+2014</f>
        <v>10592</v>
      </c>
      <c r="T31" s="1359">
        <f>19255+89379+55574</f>
        <v>164208</v>
      </c>
      <c r="U31" s="1359"/>
      <c r="V31" s="1361">
        <f t="shared" si="2"/>
        <v>184000</v>
      </c>
    </row>
    <row r="32" spans="1:22" ht="49.5">
      <c r="A32" s="1340">
        <v>23</v>
      </c>
      <c r="B32" s="716"/>
      <c r="C32" s="1362">
        <v>25</v>
      </c>
      <c r="D32" s="1355" t="s">
        <v>545</v>
      </c>
      <c r="E32" s="1356" t="s">
        <v>937</v>
      </c>
      <c r="F32" s="314"/>
      <c r="G32" s="1364">
        <f t="shared" si="0"/>
        <v>700</v>
      </c>
      <c r="H32" s="1365"/>
      <c r="I32" s="1359"/>
      <c r="J32" s="1359"/>
      <c r="K32" s="1359">
        <v>24175</v>
      </c>
      <c r="L32" s="1359"/>
      <c r="M32" s="1359">
        <v>24175</v>
      </c>
      <c r="N32" s="1359"/>
      <c r="O32" s="1360">
        <f t="shared" si="3"/>
        <v>48350</v>
      </c>
      <c r="P32" s="1366"/>
      <c r="Q32" s="1367"/>
      <c r="R32" s="1367">
        <v>1176</v>
      </c>
      <c r="S32" s="1367">
        <v>23808</v>
      </c>
      <c r="T32" s="1367">
        <f>24004+62</f>
        <v>24066</v>
      </c>
      <c r="U32" s="1359"/>
      <c r="V32" s="1361">
        <f t="shared" si="2"/>
        <v>49050</v>
      </c>
    </row>
    <row r="33" spans="1:22" ht="33" customHeight="1">
      <c r="A33" s="1352">
        <v>24</v>
      </c>
      <c r="B33" s="716"/>
      <c r="C33" s="1368">
        <v>26</v>
      </c>
      <c r="D33" s="1355" t="s">
        <v>698</v>
      </c>
      <c r="E33" s="1356" t="s">
        <v>932</v>
      </c>
      <c r="F33" s="314"/>
      <c r="G33" s="1364">
        <f t="shared" si="0"/>
        <v>0</v>
      </c>
      <c r="H33" s="1365"/>
      <c r="I33" s="1359"/>
      <c r="J33" s="1359"/>
      <c r="K33" s="1359">
        <v>9031</v>
      </c>
      <c r="L33" s="1359">
        <v>8</v>
      </c>
      <c r="M33" s="1359">
        <v>0</v>
      </c>
      <c r="N33" s="1359"/>
      <c r="O33" s="1360">
        <f t="shared" si="3"/>
        <v>9039</v>
      </c>
      <c r="P33" s="1357"/>
      <c r="Q33" s="1359"/>
      <c r="R33" s="1359">
        <v>7830</v>
      </c>
      <c r="S33" s="1359">
        <v>186</v>
      </c>
      <c r="T33" s="1359">
        <v>1023</v>
      </c>
      <c r="U33" s="1359"/>
      <c r="V33" s="1361">
        <f t="shared" si="2"/>
        <v>9039</v>
      </c>
    </row>
    <row r="34" spans="1:22" ht="33" customHeight="1">
      <c r="A34" s="1340">
        <v>25</v>
      </c>
      <c r="B34" s="716"/>
      <c r="C34" s="1368">
        <v>27</v>
      </c>
      <c r="D34" s="1355" t="s">
        <v>941</v>
      </c>
      <c r="E34" s="1356" t="s">
        <v>939</v>
      </c>
      <c r="F34" s="314"/>
      <c r="G34" s="1364">
        <f t="shared" si="0"/>
        <v>11940</v>
      </c>
      <c r="H34" s="1365"/>
      <c r="I34" s="1359"/>
      <c r="J34" s="1359"/>
      <c r="K34" s="1359"/>
      <c r="L34" s="1359"/>
      <c r="M34" s="1359">
        <f>10537+5830</f>
        <v>16367</v>
      </c>
      <c r="N34" s="1359"/>
      <c r="O34" s="1360">
        <f t="shared" si="3"/>
        <v>16367</v>
      </c>
      <c r="P34" s="1357"/>
      <c r="Q34" s="1359"/>
      <c r="R34" s="1359"/>
      <c r="S34" s="1359">
        <v>8399</v>
      </c>
      <c r="T34" s="1359">
        <f>19581+327</f>
        <v>19908</v>
      </c>
      <c r="U34" s="1359"/>
      <c r="V34" s="1361">
        <f t="shared" si="2"/>
        <v>28307</v>
      </c>
    </row>
    <row r="35" spans="1:22" ht="49.5">
      <c r="A35" s="1352">
        <v>26</v>
      </c>
      <c r="B35" s="716"/>
      <c r="C35" s="1362">
        <v>35</v>
      </c>
      <c r="D35" s="1355" t="s">
        <v>942</v>
      </c>
      <c r="E35" s="1356" t="s">
        <v>943</v>
      </c>
      <c r="F35" s="314"/>
      <c r="G35" s="1364">
        <f t="shared" si="0"/>
        <v>134</v>
      </c>
      <c r="H35" s="1365"/>
      <c r="I35" s="1359"/>
      <c r="J35" s="1359">
        <v>9000</v>
      </c>
      <c r="K35" s="1359">
        <v>-2700</v>
      </c>
      <c r="L35" s="1359"/>
      <c r="M35" s="1359">
        <v>0</v>
      </c>
      <c r="N35" s="1359"/>
      <c r="O35" s="1360">
        <f t="shared" si="3"/>
        <v>6300</v>
      </c>
      <c r="P35" s="1357"/>
      <c r="Q35" s="1359"/>
      <c r="R35" s="1359">
        <v>1582</v>
      </c>
      <c r="S35" s="1359">
        <v>4613</v>
      </c>
      <c r="T35" s="1359">
        <v>239</v>
      </c>
      <c r="U35" s="1359"/>
      <c r="V35" s="1361">
        <f t="shared" si="2"/>
        <v>6434</v>
      </c>
    </row>
    <row r="36" spans="1:22" s="312" customFormat="1" ht="33" customHeight="1">
      <c r="A36" s="1340">
        <v>27</v>
      </c>
      <c r="B36" s="1341">
        <v>14</v>
      </c>
      <c r="C36" s="1342" t="s">
        <v>534</v>
      </c>
      <c r="D36" s="1343"/>
      <c r="E36" s="1356"/>
      <c r="F36" s="1345"/>
      <c r="G36" s="1373"/>
      <c r="H36" s="1374"/>
      <c r="I36" s="1375"/>
      <c r="J36" s="1375"/>
      <c r="K36" s="1375"/>
      <c r="L36" s="1375"/>
      <c r="M36" s="1375"/>
      <c r="N36" s="1375"/>
      <c r="O36" s="1376"/>
      <c r="P36" s="1377"/>
      <c r="Q36" s="1378"/>
      <c r="R36" s="1378"/>
      <c r="S36" s="1378"/>
      <c r="T36" s="1378"/>
      <c r="U36" s="1378"/>
      <c r="V36" s="1379"/>
    </row>
    <row r="37" spans="1:22" ht="33" customHeight="1" thickBot="1">
      <c r="A37" s="1352">
        <v>28</v>
      </c>
      <c r="B37" s="716"/>
      <c r="C37" s="1380">
        <v>2</v>
      </c>
      <c r="D37" s="1381" t="s">
        <v>944</v>
      </c>
      <c r="E37" s="1382" t="s">
        <v>932</v>
      </c>
      <c r="F37" s="314"/>
      <c r="G37" s="1383">
        <f t="shared" si="0"/>
        <v>0</v>
      </c>
      <c r="H37" s="1384"/>
      <c r="I37" s="1359"/>
      <c r="J37" s="1359"/>
      <c r="K37" s="1359">
        <v>27687</v>
      </c>
      <c r="L37" s="1359"/>
      <c r="M37" s="1359"/>
      <c r="N37" s="1359"/>
      <c r="O37" s="1360">
        <f>SUM(I37:N37)</f>
        <v>27687</v>
      </c>
      <c r="P37" s="1357"/>
      <c r="Q37" s="1359"/>
      <c r="R37" s="1359">
        <v>4679</v>
      </c>
      <c r="S37" s="1359">
        <v>18151</v>
      </c>
      <c r="T37" s="1359">
        <v>4857</v>
      </c>
      <c r="U37" s="1359"/>
      <c r="V37" s="1385">
        <f>SUM(P37:U37)</f>
        <v>27687</v>
      </c>
    </row>
    <row r="38" spans="1:22" ht="33" customHeight="1" thickBot="1">
      <c r="A38" s="1340">
        <v>29</v>
      </c>
      <c r="B38" s="1791" t="s">
        <v>129</v>
      </c>
      <c r="C38" s="1792"/>
      <c r="D38" s="1792"/>
      <c r="E38" s="1792"/>
      <c r="F38" s="313"/>
      <c r="G38" s="1386">
        <f>SUM(G11:G37)</f>
        <v>1308265</v>
      </c>
      <c r="H38" s="1387"/>
      <c r="I38" s="1388">
        <f aca="true" t="shared" si="4" ref="I38:V38">SUM(I11:I37)</f>
        <v>977327</v>
      </c>
      <c r="J38" s="1388">
        <f t="shared" si="4"/>
        <v>9000</v>
      </c>
      <c r="K38" s="1388">
        <f t="shared" si="4"/>
        <v>3102781</v>
      </c>
      <c r="L38" s="1388">
        <f t="shared" si="4"/>
        <v>4453994</v>
      </c>
      <c r="M38" s="1388">
        <f t="shared" si="4"/>
        <v>2796282</v>
      </c>
      <c r="N38" s="1388">
        <f t="shared" si="4"/>
        <v>0</v>
      </c>
      <c r="O38" s="1389">
        <f t="shared" si="4"/>
        <v>11339384</v>
      </c>
      <c r="P38" s="1386">
        <f t="shared" si="4"/>
        <v>68046</v>
      </c>
      <c r="Q38" s="1388">
        <f t="shared" si="4"/>
        <v>126233</v>
      </c>
      <c r="R38" s="1388">
        <f t="shared" si="4"/>
        <v>847713</v>
      </c>
      <c r="S38" s="1388">
        <f t="shared" si="4"/>
        <v>2564793</v>
      </c>
      <c r="T38" s="1388">
        <f t="shared" si="4"/>
        <v>9318810</v>
      </c>
      <c r="U38" s="1388">
        <f t="shared" si="4"/>
        <v>0</v>
      </c>
      <c r="V38" s="1390">
        <f t="shared" si="4"/>
        <v>12925595</v>
      </c>
    </row>
    <row r="39" spans="2:22" ht="24.75" customHeight="1">
      <c r="B39" s="1793" t="s">
        <v>945</v>
      </c>
      <c r="C39" s="1793"/>
      <c r="D39" s="1793"/>
      <c r="E39" s="1793"/>
      <c r="F39" s="1793"/>
      <c r="G39" s="1793"/>
      <c r="H39" s="1793"/>
      <c r="I39" s="1793"/>
      <c r="J39" s="1793"/>
      <c r="K39" s="1793"/>
      <c r="L39" s="1793"/>
      <c r="M39" s="1793"/>
      <c r="N39" s="1793"/>
      <c r="O39" s="1793"/>
      <c r="P39" s="1793"/>
      <c r="Q39" s="1793"/>
      <c r="R39" s="1793"/>
      <c r="S39" s="1793"/>
      <c r="T39" s="1793"/>
      <c r="U39" s="1793"/>
      <c r="V39" s="1793"/>
    </row>
    <row r="40" spans="2:22" ht="24.75" customHeight="1">
      <c r="B40" s="1794" t="s">
        <v>946</v>
      </c>
      <c r="C40" s="1794"/>
      <c r="D40" s="1794"/>
      <c r="E40" s="1794"/>
      <c r="F40" s="1794"/>
      <c r="G40" s="1794"/>
      <c r="H40" s="1794"/>
      <c r="I40" s="1794"/>
      <c r="J40" s="1794"/>
      <c r="K40" s="1794"/>
      <c r="L40" s="1794"/>
      <c r="M40" s="1794"/>
      <c r="N40" s="1794"/>
      <c r="O40" s="1794"/>
      <c r="P40" s="1794"/>
      <c r="Q40" s="1794"/>
      <c r="R40" s="1794"/>
      <c r="S40" s="1794"/>
      <c r="T40" s="1794"/>
      <c r="U40" s="1794"/>
      <c r="V40" s="1794"/>
    </row>
    <row r="41" spans="2:22" ht="24.75" customHeight="1">
      <c r="B41" s="1795" t="s">
        <v>548</v>
      </c>
      <c r="C41" s="1795"/>
      <c r="D41" s="1795"/>
      <c r="E41" s="1795"/>
      <c r="F41" s="1795"/>
      <c r="G41" s="1795"/>
      <c r="H41" s="1795"/>
      <c r="I41" s="1795"/>
      <c r="J41" s="1795"/>
      <c r="K41" s="1795"/>
      <c r="L41" s="1795"/>
      <c r="M41" s="1795"/>
      <c r="N41" s="1795"/>
      <c r="O41" s="1795"/>
      <c r="P41" s="1795"/>
      <c r="Q41" s="1795"/>
      <c r="R41" s="1795"/>
      <c r="S41" s="1795"/>
      <c r="T41" s="1795"/>
      <c r="U41" s="1795"/>
      <c r="V41" s="1795"/>
    </row>
    <row r="42" spans="2:22" ht="24.75" customHeight="1">
      <c r="B42" s="1795" t="s">
        <v>549</v>
      </c>
      <c r="C42" s="1795"/>
      <c r="D42" s="1795"/>
      <c r="E42" s="1795"/>
      <c r="F42" s="1795"/>
      <c r="G42" s="1795"/>
      <c r="H42" s="1795"/>
      <c r="I42" s="1795"/>
      <c r="J42" s="1795"/>
      <c r="K42" s="1795"/>
      <c r="L42" s="1795"/>
      <c r="M42" s="1795"/>
      <c r="N42" s="1795"/>
      <c r="O42" s="1795"/>
      <c r="P42" s="1795"/>
      <c r="Q42" s="1795"/>
      <c r="R42" s="1795"/>
      <c r="S42" s="1795"/>
      <c r="T42" s="1795"/>
      <c r="U42" s="1795"/>
      <c r="V42" s="1795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21">
    <mergeCell ref="B7:B9"/>
    <mergeCell ref="C7:C9"/>
    <mergeCell ref="D7:D9"/>
    <mergeCell ref="E7:E9"/>
    <mergeCell ref="G7:O7"/>
    <mergeCell ref="B1:U1"/>
    <mergeCell ref="B2:V2"/>
    <mergeCell ref="B3:V3"/>
    <mergeCell ref="B4:V4"/>
    <mergeCell ref="U5:V5"/>
    <mergeCell ref="P7:U8"/>
    <mergeCell ref="V7:V9"/>
    <mergeCell ref="G8:G9"/>
    <mergeCell ref="H8:H9"/>
    <mergeCell ref="I8:N8"/>
    <mergeCell ref="O8:O9"/>
    <mergeCell ref="B38:E38"/>
    <mergeCell ref="B39:V39"/>
    <mergeCell ref="B40:V40"/>
    <mergeCell ref="B41:V41"/>
    <mergeCell ref="B42:V42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48" r:id="rId1"/>
  <headerFoot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view="pageBreakPreview" zoomScaleSheetLayoutView="100" zoomScalePageLayoutView="0" workbookViewId="0" topLeftCell="A1">
      <selection activeCell="B1" sqref="B1:C1"/>
    </sheetView>
  </sheetViews>
  <sheetFormatPr defaultColWidth="9.125" defaultRowHeight="12.75"/>
  <cols>
    <col min="1" max="1" width="3.75390625" style="254" customWidth="1"/>
    <col min="2" max="2" width="4.75390625" style="254" customWidth="1"/>
    <col min="3" max="3" width="51.75390625" style="41" customWidth="1"/>
    <col min="4" max="4" width="24.25390625" style="40" customWidth="1"/>
    <col min="5" max="16384" width="9.125" style="41" customWidth="1"/>
  </cols>
  <sheetData>
    <row r="1" spans="1:3" ht="18" customHeight="1">
      <c r="A1" s="254" t="s">
        <v>382</v>
      </c>
      <c r="B1" s="1829" t="s">
        <v>1024</v>
      </c>
      <c r="C1" s="1829"/>
    </row>
    <row r="2" spans="2:3" ht="18" customHeight="1">
      <c r="B2" s="1225"/>
      <c r="C2" s="1225"/>
    </row>
    <row r="3" spans="1:4" s="44" customFormat="1" ht="24.75" customHeight="1">
      <c r="A3" s="453"/>
      <c r="B3" s="1516" t="s">
        <v>122</v>
      </c>
      <c r="C3" s="1516"/>
      <c r="D3" s="1516"/>
    </row>
    <row r="4" spans="1:4" s="42" customFormat="1" ht="24.75" customHeight="1">
      <c r="A4" s="454"/>
      <c r="B4" s="1518" t="s">
        <v>697</v>
      </c>
      <c r="C4" s="1518"/>
      <c r="D4" s="1518"/>
    </row>
    <row r="5" spans="1:4" s="244" customFormat="1" ht="24.75" customHeight="1">
      <c r="A5" s="254"/>
      <c r="B5" s="1830" t="s">
        <v>383</v>
      </c>
      <c r="C5" s="1830"/>
      <c r="D5" s="1830"/>
    </row>
    <row r="6" spans="1:4" s="1195" customFormat="1" ht="18" customHeight="1" thickBot="1">
      <c r="A6" s="130"/>
      <c r="B6" s="1831" t="s">
        <v>1</v>
      </c>
      <c r="C6" s="1831"/>
      <c r="D6" s="1194" t="s">
        <v>3</v>
      </c>
    </row>
    <row r="7" spans="2:4" ht="33" customHeight="1" thickBot="1">
      <c r="B7" s="1832" t="s">
        <v>384</v>
      </c>
      <c r="C7" s="1833"/>
      <c r="D7" s="245" t="s">
        <v>385</v>
      </c>
    </row>
    <row r="8" spans="1:4" s="44" customFormat="1" ht="30" customHeight="1">
      <c r="A8" s="453">
        <v>1</v>
      </c>
      <c r="B8" s="43" t="s">
        <v>130</v>
      </c>
      <c r="C8" s="246" t="s">
        <v>386</v>
      </c>
      <c r="D8" s="247"/>
    </row>
    <row r="9" spans="1:4" ht="24.75" customHeight="1">
      <c r="A9" s="453">
        <v>2</v>
      </c>
      <c r="B9" s="45"/>
      <c r="C9" s="248" t="s">
        <v>131</v>
      </c>
      <c r="D9" s="1229">
        <v>150000</v>
      </c>
    </row>
    <row r="10" spans="1:4" ht="24.75" customHeight="1">
      <c r="A10" s="453">
        <v>3</v>
      </c>
      <c r="B10" s="45"/>
      <c r="C10" s="248" t="s">
        <v>132</v>
      </c>
      <c r="D10" s="1229">
        <v>30000</v>
      </c>
    </row>
    <row r="11" spans="1:4" ht="24.75" customHeight="1">
      <c r="A11" s="453">
        <v>4</v>
      </c>
      <c r="B11" s="45"/>
      <c r="C11" s="248" t="s">
        <v>133</v>
      </c>
      <c r="D11" s="1229">
        <v>150000</v>
      </c>
    </row>
    <row r="12" spans="1:4" ht="24.75" customHeight="1">
      <c r="A12" s="453">
        <v>5</v>
      </c>
      <c r="B12" s="45"/>
      <c r="C12" s="248" t="s">
        <v>134</v>
      </c>
      <c r="D12" s="1229">
        <v>14000</v>
      </c>
    </row>
    <row r="13" spans="1:4" ht="24.75" customHeight="1">
      <c r="A13" s="453">
        <v>6</v>
      </c>
      <c r="B13" s="45"/>
      <c r="C13" s="248" t="s">
        <v>135</v>
      </c>
      <c r="D13" s="1229">
        <v>42000</v>
      </c>
    </row>
    <row r="14" spans="1:4" ht="24.75" customHeight="1">
      <c r="A14" s="453">
        <v>7</v>
      </c>
      <c r="B14" s="45"/>
      <c r="C14" s="248" t="s">
        <v>136</v>
      </c>
      <c r="D14" s="1230">
        <v>100000</v>
      </c>
    </row>
    <row r="15" spans="1:4" s="244" customFormat="1" ht="30" customHeight="1">
      <c r="A15" s="254">
        <v>8</v>
      </c>
      <c r="B15" s="45"/>
      <c r="C15" s="249"/>
      <c r="D15" s="250">
        <f>SUM(D9:D14)</f>
        <v>486000</v>
      </c>
    </row>
    <row r="16" spans="1:4" s="42" customFormat="1" ht="49.5" customHeight="1">
      <c r="A16" s="454">
        <v>9</v>
      </c>
      <c r="B16" s="46" t="s">
        <v>137</v>
      </c>
      <c r="C16" s="251" t="s">
        <v>387</v>
      </c>
      <c r="D16" s="1231">
        <v>113</v>
      </c>
    </row>
    <row r="17" spans="1:4" s="42" customFormat="1" ht="49.5" customHeight="1">
      <c r="A17" s="454">
        <v>10</v>
      </c>
      <c r="B17" s="46" t="s">
        <v>138</v>
      </c>
      <c r="C17" s="251" t="s">
        <v>388</v>
      </c>
      <c r="D17" s="252"/>
    </row>
    <row r="18" spans="1:4" s="42" customFormat="1" ht="49.5" customHeight="1">
      <c r="A18" s="454">
        <v>11</v>
      </c>
      <c r="B18" s="46" t="s">
        <v>139</v>
      </c>
      <c r="C18" s="251" t="s">
        <v>389</v>
      </c>
      <c r="D18" s="252">
        <v>1476</v>
      </c>
    </row>
    <row r="19" spans="1:4" s="42" customFormat="1" ht="49.5" customHeight="1" thickBot="1">
      <c r="A19" s="454">
        <v>12</v>
      </c>
      <c r="B19" s="46" t="s">
        <v>140</v>
      </c>
      <c r="C19" s="251" t="s">
        <v>390</v>
      </c>
      <c r="D19" s="252"/>
    </row>
    <row r="20" spans="1:4" s="42" customFormat="1" ht="33" customHeight="1" thickBot="1">
      <c r="A20" s="454">
        <v>13</v>
      </c>
      <c r="B20" s="1827" t="s">
        <v>141</v>
      </c>
      <c r="C20" s="1828"/>
      <c r="D20" s="253">
        <f>SUM(D15:D19)</f>
        <v>487589</v>
      </c>
    </row>
    <row r="21" spans="3:4" ht="16.5" customHeight="1">
      <c r="C21" s="255"/>
      <c r="D21" s="47"/>
    </row>
    <row r="22" spans="3:4" ht="16.5" customHeight="1">
      <c r="C22" s="255"/>
      <c r="D22" s="47"/>
    </row>
    <row r="23" spans="3:4" ht="16.5" customHeight="1">
      <c r="C23" s="255"/>
      <c r="D23" s="47"/>
    </row>
    <row r="24" spans="3:4" ht="16.5" customHeight="1">
      <c r="C24" s="255"/>
      <c r="D24" s="47"/>
    </row>
    <row r="25" spans="3:4" ht="16.5" customHeight="1">
      <c r="C25" s="255"/>
      <c r="D25" s="47"/>
    </row>
    <row r="26" spans="3:4" ht="16.5" customHeight="1">
      <c r="C26" s="255"/>
      <c r="D26" s="47"/>
    </row>
    <row r="27" spans="3:4" ht="16.5" customHeight="1">
      <c r="C27" s="255"/>
      <c r="D27" s="47"/>
    </row>
    <row r="28" spans="3:4" ht="16.5" customHeight="1">
      <c r="C28" s="255"/>
      <c r="D28" s="47"/>
    </row>
    <row r="29" spans="3:4" ht="16.5" customHeight="1">
      <c r="C29" s="255"/>
      <c r="D29" s="47"/>
    </row>
    <row r="30" spans="3:4" ht="16.5" customHeight="1">
      <c r="C30" s="255"/>
      <c r="D30" s="47"/>
    </row>
    <row r="31" spans="3:4" ht="16.5" customHeight="1">
      <c r="C31" s="255"/>
      <c r="D31" s="47"/>
    </row>
    <row r="32" spans="3:4" ht="16.5">
      <c r="C32" s="255"/>
      <c r="D32" s="47"/>
    </row>
    <row r="33" spans="3:4" ht="16.5">
      <c r="C33" s="255"/>
      <c r="D33" s="47"/>
    </row>
    <row r="34" spans="3:4" ht="16.5">
      <c r="C34" s="255"/>
      <c r="D34" s="47"/>
    </row>
    <row r="35" spans="3:4" ht="16.5">
      <c r="C35" s="255"/>
      <c r="D35" s="47"/>
    </row>
    <row r="36" spans="3:4" ht="16.5">
      <c r="C36" s="255"/>
      <c r="D36" s="47"/>
    </row>
    <row r="37" spans="3:4" ht="16.5">
      <c r="C37" s="255"/>
      <c r="D37" s="47"/>
    </row>
    <row r="38" spans="3:4" ht="16.5">
      <c r="C38" s="255"/>
      <c r="D38" s="47"/>
    </row>
    <row r="39" spans="3:4" ht="16.5">
      <c r="C39" s="255"/>
      <c r="D39" s="47"/>
    </row>
    <row r="40" spans="3:4" ht="16.5">
      <c r="C40" s="255"/>
      <c r="D40" s="47"/>
    </row>
    <row r="41" spans="3:4" ht="16.5">
      <c r="C41" s="255"/>
      <c r="D41" s="47"/>
    </row>
    <row r="42" spans="3:4" ht="16.5">
      <c r="C42" s="255"/>
      <c r="D42" s="47"/>
    </row>
    <row r="43" spans="3:4" ht="16.5">
      <c r="C43" s="255"/>
      <c r="D43" s="47"/>
    </row>
    <row r="44" spans="3:4" ht="16.5">
      <c r="C44" s="255"/>
      <c r="D44" s="47"/>
    </row>
    <row r="45" spans="3:4" ht="16.5">
      <c r="C45" s="255"/>
      <c r="D45" s="47"/>
    </row>
    <row r="46" spans="3:4" ht="16.5">
      <c r="C46" s="255"/>
      <c r="D46" s="47"/>
    </row>
    <row r="47" spans="3:4" ht="16.5">
      <c r="C47" s="255"/>
      <c r="D47" s="47"/>
    </row>
    <row r="48" spans="3:4" ht="16.5">
      <c r="C48" s="255"/>
      <c r="D48" s="47"/>
    </row>
    <row r="49" spans="3:4" ht="16.5">
      <c r="C49" s="255"/>
      <c r="D49" s="47"/>
    </row>
    <row r="50" spans="3:4" ht="16.5">
      <c r="C50" s="255"/>
      <c r="D50" s="47"/>
    </row>
    <row r="51" spans="3:4" ht="16.5">
      <c r="C51" s="255"/>
      <c r="D51" s="47"/>
    </row>
  </sheetData>
  <sheetProtection/>
  <mergeCells count="7">
    <mergeCell ref="B20:C20"/>
    <mergeCell ref="B1:C1"/>
    <mergeCell ref="B3:D3"/>
    <mergeCell ref="B4:D4"/>
    <mergeCell ref="B5:D5"/>
    <mergeCell ref="B6:C6"/>
    <mergeCell ref="B7:C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85" zoomScaleSheetLayoutView="85" zoomScalePageLayoutView="0" workbookViewId="0" topLeftCell="A1">
      <selection activeCell="B1" sqref="B1:F1"/>
    </sheetView>
  </sheetViews>
  <sheetFormatPr defaultColWidth="9.125" defaultRowHeight="12.75"/>
  <cols>
    <col min="1" max="1" width="3.75390625" style="1037" customWidth="1"/>
    <col min="2" max="2" width="5.75390625" style="112" customWidth="1"/>
    <col min="3" max="5" width="5.75390625" style="114" customWidth="1"/>
    <col min="6" max="6" width="59.75390625" style="73" customWidth="1"/>
    <col min="7" max="9" width="13.75390625" style="73" customWidth="1"/>
    <col min="10" max="10" width="15.75390625" style="73" customWidth="1"/>
    <col min="11" max="11" width="10.125" style="73" bestFit="1" customWidth="1"/>
    <col min="12" max="16384" width="9.125" style="73" customWidth="1"/>
  </cols>
  <sheetData>
    <row r="1" spans="2:10" ht="16.5">
      <c r="B1" s="1523" t="s">
        <v>1005</v>
      </c>
      <c r="C1" s="1523"/>
      <c r="D1" s="1523"/>
      <c r="E1" s="1523"/>
      <c r="F1" s="1523"/>
      <c r="H1" s="74"/>
      <c r="I1" s="75"/>
      <c r="J1" s="75"/>
    </row>
    <row r="2" spans="1:10" s="76" customFormat="1" ht="24.75" customHeight="1">
      <c r="A2" s="1037"/>
      <c r="B2" s="1524" t="s">
        <v>172</v>
      </c>
      <c r="C2" s="1524"/>
      <c r="D2" s="1524"/>
      <c r="E2" s="1524"/>
      <c r="F2" s="1524"/>
      <c r="G2" s="1524"/>
      <c r="H2" s="1524"/>
      <c r="I2" s="1524"/>
      <c r="J2" s="1524"/>
    </row>
    <row r="3" spans="1:10" s="76" customFormat="1" ht="24.75" customHeight="1">
      <c r="A3" s="1037"/>
      <c r="B3" s="1524" t="s">
        <v>643</v>
      </c>
      <c r="C3" s="1524"/>
      <c r="D3" s="1524"/>
      <c r="E3" s="1524"/>
      <c r="F3" s="1524"/>
      <c r="G3" s="1524"/>
      <c r="H3" s="1524"/>
      <c r="I3" s="1524"/>
      <c r="J3" s="1524"/>
    </row>
    <row r="4" spans="3:10" ht="17.25">
      <c r="C4" s="113"/>
      <c r="E4" s="113"/>
      <c r="F4" s="113"/>
      <c r="G4" s="113"/>
      <c r="H4" s="74"/>
      <c r="J4" s="447" t="s">
        <v>0</v>
      </c>
    </row>
    <row r="5" spans="1:10" s="114" customFormat="1" ht="17.25" thickBot="1">
      <c r="A5" s="1037"/>
      <c r="B5" s="112" t="s">
        <v>1</v>
      </c>
      <c r="C5" s="114" t="s">
        <v>3</v>
      </c>
      <c r="D5" s="114" t="s">
        <v>2</v>
      </c>
      <c r="E5" s="114" t="s">
        <v>4</v>
      </c>
      <c r="F5" s="114" t="s">
        <v>5</v>
      </c>
      <c r="G5" s="114" t="s">
        <v>15</v>
      </c>
      <c r="H5" s="114" t="s">
        <v>16</v>
      </c>
      <c r="I5" s="448" t="s">
        <v>17</v>
      </c>
      <c r="J5" s="448" t="s">
        <v>36</v>
      </c>
    </row>
    <row r="6" spans="1:10" s="77" customFormat="1" ht="79.5" customHeight="1" thickBot="1">
      <c r="A6" s="1037"/>
      <c r="B6" s="449" t="s">
        <v>204</v>
      </c>
      <c r="C6" s="450" t="s">
        <v>19</v>
      </c>
      <c r="D6" s="427" t="s">
        <v>677</v>
      </c>
      <c r="E6" s="427" t="s">
        <v>679</v>
      </c>
      <c r="F6" s="451" t="s">
        <v>6</v>
      </c>
      <c r="G6" s="323" t="s">
        <v>668</v>
      </c>
      <c r="H6" s="323" t="s">
        <v>640</v>
      </c>
      <c r="I6" s="452" t="s">
        <v>641</v>
      </c>
      <c r="J6" s="317" t="s">
        <v>645</v>
      </c>
    </row>
    <row r="7" spans="1:10" s="82" customFormat="1" ht="30" customHeight="1">
      <c r="A7" s="1037">
        <v>1</v>
      </c>
      <c r="B7" s="423" t="s">
        <v>554</v>
      </c>
      <c r="C7" s="78"/>
      <c r="D7" s="79"/>
      <c r="E7" s="78"/>
      <c r="F7" s="80" t="s">
        <v>205</v>
      </c>
      <c r="G7" s="81">
        <f>SUM(G8:G9)</f>
        <v>7353582</v>
      </c>
      <c r="H7" s="81">
        <f>SUM(H8:H9)</f>
        <v>7596089</v>
      </c>
      <c r="I7" s="81">
        <f>SUM(I8:I9)</f>
        <v>9237855</v>
      </c>
      <c r="J7" s="324">
        <f>SUM(J8:J9)</f>
        <v>8038573</v>
      </c>
    </row>
    <row r="8" spans="1:10" ht="25.5" customHeight="1">
      <c r="A8" s="1037">
        <v>2</v>
      </c>
      <c r="B8" s="83"/>
      <c r="C8" s="84"/>
      <c r="D8" s="84">
        <v>1</v>
      </c>
      <c r="E8" s="84"/>
      <c r="F8" s="85" t="s">
        <v>39</v>
      </c>
      <c r="G8" s="85">
        <v>7197678</v>
      </c>
      <c r="H8" s="85">
        <v>7431316</v>
      </c>
      <c r="I8" s="85">
        <v>8871331</v>
      </c>
      <c r="J8" s="325">
        <v>7971537</v>
      </c>
    </row>
    <row r="9" spans="1:10" ht="25.5" customHeight="1">
      <c r="A9" s="1037">
        <v>3</v>
      </c>
      <c r="B9" s="83"/>
      <c r="C9" s="84"/>
      <c r="D9" s="84">
        <v>2</v>
      </c>
      <c r="E9" s="84"/>
      <c r="F9" s="85" t="s">
        <v>163</v>
      </c>
      <c r="G9" s="85">
        <f>SUM(G10:G11)</f>
        <v>155904</v>
      </c>
      <c r="H9" s="85">
        <f>SUM(H10:H11)</f>
        <v>164773</v>
      </c>
      <c r="I9" s="85">
        <f>SUM(I10:I11)</f>
        <v>366524</v>
      </c>
      <c r="J9" s="325">
        <f>SUM(J10:J11)</f>
        <v>67036</v>
      </c>
    </row>
    <row r="10" spans="1:10" ht="16.5">
      <c r="A10" s="1037">
        <v>4</v>
      </c>
      <c r="B10" s="83"/>
      <c r="C10" s="84"/>
      <c r="D10" s="84"/>
      <c r="E10" s="84">
        <v>1</v>
      </c>
      <c r="F10" s="86" t="s">
        <v>231</v>
      </c>
      <c r="G10" s="85">
        <v>155449</v>
      </c>
      <c r="H10" s="85">
        <v>164773</v>
      </c>
      <c r="I10" s="85">
        <v>362944</v>
      </c>
      <c r="J10" s="325">
        <f>65036+2000</f>
        <v>67036</v>
      </c>
    </row>
    <row r="11" spans="1:10" ht="16.5">
      <c r="A11" s="1037">
        <v>5</v>
      </c>
      <c r="B11" s="83"/>
      <c r="C11" s="84"/>
      <c r="D11" s="84"/>
      <c r="E11" s="84">
        <v>2</v>
      </c>
      <c r="F11" s="86" t="s">
        <v>232</v>
      </c>
      <c r="G11" s="85">
        <v>455</v>
      </c>
      <c r="H11" s="85"/>
      <c r="I11" s="85">
        <v>3580</v>
      </c>
      <c r="J11" s="325"/>
    </row>
    <row r="12" spans="1:10" s="82" customFormat="1" ht="30" customHeight="1">
      <c r="A12" s="1037">
        <v>6</v>
      </c>
      <c r="B12" s="424" t="s">
        <v>555</v>
      </c>
      <c r="C12" s="87"/>
      <c r="D12" s="88"/>
      <c r="E12" s="88"/>
      <c r="F12" s="89" t="s">
        <v>127</v>
      </c>
      <c r="G12" s="89">
        <f>SUM(G13:G14,G25,G26)</f>
        <v>13225053</v>
      </c>
      <c r="H12" s="89">
        <f>SUM(H13:H14,H25,H26)</f>
        <v>19900460</v>
      </c>
      <c r="I12" s="89">
        <f>SUM(I13:I14,I25,I26)</f>
        <v>29582801</v>
      </c>
      <c r="J12" s="326">
        <f>SUM(J13:J14,J25,J26)</f>
        <v>29513701</v>
      </c>
    </row>
    <row r="13" spans="1:11" s="82" customFormat="1" ht="25.5" customHeight="1">
      <c r="A13" s="1037">
        <v>7</v>
      </c>
      <c r="B13" s="83"/>
      <c r="C13" s="90"/>
      <c r="D13" s="84">
        <v>1</v>
      </c>
      <c r="E13" s="90"/>
      <c r="F13" s="91" t="s">
        <v>39</v>
      </c>
      <c r="G13" s="91">
        <v>4718378</v>
      </c>
      <c r="H13" s="91">
        <v>5579739</v>
      </c>
      <c r="I13" s="91">
        <v>7637985</v>
      </c>
      <c r="J13" s="327">
        <f>'6.Önk.műk.'!I504+'7.Beruh.'!I60+'8.Felúj.'!I46+'9.Projekt'!I86+'9.Projekt'!J86+'9.Projekt'!K86+'9.Projekt'!L86+'10.MVP és hazai'!I36+'10.MVP és hazai'!J36+'10.MVP és hazai'!K36+'10.MVP és hazai'!L36+'11.EKF'!I54+'11.EKF'!J54+'11.EKF'!K54+'11.EKF'!L54</f>
        <v>6655947</v>
      </c>
      <c r="K13" s="82">
        <f>+J13-'6.Önk.műk.'!I504-'7.Beruh.'!I60-'8.Felúj.'!I46-'9.Projekt'!I86-'9.Projekt'!J86-'9.Projekt'!K86-'9.Projekt'!L86-'10.MVP és hazai'!I36-'10.MVP és hazai'!J36-'10.MVP és hazai'!K36-'10.MVP és hazai'!L36-'11.EKF'!I54-'11.EKF'!J54-'11.EKF'!K54-'11.EKF'!L54</f>
        <v>0</v>
      </c>
    </row>
    <row r="14" spans="1:10" ht="25.5" customHeight="1">
      <c r="A14" s="1037">
        <v>8</v>
      </c>
      <c r="B14" s="83"/>
      <c r="C14" s="90"/>
      <c r="D14" s="90"/>
      <c r="E14" s="90"/>
      <c r="F14" s="91" t="s">
        <v>206</v>
      </c>
      <c r="G14" s="91">
        <f>SUM(G15,G21)</f>
        <v>0</v>
      </c>
      <c r="H14" s="91">
        <f>SUM(H15,H21)</f>
        <v>394518</v>
      </c>
      <c r="I14" s="91">
        <f>SUM(I15,I21)</f>
        <v>732869</v>
      </c>
      <c r="J14" s="327">
        <f>SUM(J15,J21)</f>
        <v>520204</v>
      </c>
    </row>
    <row r="15" spans="1:10" s="95" customFormat="1" ht="25.5" customHeight="1">
      <c r="A15" s="1037">
        <v>9</v>
      </c>
      <c r="B15" s="425"/>
      <c r="C15" s="92"/>
      <c r="D15" s="84">
        <v>1</v>
      </c>
      <c r="E15" s="92"/>
      <c r="F15" s="93" t="s">
        <v>607</v>
      </c>
      <c r="G15" s="94">
        <f>SUM(G16:G19)</f>
        <v>0</v>
      </c>
      <c r="H15" s="94">
        <f>SUM(H16:H19)</f>
        <v>105109</v>
      </c>
      <c r="I15" s="94">
        <f>SUM(I16:I20)</f>
        <v>348765</v>
      </c>
      <c r="J15" s="328">
        <f>SUM(J16:J19)</f>
        <v>135616</v>
      </c>
    </row>
    <row r="16" spans="1:10" ht="16.5">
      <c r="A16" s="1037">
        <v>10</v>
      </c>
      <c r="B16" s="83"/>
      <c r="C16" s="84"/>
      <c r="D16" s="84"/>
      <c r="E16" s="84"/>
      <c r="F16" s="96" t="s">
        <v>207</v>
      </c>
      <c r="G16" s="85"/>
      <c r="H16" s="85">
        <v>76368</v>
      </c>
      <c r="I16" s="85">
        <v>898</v>
      </c>
      <c r="J16" s="325">
        <v>111616</v>
      </c>
    </row>
    <row r="17" spans="1:10" ht="16.5">
      <c r="A17" s="1037">
        <v>11</v>
      </c>
      <c r="B17" s="83"/>
      <c r="C17" s="84"/>
      <c r="D17" s="84"/>
      <c r="E17" s="84"/>
      <c r="F17" s="96" t="s">
        <v>827</v>
      </c>
      <c r="G17" s="85"/>
      <c r="H17" s="85">
        <v>24000</v>
      </c>
      <c r="I17" s="85">
        <v>176</v>
      </c>
      <c r="J17" s="325">
        <v>24000</v>
      </c>
    </row>
    <row r="18" spans="1:10" ht="16.5">
      <c r="A18" s="1037">
        <v>12</v>
      </c>
      <c r="B18" s="83"/>
      <c r="C18" s="84"/>
      <c r="D18" s="84"/>
      <c r="E18" s="84"/>
      <c r="F18" s="96" t="s">
        <v>626</v>
      </c>
      <c r="G18" s="85"/>
      <c r="H18" s="85">
        <v>4741</v>
      </c>
      <c r="I18" s="85"/>
      <c r="J18" s="325"/>
    </row>
    <row r="19" spans="1:10" ht="16.5">
      <c r="A19" s="1037">
        <v>13</v>
      </c>
      <c r="B19" s="83"/>
      <c r="C19" s="84"/>
      <c r="D19" s="84"/>
      <c r="E19" s="84"/>
      <c r="F19" s="96" t="s">
        <v>671</v>
      </c>
      <c r="G19" s="85"/>
      <c r="H19" s="85"/>
      <c r="I19" s="85">
        <v>347691</v>
      </c>
      <c r="J19" s="325"/>
    </row>
    <row r="20" spans="1:10" ht="16.5">
      <c r="A20" s="1037">
        <v>14</v>
      </c>
      <c r="B20" s="83"/>
      <c r="C20" s="84"/>
      <c r="D20" s="84"/>
      <c r="E20" s="84"/>
      <c r="F20" s="96" t="s">
        <v>672</v>
      </c>
      <c r="G20" s="85"/>
      <c r="H20" s="85"/>
      <c r="I20" s="85"/>
      <c r="J20" s="325"/>
    </row>
    <row r="21" spans="1:10" s="95" customFormat="1" ht="25.5" customHeight="1">
      <c r="A21" s="1037">
        <v>15</v>
      </c>
      <c r="B21" s="425"/>
      <c r="C21" s="92"/>
      <c r="D21" s="84">
        <v>2</v>
      </c>
      <c r="E21" s="92"/>
      <c r="F21" s="93" t="s">
        <v>608</v>
      </c>
      <c r="G21" s="94">
        <f>SUM(G22:G24)</f>
        <v>0</v>
      </c>
      <c r="H21" s="94">
        <f>SUM(H22:H24)</f>
        <v>289409</v>
      </c>
      <c r="I21" s="94">
        <f>SUM(I22:I24)</f>
        <v>384104</v>
      </c>
      <c r="J21" s="328">
        <f>SUM(J22:J24)</f>
        <v>384588</v>
      </c>
    </row>
    <row r="22" spans="1:10" ht="17.25">
      <c r="A22" s="1037">
        <v>16</v>
      </c>
      <c r="B22" s="83"/>
      <c r="C22" s="84"/>
      <c r="D22" s="92"/>
      <c r="E22" s="84"/>
      <c r="F22" s="96" t="s">
        <v>208</v>
      </c>
      <c r="G22" s="85"/>
      <c r="H22" s="85"/>
      <c r="I22" s="85"/>
      <c r="J22" s="325"/>
    </row>
    <row r="23" spans="1:10" ht="17.25">
      <c r="A23" s="1037">
        <v>17</v>
      </c>
      <c r="B23" s="83"/>
      <c r="C23" s="84"/>
      <c r="D23" s="92"/>
      <c r="E23" s="84"/>
      <c r="F23" s="730" t="s">
        <v>625</v>
      </c>
      <c r="G23" s="85"/>
      <c r="H23" s="731">
        <v>248370</v>
      </c>
      <c r="I23" s="731"/>
      <c r="J23" s="732"/>
    </row>
    <row r="24" spans="1:10" ht="17.25">
      <c r="A24" s="1037">
        <v>18</v>
      </c>
      <c r="B24" s="83"/>
      <c r="C24" s="84"/>
      <c r="D24" s="92"/>
      <c r="E24" s="84"/>
      <c r="F24" s="96" t="s">
        <v>532</v>
      </c>
      <c r="G24" s="85"/>
      <c r="H24" s="85">
        <v>41039</v>
      </c>
      <c r="I24" s="85">
        <v>384104</v>
      </c>
      <c r="J24" s="325">
        <v>384588</v>
      </c>
    </row>
    <row r="25" spans="1:10" s="76" customFormat="1" ht="25.5" customHeight="1">
      <c r="A25" s="1037">
        <v>19</v>
      </c>
      <c r="B25" s="426"/>
      <c r="C25" s="97"/>
      <c r="D25" s="97"/>
      <c r="E25" s="97"/>
      <c r="F25" s="98" t="s">
        <v>209</v>
      </c>
      <c r="G25" s="98"/>
      <c r="H25" s="98">
        <v>150000</v>
      </c>
      <c r="I25" s="98"/>
      <c r="J25" s="329">
        <v>177471</v>
      </c>
    </row>
    <row r="26" spans="1:10" s="82" customFormat="1" ht="25.5" customHeight="1">
      <c r="A26" s="1037">
        <v>20</v>
      </c>
      <c r="B26" s="83"/>
      <c r="C26" s="90"/>
      <c r="D26" s="84">
        <v>2</v>
      </c>
      <c r="E26" s="90"/>
      <c r="F26" s="91" t="s">
        <v>163</v>
      </c>
      <c r="G26" s="91">
        <f>SUM(G27:G29)</f>
        <v>8506675</v>
      </c>
      <c r="H26" s="91">
        <f>SUM(H27:H29)</f>
        <v>13776203</v>
      </c>
      <c r="I26" s="91">
        <f>SUM(I27:I29)</f>
        <v>21211947</v>
      </c>
      <c r="J26" s="327">
        <f>SUM(J27:J29)</f>
        <v>22160079</v>
      </c>
    </row>
    <row r="27" spans="1:11" ht="17.25">
      <c r="A27" s="1037">
        <v>21</v>
      </c>
      <c r="B27" s="83"/>
      <c r="C27" s="90"/>
      <c r="D27" s="84"/>
      <c r="E27" s="84">
        <v>1</v>
      </c>
      <c r="F27" s="86" t="s">
        <v>231</v>
      </c>
      <c r="G27" s="85">
        <v>7792799</v>
      </c>
      <c r="H27" s="85">
        <v>13014190</v>
      </c>
      <c r="I27" s="85">
        <v>20430932</v>
      </c>
      <c r="J27" s="325">
        <f>'7.Beruh.'!J60+'9.Projekt'!M86+'10.MVP és hazai'!M36+'11.EKF'!M54</f>
        <v>21222147</v>
      </c>
      <c r="K27" s="73">
        <f>+J27-'7.Beruh.'!J60-'9.Projekt'!M86-'10.MVP és hazai'!M36-'11.EKF'!M54</f>
        <v>0</v>
      </c>
    </row>
    <row r="28" spans="1:11" ht="17.25">
      <c r="A28" s="1037">
        <v>22</v>
      </c>
      <c r="B28" s="83"/>
      <c r="C28" s="90"/>
      <c r="D28" s="84"/>
      <c r="E28" s="84">
        <v>2</v>
      </c>
      <c r="F28" s="86" t="s">
        <v>164</v>
      </c>
      <c r="G28" s="85">
        <v>502120</v>
      </c>
      <c r="H28" s="85">
        <v>197022</v>
      </c>
      <c r="I28" s="85">
        <v>98177</v>
      </c>
      <c r="J28" s="325">
        <f>'7.Beruh.'!K60+'9.Projekt'!N86+'10.MVP és hazai'!N36</f>
        <v>549493</v>
      </c>
      <c r="K28" s="73">
        <f>+J28-'7.Beruh.'!K60-'9.Projekt'!N86-'10.MVP és hazai'!N36-'11.EKF'!O54</f>
        <v>0</v>
      </c>
    </row>
    <row r="29" spans="1:14" ht="17.25">
      <c r="A29" s="1037">
        <v>23</v>
      </c>
      <c r="B29" s="83"/>
      <c r="C29" s="90"/>
      <c r="D29" s="84"/>
      <c r="E29" s="84">
        <v>3</v>
      </c>
      <c r="F29" s="86" t="s">
        <v>232</v>
      </c>
      <c r="G29" s="85">
        <v>211756</v>
      </c>
      <c r="H29" s="85">
        <v>564991</v>
      </c>
      <c r="I29" s="85">
        <v>682838</v>
      </c>
      <c r="J29" s="325">
        <f>'8.Felúj.'!J46+'11.EKF'!N54</f>
        <v>388439</v>
      </c>
      <c r="K29" s="73">
        <f>+J29-'8.Felúj.'!J46-'11.EKF'!N54</f>
        <v>0</v>
      </c>
      <c r="N29" s="85"/>
    </row>
    <row r="30" spans="1:10" s="82" customFormat="1" ht="30" customHeight="1">
      <c r="A30" s="1037">
        <v>24</v>
      </c>
      <c r="B30" s="424" t="s">
        <v>555</v>
      </c>
      <c r="C30" s="87"/>
      <c r="D30" s="88"/>
      <c r="E30" s="87"/>
      <c r="F30" s="89" t="s">
        <v>210</v>
      </c>
      <c r="G30" s="89">
        <f>SUM(G31:G32)</f>
        <v>0</v>
      </c>
      <c r="H30" s="89">
        <f>SUM(H31:H32)</f>
        <v>0</v>
      </c>
      <c r="I30" s="89">
        <f>SUM(I31:I32)</f>
        <v>0</v>
      </c>
      <c r="J30" s="326">
        <f>SUM(J31:J32)</f>
        <v>0</v>
      </c>
    </row>
    <row r="31" spans="1:10" s="75" customFormat="1" ht="24" customHeight="1">
      <c r="A31" s="1038">
        <v>25</v>
      </c>
      <c r="B31" s="83"/>
      <c r="C31" s="84"/>
      <c r="D31" s="84">
        <v>1</v>
      </c>
      <c r="E31" s="84"/>
      <c r="F31" s="99" t="s">
        <v>39</v>
      </c>
      <c r="G31" s="108"/>
      <c r="H31" s="108"/>
      <c r="I31" s="108"/>
      <c r="J31" s="332"/>
    </row>
    <row r="32" spans="1:10" s="75" customFormat="1" ht="24" customHeight="1" thickBot="1">
      <c r="A32" s="1038">
        <v>26</v>
      </c>
      <c r="B32" s="83"/>
      <c r="C32" s="84"/>
      <c r="D32" s="84">
        <v>2</v>
      </c>
      <c r="E32" s="84"/>
      <c r="F32" s="892" t="s">
        <v>163</v>
      </c>
      <c r="G32" s="108"/>
      <c r="H32" s="108"/>
      <c r="I32" s="108"/>
      <c r="J32" s="332"/>
    </row>
    <row r="33" spans="1:10" s="98" customFormat="1" ht="39.75" customHeight="1" thickBot="1">
      <c r="A33" s="1037">
        <v>27</v>
      </c>
      <c r="B33" s="104"/>
      <c r="C33" s="105"/>
      <c r="D33" s="106"/>
      <c r="E33" s="105"/>
      <c r="F33" s="107" t="s">
        <v>211</v>
      </c>
      <c r="G33" s="107">
        <f>SUM(G7,G12,G30)</f>
        <v>20578635</v>
      </c>
      <c r="H33" s="107">
        <f>SUM(H7,H12,H30)</f>
        <v>27496549</v>
      </c>
      <c r="I33" s="107">
        <f>SUM(I7,I12,I30)</f>
        <v>38820656</v>
      </c>
      <c r="J33" s="331">
        <f>SUM(J7,J12,J30)</f>
        <v>37552274</v>
      </c>
    </row>
    <row r="34" spans="1:10" s="75" customFormat="1" ht="30" customHeight="1">
      <c r="A34" s="1037">
        <v>28</v>
      </c>
      <c r="B34" s="83" t="s">
        <v>555</v>
      </c>
      <c r="C34" s="84"/>
      <c r="D34" s="84"/>
      <c r="E34" s="84"/>
      <c r="F34" s="91" t="s">
        <v>212</v>
      </c>
      <c r="G34" s="91">
        <f>SUM(G38:G39,G35:G36)</f>
        <v>215713</v>
      </c>
      <c r="H34" s="91">
        <f>SUM(H38:H39,H35:H36)</f>
        <v>209635</v>
      </c>
      <c r="I34" s="91">
        <f>SUM(I38:I39,I35:I36)</f>
        <v>353427</v>
      </c>
      <c r="J34" s="327">
        <f>SUM(J38:J39,J35:J36)</f>
        <v>219771</v>
      </c>
    </row>
    <row r="35" spans="1:10" s="75" customFormat="1" ht="16.5">
      <c r="A35" s="1037">
        <v>29</v>
      </c>
      <c r="B35" s="83"/>
      <c r="C35" s="84"/>
      <c r="D35" s="84">
        <v>1</v>
      </c>
      <c r="E35" s="84"/>
      <c r="F35" s="108" t="s">
        <v>213</v>
      </c>
      <c r="G35" s="108"/>
      <c r="H35" s="108"/>
      <c r="I35" s="108"/>
      <c r="J35" s="332"/>
    </row>
    <row r="36" spans="1:10" s="75" customFormat="1" ht="16.5">
      <c r="A36" s="1037">
        <v>30</v>
      </c>
      <c r="B36" s="83"/>
      <c r="C36" s="84"/>
      <c r="D36" s="84">
        <v>1</v>
      </c>
      <c r="E36" s="84"/>
      <c r="F36" s="108" t="s">
        <v>266</v>
      </c>
      <c r="G36" s="108">
        <v>108118</v>
      </c>
      <c r="H36" s="108">
        <v>96040</v>
      </c>
      <c r="I36" s="108">
        <v>239832</v>
      </c>
      <c r="J36" s="332">
        <v>111267</v>
      </c>
    </row>
    <row r="37" spans="1:10" ht="16.5">
      <c r="A37" s="1037">
        <v>31</v>
      </c>
      <c r="B37" s="83"/>
      <c r="C37" s="84"/>
      <c r="D37" s="84">
        <v>2</v>
      </c>
      <c r="E37" s="84"/>
      <c r="F37" s="108" t="s">
        <v>214</v>
      </c>
      <c r="G37" s="85"/>
      <c r="H37" s="85"/>
      <c r="I37" s="85"/>
      <c r="J37" s="332"/>
    </row>
    <row r="38" spans="1:10" ht="16.5">
      <c r="A38" s="1037">
        <v>32</v>
      </c>
      <c r="B38" s="83"/>
      <c r="C38" s="84"/>
      <c r="D38" s="84"/>
      <c r="E38" s="84"/>
      <c r="F38" s="109" t="s">
        <v>215</v>
      </c>
      <c r="G38" s="85">
        <v>107595</v>
      </c>
      <c r="H38" s="85">
        <v>113595</v>
      </c>
      <c r="I38" s="85">
        <v>113595</v>
      </c>
      <c r="J38" s="332">
        <v>108504</v>
      </c>
    </row>
    <row r="39" spans="1:10" s="103" customFormat="1" ht="18" customHeight="1" thickBot="1">
      <c r="A39" s="1037">
        <v>33</v>
      </c>
      <c r="B39" s="100"/>
      <c r="C39" s="101"/>
      <c r="D39" s="101"/>
      <c r="E39" s="101"/>
      <c r="F39" s="110" t="s">
        <v>216</v>
      </c>
      <c r="G39" s="102"/>
      <c r="H39" s="102"/>
      <c r="I39" s="102"/>
      <c r="J39" s="330"/>
    </row>
    <row r="40" spans="1:10" s="98" customFormat="1" ht="39.75" customHeight="1" thickBot="1">
      <c r="A40" s="1037">
        <v>34</v>
      </c>
      <c r="B40" s="104"/>
      <c r="C40" s="105"/>
      <c r="D40" s="106"/>
      <c r="E40" s="105"/>
      <c r="F40" s="107" t="s">
        <v>217</v>
      </c>
      <c r="G40" s="107">
        <f>SUM(G33:G34)</f>
        <v>20794348</v>
      </c>
      <c r="H40" s="107">
        <f>SUM(H33:H34)</f>
        <v>27706184</v>
      </c>
      <c r="I40" s="107">
        <f>SUM(I33:I34)</f>
        <v>39174083</v>
      </c>
      <c r="J40" s="331">
        <f>SUM(J33:J34)</f>
        <v>37772045</v>
      </c>
    </row>
    <row r="41" spans="2:10" ht="16.5">
      <c r="B41" s="111"/>
      <c r="C41" s="84"/>
      <c r="D41" s="84"/>
      <c r="E41" s="84"/>
      <c r="F41" s="85"/>
      <c r="G41" s="85">
        <f>+'1.Onbe'!G62-'2.Onki'!G40</f>
        <v>13074152</v>
      </c>
      <c r="H41" s="85">
        <f>+'1.Onbe'!H62-'2.Onki'!H40</f>
        <v>0</v>
      </c>
      <c r="I41" s="85">
        <f>+'1.Onbe'!I62-'2.Onki'!I40</f>
        <v>0</v>
      </c>
      <c r="J41" s="85">
        <f>+'1.Onbe'!J62-'2.Onki'!J40</f>
        <v>0</v>
      </c>
    </row>
    <row r="42" spans="2:9" ht="16.5">
      <c r="B42" s="111"/>
      <c r="C42" s="84"/>
      <c r="D42" s="84"/>
      <c r="E42" s="84"/>
      <c r="F42" s="85"/>
      <c r="G42" s="85"/>
      <c r="H42" s="85"/>
      <c r="I42" s="85"/>
    </row>
    <row r="43" spans="2:9" ht="16.5">
      <c r="B43" s="111"/>
      <c r="C43" s="84"/>
      <c r="D43" s="84"/>
      <c r="E43" s="84"/>
      <c r="F43" s="85"/>
      <c r="G43" s="85"/>
      <c r="H43" s="85"/>
      <c r="I43" s="85"/>
    </row>
    <row r="44" spans="2:9" ht="16.5">
      <c r="B44" s="111"/>
      <c r="C44" s="84"/>
      <c r="D44" s="84"/>
      <c r="E44" s="84"/>
      <c r="F44" s="85"/>
      <c r="G44" s="85"/>
      <c r="H44" s="85"/>
      <c r="I44" s="85"/>
    </row>
    <row r="45" spans="2:9" ht="17.25">
      <c r="B45" s="111"/>
      <c r="C45" s="90"/>
      <c r="D45" s="84"/>
      <c r="E45" s="90"/>
      <c r="F45" s="91"/>
      <c r="G45" s="91"/>
      <c r="H45" s="91"/>
      <c r="I45" s="91"/>
    </row>
    <row r="46" spans="2:9" ht="16.5">
      <c r="B46" s="111"/>
      <c r="C46" s="84"/>
      <c r="D46" s="84"/>
      <c r="E46" s="84"/>
      <c r="F46" s="85"/>
      <c r="G46" s="85"/>
      <c r="H46" s="85"/>
      <c r="I46" s="85"/>
    </row>
    <row r="47" spans="2:9" ht="16.5">
      <c r="B47" s="111"/>
      <c r="C47" s="84"/>
      <c r="D47" s="84"/>
      <c r="E47" s="84"/>
      <c r="F47" s="85"/>
      <c r="G47" s="85"/>
      <c r="H47" s="85"/>
      <c r="I47" s="85"/>
    </row>
    <row r="56" spans="1:5" s="82" customFormat="1" ht="17.25">
      <c r="A56" s="1039"/>
      <c r="B56" s="112"/>
      <c r="C56" s="113"/>
      <c r="D56" s="114"/>
      <c r="E56" s="113"/>
    </row>
    <row r="61" spans="1:5" s="82" customFormat="1" ht="17.25">
      <c r="A61" s="1039"/>
      <c r="B61" s="112"/>
      <c r="C61" s="113"/>
      <c r="D61" s="114"/>
      <c r="E61" s="113"/>
    </row>
    <row r="63" spans="1:5" s="82" customFormat="1" ht="17.25">
      <c r="A63" s="1039"/>
      <c r="B63" s="112"/>
      <c r="C63" s="113"/>
      <c r="D63" s="114"/>
      <c r="E63" s="113"/>
    </row>
    <row r="70" ht="16.5">
      <c r="F70" s="85"/>
    </row>
    <row r="71" ht="16.5">
      <c r="F71" s="85"/>
    </row>
    <row r="72" ht="16.5">
      <c r="F72" s="85"/>
    </row>
    <row r="73" ht="16.5">
      <c r="F73" s="85"/>
    </row>
    <row r="74" ht="16.5">
      <c r="F74" s="85"/>
    </row>
    <row r="75" ht="16.5">
      <c r="F75" s="85"/>
    </row>
    <row r="76" ht="16.5">
      <c r="F76" s="85"/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70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view="pageBreakPreview" zoomScaleSheetLayoutView="100" zoomScalePageLayoutView="0" workbookViewId="0" topLeftCell="A1">
      <selection activeCell="B1" sqref="B1:E1"/>
    </sheetView>
  </sheetViews>
  <sheetFormatPr defaultColWidth="9.125" defaultRowHeight="12.75"/>
  <cols>
    <col min="1" max="1" width="3.75390625" style="805" customWidth="1"/>
    <col min="2" max="2" width="5.75390625" style="292" customWidth="1"/>
    <col min="3" max="3" width="5.75390625" style="295" customWidth="1"/>
    <col min="4" max="4" width="4.75390625" style="295" customWidth="1"/>
    <col min="5" max="5" width="51.75390625" style="295" customWidth="1"/>
    <col min="6" max="6" width="10.00390625" style="292" customWidth="1"/>
    <col min="7" max="7" width="14.00390625" style="292" bestFit="1" customWidth="1"/>
    <col min="8" max="8" width="11.75390625" style="292" customWidth="1"/>
    <col min="9" max="9" width="12.375" style="292" bestFit="1" customWidth="1"/>
    <col min="10" max="10" width="14.00390625" style="292" customWidth="1"/>
    <col min="11" max="12" width="12.75390625" style="292" customWidth="1"/>
    <col min="13" max="13" width="10.75390625" style="292" customWidth="1"/>
    <col min="14" max="14" width="12.75390625" style="293" customWidth="1"/>
    <col min="15" max="15" width="13.75390625" style="294" customWidth="1"/>
    <col min="16" max="16384" width="9.125" style="292" customWidth="1"/>
  </cols>
  <sheetData>
    <row r="1" spans="1:16" s="305" customFormat="1" ht="18" customHeight="1">
      <c r="A1" s="61"/>
      <c r="B1" s="1551" t="s">
        <v>1006</v>
      </c>
      <c r="C1" s="1551"/>
      <c r="D1" s="1551"/>
      <c r="E1" s="1551"/>
      <c r="F1" s="802"/>
      <c r="G1" s="802"/>
      <c r="H1" s="802"/>
      <c r="I1" s="802"/>
      <c r="J1" s="802"/>
      <c r="K1" s="802"/>
      <c r="L1" s="802"/>
      <c r="M1" s="802"/>
      <c r="N1" s="803"/>
      <c r="O1" s="804"/>
      <c r="P1" s="802"/>
    </row>
    <row r="2" spans="1:16" s="305" customFormat="1" ht="24.75" customHeight="1">
      <c r="A2" s="61"/>
      <c r="B2" s="1552" t="s">
        <v>142</v>
      </c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802"/>
    </row>
    <row r="3" spans="1:16" s="305" customFormat="1" ht="24.75" customHeight="1">
      <c r="A3" s="61"/>
      <c r="B3" s="1552" t="s">
        <v>637</v>
      </c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802"/>
    </row>
    <row r="4" spans="1:16" ht="18" customHeight="1">
      <c r="A4" s="61"/>
      <c r="B4" s="50"/>
      <c r="C4" s="53"/>
      <c r="D4" s="53"/>
      <c r="E4" s="53"/>
      <c r="F4" s="51"/>
      <c r="G4" s="51"/>
      <c r="H4" s="51"/>
      <c r="I4" s="51"/>
      <c r="J4" s="51"/>
      <c r="K4" s="51"/>
      <c r="L4" s="48"/>
      <c r="M4" s="48"/>
      <c r="N4" s="1553" t="s">
        <v>0</v>
      </c>
      <c r="O4" s="1553"/>
      <c r="P4" s="48"/>
    </row>
    <row r="5" spans="2:15" s="61" customFormat="1" ht="18" customHeight="1" thickBot="1">
      <c r="B5" s="61" t="s">
        <v>1</v>
      </c>
      <c r="C5" s="61" t="s">
        <v>3</v>
      </c>
      <c r="D5" s="1554" t="s">
        <v>2</v>
      </c>
      <c r="E5" s="1554"/>
      <c r="F5" s="131" t="s">
        <v>4</v>
      </c>
      <c r="G5" s="131" t="s">
        <v>5</v>
      </c>
      <c r="H5" s="131" t="s">
        <v>15</v>
      </c>
      <c r="I5" s="131" t="s">
        <v>16</v>
      </c>
      <c r="J5" s="131" t="s">
        <v>17</v>
      </c>
      <c r="K5" s="131" t="s">
        <v>36</v>
      </c>
      <c r="L5" s="61" t="s">
        <v>30</v>
      </c>
      <c r="M5" s="61" t="s">
        <v>23</v>
      </c>
      <c r="N5" s="61" t="s">
        <v>37</v>
      </c>
      <c r="O5" s="61" t="s">
        <v>38</v>
      </c>
    </row>
    <row r="6" spans="1:15" s="50" customFormat="1" ht="30" customHeight="1">
      <c r="A6" s="61"/>
      <c r="B6" s="1538" t="s">
        <v>18</v>
      </c>
      <c r="C6" s="1544" t="s">
        <v>19</v>
      </c>
      <c r="D6" s="1546" t="s">
        <v>6</v>
      </c>
      <c r="E6" s="1547"/>
      <c r="F6" s="1550" t="s">
        <v>143</v>
      </c>
      <c r="G6" s="1550"/>
      <c r="H6" s="1550"/>
      <c r="I6" s="1536" t="s">
        <v>144</v>
      </c>
      <c r="J6" s="1536"/>
      <c r="K6" s="1536"/>
      <c r="L6" s="1536" t="s">
        <v>264</v>
      </c>
      <c r="M6" s="1536" t="s">
        <v>145</v>
      </c>
      <c r="N6" s="1536"/>
      <c r="O6" s="1540" t="s">
        <v>647</v>
      </c>
    </row>
    <row r="7" spans="1:16" ht="60.75" thickBot="1">
      <c r="A7" s="61"/>
      <c r="B7" s="1539"/>
      <c r="C7" s="1545"/>
      <c r="D7" s="1548"/>
      <c r="E7" s="1549"/>
      <c r="F7" s="1224" t="s">
        <v>146</v>
      </c>
      <c r="G7" s="1224" t="s">
        <v>147</v>
      </c>
      <c r="H7" s="1224" t="s">
        <v>148</v>
      </c>
      <c r="I7" s="1224" t="s">
        <v>149</v>
      </c>
      <c r="J7" s="1224" t="s">
        <v>150</v>
      </c>
      <c r="K7" s="1224" t="s">
        <v>151</v>
      </c>
      <c r="L7" s="1537"/>
      <c r="M7" s="1224" t="s">
        <v>129</v>
      </c>
      <c r="N7" s="52" t="s">
        <v>418</v>
      </c>
      <c r="O7" s="1541"/>
      <c r="P7" s="48"/>
    </row>
    <row r="8" spans="1:15" s="53" customFormat="1" ht="22.5" customHeight="1">
      <c r="A8" s="61">
        <v>1</v>
      </c>
      <c r="B8" s="352">
        <v>1</v>
      </c>
      <c r="C8" s="353"/>
      <c r="D8" s="778" t="s">
        <v>315</v>
      </c>
      <c r="E8" s="770"/>
      <c r="F8" s="364"/>
      <c r="G8" s="364"/>
      <c r="H8" s="364"/>
      <c r="I8" s="364"/>
      <c r="J8" s="364"/>
      <c r="K8" s="364"/>
      <c r="L8" s="364"/>
      <c r="M8" s="364"/>
      <c r="N8" s="365"/>
      <c r="O8" s="366"/>
    </row>
    <row r="9" spans="1:15" s="53" customFormat="1" ht="18" customHeight="1">
      <c r="A9" s="61">
        <v>2</v>
      </c>
      <c r="B9" s="338"/>
      <c r="C9" s="339"/>
      <c r="D9" s="779" t="s">
        <v>349</v>
      </c>
      <c r="E9" s="771"/>
      <c r="F9" s="122"/>
      <c r="G9" s="122"/>
      <c r="H9" s="122"/>
      <c r="I9" s="122"/>
      <c r="J9" s="122"/>
      <c r="K9" s="122"/>
      <c r="L9" s="122"/>
      <c r="M9" s="122"/>
      <c r="N9" s="159"/>
      <c r="O9" s="358"/>
    </row>
    <row r="10" spans="1:16" s="913" customFormat="1" ht="18" customHeight="1">
      <c r="A10" s="61">
        <v>3</v>
      </c>
      <c r="B10" s="905"/>
      <c r="C10" s="906"/>
      <c r="D10" s="907"/>
      <c r="E10" s="908" t="s">
        <v>312</v>
      </c>
      <c r="F10" s="909">
        <v>4940</v>
      </c>
      <c r="G10" s="909"/>
      <c r="H10" s="909"/>
      <c r="I10" s="909"/>
      <c r="J10" s="909"/>
      <c r="K10" s="909"/>
      <c r="L10" s="909">
        <v>710</v>
      </c>
      <c r="M10" s="909">
        <v>207975</v>
      </c>
      <c r="N10" s="910">
        <v>142608</v>
      </c>
      <c r="O10" s="911">
        <f>SUM(F10:M10)</f>
        <v>213625</v>
      </c>
      <c r="P10" s="912"/>
    </row>
    <row r="11" spans="1:15" s="154" customFormat="1" ht="22.5" customHeight="1">
      <c r="A11" s="61">
        <v>4</v>
      </c>
      <c r="B11" s="338">
        <v>2</v>
      </c>
      <c r="C11" s="339"/>
      <c r="D11" s="773" t="s">
        <v>417</v>
      </c>
      <c r="E11" s="773"/>
      <c r="F11" s="347"/>
      <c r="G11" s="347"/>
      <c r="H11" s="347"/>
      <c r="I11" s="347"/>
      <c r="J11" s="347"/>
      <c r="K11" s="347"/>
      <c r="L11" s="347"/>
      <c r="M11" s="347"/>
      <c r="N11" s="348"/>
      <c r="O11" s="349"/>
    </row>
    <row r="12" spans="1:15" s="154" customFormat="1" ht="18" customHeight="1">
      <c r="A12" s="61">
        <v>5</v>
      </c>
      <c r="B12" s="338"/>
      <c r="C12" s="339"/>
      <c r="D12" s="771" t="s">
        <v>313</v>
      </c>
      <c r="E12" s="771"/>
      <c r="F12" s="347"/>
      <c r="G12" s="347"/>
      <c r="H12" s="347"/>
      <c r="I12" s="347"/>
      <c r="J12" s="347"/>
      <c r="K12" s="347"/>
      <c r="L12" s="347"/>
      <c r="M12" s="347"/>
      <c r="N12" s="348"/>
      <c r="O12" s="349"/>
    </row>
    <row r="13" spans="1:15" s="914" customFormat="1" ht="18" customHeight="1">
      <c r="A13" s="61">
        <v>6</v>
      </c>
      <c r="B13" s="905"/>
      <c r="C13" s="906"/>
      <c r="D13" s="907"/>
      <c r="E13" s="908" t="s">
        <v>312</v>
      </c>
      <c r="F13" s="909">
        <v>9516</v>
      </c>
      <c r="G13" s="909"/>
      <c r="H13" s="909"/>
      <c r="I13" s="909"/>
      <c r="J13" s="909"/>
      <c r="K13" s="909"/>
      <c r="L13" s="909">
        <v>700</v>
      </c>
      <c r="M13" s="909">
        <v>356874</v>
      </c>
      <c r="N13" s="910">
        <v>277977</v>
      </c>
      <c r="O13" s="911">
        <f>SUM(F13:M13)</f>
        <v>367090</v>
      </c>
    </row>
    <row r="14" spans="1:15" s="153" customFormat="1" ht="22.5" customHeight="1">
      <c r="A14" s="61">
        <v>7</v>
      </c>
      <c r="B14" s="338">
        <v>3</v>
      </c>
      <c r="C14" s="339"/>
      <c r="D14" s="773" t="s">
        <v>267</v>
      </c>
      <c r="E14" s="773"/>
      <c r="F14" s="347"/>
      <c r="G14" s="347"/>
      <c r="H14" s="347"/>
      <c r="I14" s="347"/>
      <c r="J14" s="347"/>
      <c r="K14" s="347"/>
      <c r="L14" s="347"/>
      <c r="M14" s="347"/>
      <c r="N14" s="348"/>
      <c r="O14" s="349"/>
    </row>
    <row r="15" spans="1:15" s="53" customFormat="1" ht="18" customHeight="1">
      <c r="A15" s="61">
        <v>8</v>
      </c>
      <c r="B15" s="340"/>
      <c r="C15" s="339"/>
      <c r="D15" s="772" t="s">
        <v>153</v>
      </c>
      <c r="E15" s="772"/>
      <c r="F15" s="350"/>
      <c r="G15" s="350"/>
      <c r="H15" s="350"/>
      <c r="I15" s="350"/>
      <c r="J15" s="350"/>
      <c r="K15" s="350"/>
      <c r="L15" s="350"/>
      <c r="M15" s="350"/>
      <c r="N15" s="351"/>
      <c r="O15" s="362"/>
    </row>
    <row r="16" spans="1:16" s="913" customFormat="1" ht="18" customHeight="1">
      <c r="A16" s="61">
        <v>9</v>
      </c>
      <c r="B16" s="905"/>
      <c r="C16" s="906"/>
      <c r="D16" s="907"/>
      <c r="E16" s="908" t="s">
        <v>312</v>
      </c>
      <c r="F16" s="909">
        <v>17581</v>
      </c>
      <c r="G16" s="909"/>
      <c r="H16" s="909"/>
      <c r="I16" s="909"/>
      <c r="J16" s="909"/>
      <c r="K16" s="909"/>
      <c r="L16" s="909"/>
      <c r="M16" s="909">
        <v>411379</v>
      </c>
      <c r="N16" s="910">
        <v>365584</v>
      </c>
      <c r="O16" s="911">
        <f>SUM(F16:M16)</f>
        <v>428960</v>
      </c>
      <c r="P16" s="912"/>
    </row>
    <row r="17" spans="1:15" s="154" customFormat="1" ht="22.5" customHeight="1">
      <c r="A17" s="61">
        <v>10</v>
      </c>
      <c r="B17" s="338">
        <v>4</v>
      </c>
      <c r="C17" s="339"/>
      <c r="D17" s="774" t="s">
        <v>268</v>
      </c>
      <c r="E17" s="774"/>
      <c r="F17" s="347"/>
      <c r="G17" s="347"/>
      <c r="H17" s="347"/>
      <c r="I17" s="347"/>
      <c r="J17" s="347"/>
      <c r="K17" s="347"/>
      <c r="L17" s="347"/>
      <c r="M17" s="347"/>
      <c r="N17" s="348"/>
      <c r="O17" s="349"/>
    </row>
    <row r="18" spans="1:15" s="153" customFormat="1" ht="18" customHeight="1">
      <c r="A18" s="61">
        <v>11</v>
      </c>
      <c r="B18" s="340"/>
      <c r="C18" s="339"/>
      <c r="D18" s="772" t="s">
        <v>154</v>
      </c>
      <c r="E18" s="772"/>
      <c r="F18" s="350"/>
      <c r="G18" s="350"/>
      <c r="H18" s="350"/>
      <c r="I18" s="350"/>
      <c r="J18" s="350"/>
      <c r="K18" s="350"/>
      <c r="L18" s="350"/>
      <c r="M18" s="350"/>
      <c r="N18" s="351"/>
      <c r="O18" s="362"/>
    </row>
    <row r="19" spans="1:15" s="915" customFormat="1" ht="18" customHeight="1">
      <c r="A19" s="61">
        <v>12</v>
      </c>
      <c r="B19" s="905"/>
      <c r="C19" s="906"/>
      <c r="D19" s="907"/>
      <c r="E19" s="908" t="s">
        <v>312</v>
      </c>
      <c r="F19" s="909">
        <v>10020</v>
      </c>
      <c r="G19" s="909"/>
      <c r="H19" s="909"/>
      <c r="I19" s="909"/>
      <c r="J19" s="909"/>
      <c r="K19" s="909"/>
      <c r="L19" s="909"/>
      <c r="M19" s="909">
        <v>309492</v>
      </c>
      <c r="N19" s="910">
        <v>193144</v>
      </c>
      <c r="O19" s="911">
        <f>SUM(F19:M19)</f>
        <v>319512</v>
      </c>
    </row>
    <row r="20" spans="1:15" s="56" customFormat="1" ht="22.5" customHeight="1">
      <c r="A20" s="61">
        <v>13</v>
      </c>
      <c r="B20" s="338">
        <v>5</v>
      </c>
      <c r="C20" s="339"/>
      <c r="D20" s="774" t="s">
        <v>269</v>
      </c>
      <c r="E20" s="774"/>
      <c r="F20" s="347"/>
      <c r="G20" s="347"/>
      <c r="H20" s="347"/>
      <c r="I20" s="347"/>
      <c r="J20" s="347"/>
      <c r="K20" s="347"/>
      <c r="L20" s="347"/>
      <c r="M20" s="347"/>
      <c r="N20" s="348"/>
      <c r="O20" s="349"/>
    </row>
    <row r="21" spans="1:15" s="154" customFormat="1" ht="18" customHeight="1">
      <c r="A21" s="61">
        <v>14</v>
      </c>
      <c r="B21" s="340"/>
      <c r="C21" s="339"/>
      <c r="D21" s="772" t="s">
        <v>155</v>
      </c>
      <c r="E21" s="772"/>
      <c r="F21" s="350"/>
      <c r="G21" s="350"/>
      <c r="H21" s="350"/>
      <c r="I21" s="350"/>
      <c r="J21" s="350"/>
      <c r="K21" s="350"/>
      <c r="L21" s="350"/>
      <c r="M21" s="350"/>
      <c r="N21" s="351"/>
      <c r="O21" s="362"/>
    </row>
    <row r="22" spans="1:15" s="914" customFormat="1" ht="18" customHeight="1">
      <c r="A22" s="61">
        <v>15</v>
      </c>
      <c r="B22" s="905"/>
      <c r="C22" s="906"/>
      <c r="D22" s="907"/>
      <c r="E22" s="908" t="s">
        <v>312</v>
      </c>
      <c r="F22" s="909">
        <v>18635</v>
      </c>
      <c r="G22" s="909"/>
      <c r="H22" s="909"/>
      <c r="I22" s="909"/>
      <c r="J22" s="909"/>
      <c r="K22" s="909"/>
      <c r="L22" s="909"/>
      <c r="M22" s="909">
        <v>322903</v>
      </c>
      <c r="N22" s="910">
        <v>237570</v>
      </c>
      <c r="O22" s="911">
        <f>SUM(F22:M22)</f>
        <v>341538</v>
      </c>
    </row>
    <row r="23" spans="1:15" s="56" customFormat="1" ht="22.5" customHeight="1">
      <c r="A23" s="61">
        <v>16</v>
      </c>
      <c r="B23" s="338">
        <v>6</v>
      </c>
      <c r="C23" s="339"/>
      <c r="D23" s="774" t="s">
        <v>270</v>
      </c>
      <c r="E23" s="774"/>
      <c r="F23" s="347"/>
      <c r="G23" s="347"/>
      <c r="H23" s="347"/>
      <c r="I23" s="347"/>
      <c r="J23" s="347"/>
      <c r="K23" s="347"/>
      <c r="L23" s="347"/>
      <c r="M23" s="347"/>
      <c r="N23" s="348"/>
      <c r="O23" s="349"/>
    </row>
    <row r="24" spans="1:15" s="56" customFormat="1" ht="18" customHeight="1">
      <c r="A24" s="61">
        <v>17</v>
      </c>
      <c r="B24" s="340"/>
      <c r="C24" s="339"/>
      <c r="D24" s="772" t="s">
        <v>156</v>
      </c>
      <c r="E24" s="772"/>
      <c r="F24" s="350"/>
      <c r="G24" s="350"/>
      <c r="H24" s="350"/>
      <c r="I24" s="350"/>
      <c r="J24" s="350"/>
      <c r="K24" s="350"/>
      <c r="L24" s="350"/>
      <c r="M24" s="350"/>
      <c r="N24" s="351"/>
      <c r="O24" s="362"/>
    </row>
    <row r="25" spans="1:15" s="916" customFormat="1" ht="18" customHeight="1">
      <c r="A25" s="61">
        <v>18</v>
      </c>
      <c r="B25" s="905"/>
      <c r="C25" s="906"/>
      <c r="D25" s="907"/>
      <c r="E25" s="908" t="s">
        <v>312</v>
      </c>
      <c r="F25" s="909">
        <v>5441</v>
      </c>
      <c r="G25" s="909"/>
      <c r="H25" s="909"/>
      <c r="I25" s="909"/>
      <c r="J25" s="909"/>
      <c r="K25" s="909"/>
      <c r="L25" s="909"/>
      <c r="M25" s="909">
        <v>166965</v>
      </c>
      <c r="N25" s="910">
        <v>119083</v>
      </c>
      <c r="O25" s="911">
        <f>SUM(F25:M25)</f>
        <v>172406</v>
      </c>
    </row>
    <row r="26" spans="1:16" ht="18" customHeight="1">
      <c r="A26" s="61">
        <v>19</v>
      </c>
      <c r="B26" s="342"/>
      <c r="C26" s="339">
        <v>1</v>
      </c>
      <c r="D26" s="1542" t="s">
        <v>152</v>
      </c>
      <c r="E26" s="1543"/>
      <c r="F26" s="344"/>
      <c r="G26" s="344"/>
      <c r="H26" s="344"/>
      <c r="I26" s="344"/>
      <c r="J26" s="344"/>
      <c r="K26" s="344"/>
      <c r="L26" s="344"/>
      <c r="M26" s="344"/>
      <c r="N26" s="345"/>
      <c r="O26" s="346"/>
      <c r="P26" s="48"/>
    </row>
    <row r="27" spans="1:16" s="913" customFormat="1" ht="18" customHeight="1" thickBot="1">
      <c r="A27" s="61">
        <v>20</v>
      </c>
      <c r="B27" s="917"/>
      <c r="C27" s="918"/>
      <c r="D27" s="919"/>
      <c r="E27" s="920" t="s">
        <v>312</v>
      </c>
      <c r="F27" s="921"/>
      <c r="G27" s="921">
        <v>2225</v>
      </c>
      <c r="H27" s="921"/>
      <c r="I27" s="921"/>
      <c r="J27" s="921"/>
      <c r="K27" s="921"/>
      <c r="L27" s="921"/>
      <c r="M27" s="921"/>
      <c r="N27" s="922"/>
      <c r="O27" s="923">
        <f>SUM(F27:M27)</f>
        <v>2225</v>
      </c>
      <c r="P27" s="912"/>
    </row>
    <row r="28" spans="1:15" s="48" customFormat="1" ht="22.5" customHeight="1" thickTop="1">
      <c r="A28" s="61">
        <v>21</v>
      </c>
      <c r="B28" s="340"/>
      <c r="C28" s="1527" t="s">
        <v>673</v>
      </c>
      <c r="D28" s="1528"/>
      <c r="E28" s="1529"/>
      <c r="F28" s="903"/>
      <c r="G28" s="903"/>
      <c r="H28" s="903"/>
      <c r="I28" s="903"/>
      <c r="J28" s="903"/>
      <c r="K28" s="903"/>
      <c r="L28" s="903"/>
      <c r="M28" s="903"/>
      <c r="N28" s="827"/>
      <c r="O28" s="904"/>
    </row>
    <row r="29" spans="1:16" s="913" customFormat="1" ht="18" customHeight="1" thickBot="1">
      <c r="A29" s="61">
        <v>22</v>
      </c>
      <c r="B29" s="917"/>
      <c r="C29" s="925"/>
      <c r="D29" s="926"/>
      <c r="E29" s="927" t="s">
        <v>312</v>
      </c>
      <c r="F29" s="928">
        <f>SUM(F10,F13,F16,F19,F22,F25,F27)</f>
        <v>66133</v>
      </c>
      <c r="G29" s="928">
        <f aca="true" t="shared" si="0" ref="G29:N29">SUM(G10,G13,G16,G19,G22,G25,G27)</f>
        <v>2225</v>
      </c>
      <c r="H29" s="928">
        <f t="shared" si="0"/>
        <v>0</v>
      </c>
      <c r="I29" s="928">
        <f t="shared" si="0"/>
        <v>0</v>
      </c>
      <c r="J29" s="928">
        <f t="shared" si="0"/>
        <v>0</v>
      </c>
      <c r="K29" s="928">
        <f t="shared" si="0"/>
        <v>0</v>
      </c>
      <c r="L29" s="928">
        <f t="shared" si="0"/>
        <v>1410</v>
      </c>
      <c r="M29" s="928">
        <f t="shared" si="0"/>
        <v>1775588</v>
      </c>
      <c r="N29" s="929">
        <f t="shared" si="0"/>
        <v>1335966</v>
      </c>
      <c r="O29" s="924">
        <f>SUM(F29:M29)</f>
        <v>1845356</v>
      </c>
      <c r="P29" s="912"/>
    </row>
    <row r="30" spans="1:15" s="53" customFormat="1" ht="22.5" customHeight="1" thickTop="1">
      <c r="A30" s="61">
        <v>23</v>
      </c>
      <c r="B30" s="352">
        <v>7</v>
      </c>
      <c r="C30" s="353"/>
      <c r="D30" s="775" t="s">
        <v>391</v>
      </c>
      <c r="E30" s="775"/>
      <c r="F30" s="354"/>
      <c r="G30" s="354"/>
      <c r="H30" s="354"/>
      <c r="I30" s="354"/>
      <c r="J30" s="354"/>
      <c r="K30" s="354"/>
      <c r="L30" s="354"/>
      <c r="M30" s="354"/>
      <c r="N30" s="355"/>
      <c r="O30" s="356"/>
    </row>
    <row r="31" spans="1:15" s="912" customFormat="1" ht="18" customHeight="1">
      <c r="A31" s="61">
        <v>24</v>
      </c>
      <c r="B31" s="905"/>
      <c r="C31" s="906"/>
      <c r="D31" s="907"/>
      <c r="E31" s="908" t="s">
        <v>312</v>
      </c>
      <c r="F31" s="934">
        <v>21777</v>
      </c>
      <c r="G31" s="934">
        <v>1473</v>
      </c>
      <c r="H31" s="934"/>
      <c r="I31" s="934"/>
      <c r="J31" s="934"/>
      <c r="K31" s="934"/>
      <c r="L31" s="934">
        <v>1630</v>
      </c>
      <c r="M31" s="934">
        <v>972097</v>
      </c>
      <c r="N31" s="935">
        <v>747388</v>
      </c>
      <c r="O31" s="930">
        <f>SUM(F31:M31)</f>
        <v>996977</v>
      </c>
    </row>
    <row r="32" spans="1:16" s="295" customFormat="1" ht="22.5" customHeight="1">
      <c r="A32" s="61">
        <v>25</v>
      </c>
      <c r="B32" s="338">
        <v>8</v>
      </c>
      <c r="C32" s="339"/>
      <c r="D32" s="774" t="s">
        <v>125</v>
      </c>
      <c r="E32" s="774"/>
      <c r="F32" s="344"/>
      <c r="G32" s="344"/>
      <c r="H32" s="344"/>
      <c r="I32" s="344"/>
      <c r="J32" s="344"/>
      <c r="K32" s="344"/>
      <c r="L32" s="344"/>
      <c r="M32" s="344"/>
      <c r="N32" s="345"/>
      <c r="O32" s="346"/>
      <c r="P32" s="53"/>
    </row>
    <row r="33" spans="1:15" s="914" customFormat="1" ht="18" customHeight="1">
      <c r="A33" s="61">
        <v>26</v>
      </c>
      <c r="B33" s="905"/>
      <c r="C33" s="906"/>
      <c r="D33" s="907"/>
      <c r="E33" s="908" t="s">
        <v>312</v>
      </c>
      <c r="F33" s="934">
        <v>13800</v>
      </c>
      <c r="G33" s="934"/>
      <c r="H33" s="934"/>
      <c r="I33" s="934"/>
      <c r="J33" s="934"/>
      <c r="K33" s="934"/>
      <c r="L33" s="934"/>
      <c r="M33" s="934">
        <v>55450</v>
      </c>
      <c r="N33" s="935">
        <v>32245</v>
      </c>
      <c r="O33" s="930">
        <f>SUM(F33:M33)</f>
        <v>69250</v>
      </c>
    </row>
    <row r="34" spans="1:16" s="295" customFormat="1" ht="22.5" customHeight="1">
      <c r="A34" s="61">
        <v>27</v>
      </c>
      <c r="B34" s="338">
        <v>9</v>
      </c>
      <c r="C34" s="339"/>
      <c r="D34" s="774" t="s">
        <v>551</v>
      </c>
      <c r="E34" s="774"/>
      <c r="F34" s="344"/>
      <c r="G34" s="344"/>
      <c r="H34" s="344"/>
      <c r="I34" s="344"/>
      <c r="J34" s="344"/>
      <c r="K34" s="344"/>
      <c r="L34" s="344"/>
      <c r="M34" s="344"/>
      <c r="N34" s="345"/>
      <c r="O34" s="346"/>
      <c r="P34" s="53"/>
    </row>
    <row r="35" spans="1:15" s="914" customFormat="1" ht="18" customHeight="1" thickBot="1">
      <c r="A35" s="61">
        <v>28</v>
      </c>
      <c r="B35" s="905"/>
      <c r="C35" s="918"/>
      <c r="D35" s="919"/>
      <c r="E35" s="941" t="s">
        <v>312</v>
      </c>
      <c r="F35" s="942">
        <v>1800</v>
      </c>
      <c r="G35" s="942"/>
      <c r="H35" s="942"/>
      <c r="I35" s="942"/>
      <c r="J35" s="942"/>
      <c r="K35" s="942"/>
      <c r="L35" s="942">
        <v>1150</v>
      </c>
      <c r="M35" s="942">
        <v>240692</v>
      </c>
      <c r="N35" s="943">
        <v>148192</v>
      </c>
      <c r="O35" s="932">
        <f>SUM(F35:M35)</f>
        <v>243642</v>
      </c>
    </row>
    <row r="36" spans="1:15" s="56" customFormat="1" ht="22.5" customHeight="1" thickTop="1">
      <c r="A36" s="61">
        <v>29</v>
      </c>
      <c r="B36" s="340"/>
      <c r="C36" s="1527" t="s">
        <v>674</v>
      </c>
      <c r="D36" s="1528"/>
      <c r="E36" s="1529"/>
      <c r="F36" s="903"/>
      <c r="G36" s="903"/>
      <c r="H36" s="903"/>
      <c r="I36" s="903"/>
      <c r="J36" s="903"/>
      <c r="K36" s="903"/>
      <c r="L36" s="903"/>
      <c r="M36" s="903"/>
      <c r="N36" s="903"/>
      <c r="O36" s="904"/>
    </row>
    <row r="37" spans="1:15" s="914" customFormat="1" ht="18" customHeight="1" thickBot="1">
      <c r="A37" s="61">
        <v>30</v>
      </c>
      <c r="B37" s="905"/>
      <c r="C37" s="925"/>
      <c r="D37" s="926"/>
      <c r="E37" s="944" t="s">
        <v>312</v>
      </c>
      <c r="F37" s="945">
        <f>SUM(F31,F33,F35)</f>
        <v>37377</v>
      </c>
      <c r="G37" s="945">
        <f aca="true" t="shared" si="1" ref="G37:N37">SUM(G31,G33,G35)</f>
        <v>1473</v>
      </c>
      <c r="H37" s="945">
        <f t="shared" si="1"/>
        <v>0</v>
      </c>
      <c r="I37" s="945">
        <f t="shared" si="1"/>
        <v>0</v>
      </c>
      <c r="J37" s="945">
        <f t="shared" si="1"/>
        <v>0</v>
      </c>
      <c r="K37" s="945">
        <f t="shared" si="1"/>
        <v>0</v>
      </c>
      <c r="L37" s="945">
        <f t="shared" si="1"/>
        <v>2780</v>
      </c>
      <c r="M37" s="945">
        <f t="shared" si="1"/>
        <v>1268239</v>
      </c>
      <c r="N37" s="946">
        <f t="shared" si="1"/>
        <v>927825</v>
      </c>
      <c r="O37" s="933">
        <f>SUM(F37:M37)</f>
        <v>1309869</v>
      </c>
    </row>
    <row r="38" spans="1:16" s="49" customFormat="1" ht="22.5" customHeight="1" thickTop="1">
      <c r="A38" s="61">
        <v>31</v>
      </c>
      <c r="B38" s="352">
        <v>10</v>
      </c>
      <c r="C38" s="353"/>
      <c r="D38" s="775" t="s">
        <v>553</v>
      </c>
      <c r="E38" s="776"/>
      <c r="F38" s="364"/>
      <c r="G38" s="364"/>
      <c r="H38" s="364"/>
      <c r="I38" s="364"/>
      <c r="J38" s="364"/>
      <c r="K38" s="364"/>
      <c r="L38" s="364"/>
      <c r="M38" s="364"/>
      <c r="N38" s="365"/>
      <c r="O38" s="366"/>
      <c r="P38" s="48"/>
    </row>
    <row r="39" spans="1:15" s="912" customFormat="1" ht="18" customHeight="1">
      <c r="A39" s="61">
        <v>32</v>
      </c>
      <c r="B39" s="905"/>
      <c r="C39" s="906"/>
      <c r="D39" s="907"/>
      <c r="E39" s="908" t="s">
        <v>312</v>
      </c>
      <c r="F39" s="934">
        <v>39412</v>
      </c>
      <c r="G39" s="934"/>
      <c r="H39" s="934"/>
      <c r="I39" s="934"/>
      <c r="J39" s="934"/>
      <c r="K39" s="934"/>
      <c r="L39" s="934"/>
      <c r="M39" s="934">
        <v>173717</v>
      </c>
      <c r="N39" s="935"/>
      <c r="O39" s="930">
        <f>SUM(F39:M39)</f>
        <v>213129</v>
      </c>
    </row>
    <row r="40" spans="1:16" s="57" customFormat="1" ht="18" customHeight="1">
      <c r="A40" s="61">
        <v>33</v>
      </c>
      <c r="B40" s="338"/>
      <c r="C40" s="339">
        <v>1</v>
      </c>
      <c r="D40" s="771" t="s">
        <v>663</v>
      </c>
      <c r="E40" s="771"/>
      <c r="F40" s="122"/>
      <c r="G40" s="122"/>
      <c r="H40" s="122"/>
      <c r="I40" s="122"/>
      <c r="J40" s="122"/>
      <c r="K40" s="122"/>
      <c r="L40" s="122"/>
      <c r="M40" s="122"/>
      <c r="N40" s="159"/>
      <c r="O40" s="358"/>
      <c r="P40" s="48"/>
    </row>
    <row r="41" spans="1:15" s="912" customFormat="1" ht="18" customHeight="1">
      <c r="A41" s="61">
        <v>34</v>
      </c>
      <c r="B41" s="917"/>
      <c r="C41" s="918"/>
      <c r="D41" s="919"/>
      <c r="E41" s="920" t="s">
        <v>312</v>
      </c>
      <c r="F41" s="921"/>
      <c r="G41" s="921">
        <v>66905</v>
      </c>
      <c r="H41" s="921"/>
      <c r="I41" s="921"/>
      <c r="J41" s="921">
        <v>4050</v>
      </c>
      <c r="K41" s="921"/>
      <c r="L41" s="921">
        <v>18424</v>
      </c>
      <c r="M41" s="921"/>
      <c r="N41" s="922"/>
      <c r="O41" s="923">
        <f>SUM(F41:M41)</f>
        <v>89379</v>
      </c>
    </row>
    <row r="42" spans="1:16" s="57" customFormat="1" ht="22.5" customHeight="1">
      <c r="A42" s="61">
        <v>35</v>
      </c>
      <c r="B42" s="338">
        <v>11</v>
      </c>
      <c r="C42" s="339"/>
      <c r="D42" s="774" t="s">
        <v>533</v>
      </c>
      <c r="E42" s="774"/>
      <c r="F42" s="344"/>
      <c r="G42" s="344"/>
      <c r="H42" s="344"/>
      <c r="I42" s="344"/>
      <c r="J42" s="344"/>
      <c r="K42" s="344"/>
      <c r="L42" s="344"/>
      <c r="M42" s="344"/>
      <c r="N42" s="345"/>
      <c r="O42" s="346"/>
      <c r="P42" s="48"/>
    </row>
    <row r="43" spans="1:15" s="912" customFormat="1" ht="18" customHeight="1">
      <c r="A43" s="61">
        <v>36</v>
      </c>
      <c r="B43" s="905"/>
      <c r="C43" s="906"/>
      <c r="D43" s="907"/>
      <c r="E43" s="908" t="s">
        <v>312</v>
      </c>
      <c r="F43" s="934">
        <v>9529</v>
      </c>
      <c r="G43" s="934">
        <v>400</v>
      </c>
      <c r="H43" s="934"/>
      <c r="I43" s="934"/>
      <c r="J43" s="934"/>
      <c r="K43" s="934"/>
      <c r="L43" s="934"/>
      <c r="M43" s="934">
        <v>115399</v>
      </c>
      <c r="N43" s="935"/>
      <c r="O43" s="930">
        <f>SUM(F43:M43)</f>
        <v>125328</v>
      </c>
    </row>
    <row r="44" spans="1:15" s="153" customFormat="1" ht="22.5" customHeight="1">
      <c r="A44" s="61">
        <v>37</v>
      </c>
      <c r="B44" s="338">
        <v>12</v>
      </c>
      <c r="C44" s="339"/>
      <c r="D44" s="774" t="s">
        <v>25</v>
      </c>
      <c r="E44" s="777"/>
      <c r="F44" s="347"/>
      <c r="G44" s="347"/>
      <c r="H44" s="347"/>
      <c r="I44" s="347"/>
      <c r="J44" s="347"/>
      <c r="K44" s="347"/>
      <c r="L44" s="347"/>
      <c r="M44" s="347"/>
      <c r="N44" s="348"/>
      <c r="O44" s="349"/>
    </row>
    <row r="45" spans="1:15" s="915" customFormat="1" ht="18" customHeight="1">
      <c r="A45" s="61">
        <v>38</v>
      </c>
      <c r="B45" s="905"/>
      <c r="C45" s="906"/>
      <c r="D45" s="907"/>
      <c r="E45" s="908" t="s">
        <v>312</v>
      </c>
      <c r="F45" s="934">
        <v>21200</v>
      </c>
      <c r="G45" s="934"/>
      <c r="H45" s="934"/>
      <c r="I45" s="934"/>
      <c r="J45" s="934"/>
      <c r="K45" s="934"/>
      <c r="L45" s="934"/>
      <c r="M45" s="934">
        <v>390704</v>
      </c>
      <c r="N45" s="935">
        <v>290848</v>
      </c>
      <c r="O45" s="930">
        <f>SUM(F45:M45)</f>
        <v>411904</v>
      </c>
    </row>
    <row r="46" spans="1:15" s="153" customFormat="1" ht="18" customHeight="1">
      <c r="A46" s="61">
        <v>39</v>
      </c>
      <c r="B46" s="340"/>
      <c r="C46" s="339">
        <v>2</v>
      </c>
      <c r="D46" s="771" t="s">
        <v>663</v>
      </c>
      <c r="E46" s="771"/>
      <c r="F46" s="344"/>
      <c r="G46" s="344"/>
      <c r="H46" s="344"/>
      <c r="I46" s="344"/>
      <c r="J46" s="344"/>
      <c r="K46" s="344"/>
      <c r="L46" s="344"/>
      <c r="M46" s="344"/>
      <c r="N46" s="345"/>
      <c r="O46" s="346"/>
    </row>
    <row r="47" spans="1:16" s="913" customFormat="1" ht="18" customHeight="1">
      <c r="A47" s="61">
        <v>40</v>
      </c>
      <c r="B47" s="917"/>
      <c r="C47" s="906"/>
      <c r="D47" s="907"/>
      <c r="E47" s="936" t="s">
        <v>312</v>
      </c>
      <c r="F47" s="937"/>
      <c r="G47" s="937">
        <v>43191</v>
      </c>
      <c r="H47" s="937"/>
      <c r="I47" s="937"/>
      <c r="J47" s="937"/>
      <c r="K47" s="937"/>
      <c r="L47" s="937">
        <f>9983+2400</f>
        <v>12383</v>
      </c>
      <c r="M47" s="937"/>
      <c r="N47" s="938"/>
      <c r="O47" s="931">
        <f>SUM(F47:M47)</f>
        <v>55574</v>
      </c>
      <c r="P47" s="912"/>
    </row>
    <row r="48" spans="1:15" s="153" customFormat="1" ht="22.5" customHeight="1">
      <c r="A48" s="61">
        <v>41</v>
      </c>
      <c r="B48" s="338">
        <v>13</v>
      </c>
      <c r="C48" s="339"/>
      <c r="D48" s="774" t="s">
        <v>34</v>
      </c>
      <c r="E48" s="777"/>
      <c r="F48" s="347"/>
      <c r="G48" s="347"/>
      <c r="H48" s="347"/>
      <c r="I48" s="347"/>
      <c r="J48" s="347"/>
      <c r="K48" s="347"/>
      <c r="L48" s="347"/>
      <c r="M48" s="347"/>
      <c r="N48" s="348"/>
      <c r="O48" s="349"/>
    </row>
    <row r="49" spans="1:15" s="915" customFormat="1" ht="18" customHeight="1">
      <c r="A49" s="61">
        <v>42</v>
      </c>
      <c r="B49" s="905"/>
      <c r="C49" s="906"/>
      <c r="D49" s="907"/>
      <c r="E49" s="908" t="s">
        <v>312</v>
      </c>
      <c r="F49" s="934">
        <v>209389</v>
      </c>
      <c r="G49" s="934">
        <v>400</v>
      </c>
      <c r="H49" s="934"/>
      <c r="I49" s="934">
        <v>3000</v>
      </c>
      <c r="J49" s="934"/>
      <c r="K49" s="934"/>
      <c r="L49" s="934">
        <v>1200</v>
      </c>
      <c r="M49" s="934">
        <v>192730</v>
      </c>
      <c r="N49" s="935">
        <v>120660</v>
      </c>
      <c r="O49" s="930">
        <f>SUM(F49:M49)</f>
        <v>406719</v>
      </c>
    </row>
    <row r="50" spans="1:15" s="153" customFormat="1" ht="22.5" customHeight="1">
      <c r="A50" s="61">
        <v>43</v>
      </c>
      <c r="B50" s="338">
        <v>14</v>
      </c>
      <c r="C50" s="339"/>
      <c r="D50" s="774" t="s">
        <v>534</v>
      </c>
      <c r="E50" s="774"/>
      <c r="F50" s="347"/>
      <c r="G50" s="347"/>
      <c r="H50" s="347"/>
      <c r="I50" s="347"/>
      <c r="J50" s="347"/>
      <c r="K50" s="347"/>
      <c r="L50" s="347"/>
      <c r="M50" s="347"/>
      <c r="N50" s="348"/>
      <c r="O50" s="349"/>
    </row>
    <row r="51" spans="1:15" s="915" customFormat="1" ht="18" customHeight="1">
      <c r="A51" s="61">
        <v>44</v>
      </c>
      <c r="B51" s="905"/>
      <c r="C51" s="906"/>
      <c r="D51" s="907"/>
      <c r="E51" s="908" t="s">
        <v>312</v>
      </c>
      <c r="F51" s="934">
        <v>30270</v>
      </c>
      <c r="G51" s="934">
        <v>9000</v>
      </c>
      <c r="H51" s="934"/>
      <c r="I51" s="934"/>
      <c r="J51" s="934"/>
      <c r="K51" s="934"/>
      <c r="L51" s="934"/>
      <c r="M51" s="934">
        <v>90292</v>
      </c>
      <c r="N51" s="935">
        <v>49700</v>
      </c>
      <c r="O51" s="930">
        <f>SUM(F51:M51)</f>
        <v>129562</v>
      </c>
    </row>
    <row r="52" spans="1:16" s="293" customFormat="1" ht="18" customHeight="1">
      <c r="A52" s="61">
        <v>45</v>
      </c>
      <c r="B52" s="342"/>
      <c r="C52" s="339">
        <v>1</v>
      </c>
      <c r="D52" s="771" t="s">
        <v>152</v>
      </c>
      <c r="E52" s="771"/>
      <c r="F52" s="122"/>
      <c r="G52" s="122"/>
      <c r="H52" s="122"/>
      <c r="I52" s="122"/>
      <c r="J52" s="122"/>
      <c r="K52" s="122"/>
      <c r="L52" s="122"/>
      <c r="M52" s="122"/>
      <c r="N52" s="159"/>
      <c r="O52" s="358"/>
      <c r="P52" s="49"/>
    </row>
    <row r="53" spans="1:16" s="940" customFormat="1" ht="18" customHeight="1">
      <c r="A53" s="61">
        <v>46</v>
      </c>
      <c r="B53" s="917"/>
      <c r="C53" s="906"/>
      <c r="D53" s="907"/>
      <c r="E53" s="936" t="s">
        <v>312</v>
      </c>
      <c r="F53" s="909"/>
      <c r="G53" s="909">
        <v>2455</v>
      </c>
      <c r="H53" s="909"/>
      <c r="I53" s="909"/>
      <c r="J53" s="909"/>
      <c r="K53" s="909"/>
      <c r="L53" s="909"/>
      <c r="M53" s="909"/>
      <c r="N53" s="910"/>
      <c r="O53" s="931">
        <f>SUM(F53:M53)</f>
        <v>2455</v>
      </c>
      <c r="P53" s="939"/>
    </row>
    <row r="54" spans="1:16" s="293" customFormat="1" ht="29.25" customHeight="1">
      <c r="A54" s="61">
        <v>47</v>
      </c>
      <c r="B54" s="342"/>
      <c r="C54" s="343">
        <v>2</v>
      </c>
      <c r="D54" s="1525" t="s">
        <v>537</v>
      </c>
      <c r="E54" s="1526"/>
      <c r="F54" s="122"/>
      <c r="G54" s="122"/>
      <c r="H54" s="122"/>
      <c r="I54" s="122"/>
      <c r="J54" s="122"/>
      <c r="K54" s="122"/>
      <c r="L54" s="122"/>
      <c r="M54" s="122"/>
      <c r="N54" s="159"/>
      <c r="O54" s="358"/>
      <c r="P54" s="49"/>
    </row>
    <row r="55" spans="1:16" s="940" customFormat="1" ht="18" customHeight="1">
      <c r="A55" s="61">
        <v>48</v>
      </c>
      <c r="B55" s="917"/>
      <c r="C55" s="906"/>
      <c r="D55" s="907"/>
      <c r="E55" s="936" t="s">
        <v>312</v>
      </c>
      <c r="F55" s="909"/>
      <c r="G55" s="909"/>
      <c r="H55" s="909"/>
      <c r="I55" s="909"/>
      <c r="J55" s="909"/>
      <c r="K55" s="909"/>
      <c r="L55" s="909">
        <v>5725</v>
      </c>
      <c r="M55" s="909"/>
      <c r="N55" s="910"/>
      <c r="O55" s="931">
        <f>SUM(F55:M55)</f>
        <v>5725</v>
      </c>
      <c r="P55" s="939"/>
    </row>
    <row r="56" spans="1:15" s="154" customFormat="1" ht="22.5" customHeight="1">
      <c r="A56" s="61">
        <v>49</v>
      </c>
      <c r="B56" s="338">
        <v>15</v>
      </c>
      <c r="C56" s="339"/>
      <c r="D56" s="774" t="s">
        <v>157</v>
      </c>
      <c r="E56" s="777"/>
      <c r="F56" s="347"/>
      <c r="G56" s="347"/>
      <c r="H56" s="347"/>
      <c r="I56" s="347"/>
      <c r="J56" s="347"/>
      <c r="K56" s="347"/>
      <c r="L56" s="347"/>
      <c r="M56" s="347"/>
      <c r="N56" s="348"/>
      <c r="O56" s="349"/>
    </row>
    <row r="57" spans="1:15" s="914" customFormat="1" ht="18" customHeight="1" thickBot="1">
      <c r="A57" s="61">
        <v>50</v>
      </c>
      <c r="B57" s="905"/>
      <c r="C57" s="918"/>
      <c r="D57" s="919"/>
      <c r="E57" s="941" t="s">
        <v>312</v>
      </c>
      <c r="F57" s="942">
        <v>205000</v>
      </c>
      <c r="G57" s="942">
        <v>110000</v>
      </c>
      <c r="H57" s="942"/>
      <c r="I57" s="942"/>
      <c r="J57" s="942"/>
      <c r="K57" s="942"/>
      <c r="L57" s="942">
        <v>2000</v>
      </c>
      <c r="M57" s="942">
        <v>425553</v>
      </c>
      <c r="N57" s="943">
        <v>259100</v>
      </c>
      <c r="O57" s="932">
        <f>SUM(F57:M57)</f>
        <v>742553</v>
      </c>
    </row>
    <row r="58" spans="1:15" s="154" customFormat="1" ht="22.5" customHeight="1" thickTop="1">
      <c r="A58" s="61">
        <v>51</v>
      </c>
      <c r="B58" s="340"/>
      <c r="C58" s="1527" t="s">
        <v>675</v>
      </c>
      <c r="D58" s="1528"/>
      <c r="E58" s="1529"/>
      <c r="F58" s="903"/>
      <c r="G58" s="903"/>
      <c r="H58" s="903"/>
      <c r="I58" s="903"/>
      <c r="J58" s="903"/>
      <c r="K58" s="903"/>
      <c r="L58" s="903"/>
      <c r="M58" s="903"/>
      <c r="N58" s="903"/>
      <c r="O58" s="904"/>
    </row>
    <row r="59" spans="1:15" s="914" customFormat="1" ht="18" customHeight="1" thickBot="1">
      <c r="A59" s="61">
        <v>52</v>
      </c>
      <c r="B59" s="905"/>
      <c r="C59" s="925"/>
      <c r="D59" s="926"/>
      <c r="E59" s="944" t="s">
        <v>312</v>
      </c>
      <c r="F59" s="945">
        <f>SUM(F39,F41,F43,F45,F47,F49,F51,F53,F55,F57)</f>
        <v>514800</v>
      </c>
      <c r="G59" s="945">
        <f aca="true" t="shared" si="2" ref="G59:N59">SUM(G39,G41,G43,G45,G47,G49,G51,G53,G55,G57)</f>
        <v>232351</v>
      </c>
      <c r="H59" s="945">
        <f t="shared" si="2"/>
        <v>0</v>
      </c>
      <c r="I59" s="945">
        <f t="shared" si="2"/>
        <v>3000</v>
      </c>
      <c r="J59" s="945">
        <f t="shared" si="2"/>
        <v>4050</v>
      </c>
      <c r="K59" s="945">
        <f t="shared" si="2"/>
        <v>0</v>
      </c>
      <c r="L59" s="945">
        <f t="shared" si="2"/>
        <v>39732</v>
      </c>
      <c r="M59" s="945">
        <f t="shared" si="2"/>
        <v>1388395</v>
      </c>
      <c r="N59" s="946">
        <f t="shared" si="2"/>
        <v>720308</v>
      </c>
      <c r="O59" s="933">
        <f>SUM(F59:M59)</f>
        <v>2182328</v>
      </c>
    </row>
    <row r="60" spans="1:16" ht="22.5" customHeight="1" thickTop="1">
      <c r="A60" s="61">
        <v>53</v>
      </c>
      <c r="B60" s="352">
        <v>16</v>
      </c>
      <c r="C60" s="353"/>
      <c r="D60" s="775" t="s">
        <v>271</v>
      </c>
      <c r="E60" s="775"/>
      <c r="F60" s="364"/>
      <c r="G60" s="364"/>
      <c r="H60" s="364"/>
      <c r="I60" s="364"/>
      <c r="J60" s="364"/>
      <c r="K60" s="364"/>
      <c r="L60" s="364"/>
      <c r="M60" s="364"/>
      <c r="N60" s="365"/>
      <c r="O60" s="366"/>
      <c r="P60" s="48"/>
    </row>
    <row r="61" spans="1:16" s="940" customFormat="1" ht="18" customHeight="1" thickBot="1">
      <c r="A61" s="61">
        <v>54</v>
      </c>
      <c r="B61" s="948"/>
      <c r="C61" s="949"/>
      <c r="D61" s="950"/>
      <c r="E61" s="951" t="s">
        <v>312</v>
      </c>
      <c r="F61" s="952">
        <v>410302</v>
      </c>
      <c r="G61" s="952"/>
      <c r="H61" s="952"/>
      <c r="I61" s="952"/>
      <c r="J61" s="952"/>
      <c r="K61" s="952"/>
      <c r="L61" s="952"/>
      <c r="M61" s="952">
        <v>615157</v>
      </c>
      <c r="N61" s="953">
        <v>193026</v>
      </c>
      <c r="O61" s="947">
        <f>SUM(F61:M61)</f>
        <v>1025459</v>
      </c>
      <c r="P61" s="939"/>
    </row>
    <row r="62" spans="1:16" s="293" customFormat="1" ht="36" customHeight="1">
      <c r="A62" s="61">
        <v>55</v>
      </c>
      <c r="B62" s="1530" t="s">
        <v>158</v>
      </c>
      <c r="C62" s="1531"/>
      <c r="D62" s="1531"/>
      <c r="E62" s="1532"/>
      <c r="F62" s="954"/>
      <c r="G62" s="954"/>
      <c r="H62" s="954"/>
      <c r="I62" s="954"/>
      <c r="J62" s="954"/>
      <c r="K62" s="954"/>
      <c r="L62" s="954"/>
      <c r="M62" s="954"/>
      <c r="N62" s="955"/>
      <c r="O62" s="956"/>
      <c r="P62" s="49"/>
    </row>
    <row r="63" spans="1:16" s="940" customFormat="1" ht="18" customHeight="1" thickBot="1">
      <c r="A63" s="61">
        <v>56</v>
      </c>
      <c r="B63" s="948"/>
      <c r="C63" s="949"/>
      <c r="D63" s="950"/>
      <c r="E63" s="951" t="s">
        <v>312</v>
      </c>
      <c r="F63" s="952">
        <f aca="true" t="shared" si="3" ref="F63:N63">SUM(F61,F59,F37,F29)</f>
        <v>1028612</v>
      </c>
      <c r="G63" s="952">
        <f t="shared" si="3"/>
        <v>236049</v>
      </c>
      <c r="H63" s="952">
        <f t="shared" si="3"/>
        <v>0</v>
      </c>
      <c r="I63" s="952">
        <f t="shared" si="3"/>
        <v>3000</v>
      </c>
      <c r="J63" s="952">
        <f t="shared" si="3"/>
        <v>4050</v>
      </c>
      <c r="K63" s="952">
        <f t="shared" si="3"/>
        <v>0</v>
      </c>
      <c r="L63" s="952">
        <f t="shared" si="3"/>
        <v>43922</v>
      </c>
      <c r="M63" s="952">
        <f t="shared" si="3"/>
        <v>5047379</v>
      </c>
      <c r="N63" s="953">
        <f t="shared" si="3"/>
        <v>3177125</v>
      </c>
      <c r="O63" s="947">
        <f>SUM(F63:M63)</f>
        <v>6363012</v>
      </c>
      <c r="P63" s="939"/>
    </row>
    <row r="64" spans="1:16" ht="22.5" customHeight="1">
      <c r="A64" s="61">
        <v>57</v>
      </c>
      <c r="B64" s="334">
        <v>17</v>
      </c>
      <c r="C64" s="335"/>
      <c r="D64" s="783" t="s">
        <v>159</v>
      </c>
      <c r="E64" s="780"/>
      <c r="F64" s="781"/>
      <c r="G64" s="782"/>
      <c r="H64" s="336"/>
      <c r="I64" s="336"/>
      <c r="J64" s="336"/>
      <c r="K64" s="336"/>
      <c r="L64" s="336"/>
      <c r="M64" s="336"/>
      <c r="N64" s="337"/>
      <c r="O64" s="361"/>
      <c r="P64" s="48"/>
    </row>
    <row r="65" spans="1:16" s="940" customFormat="1" ht="18" customHeight="1" thickBot="1">
      <c r="A65" s="61">
        <v>58</v>
      </c>
      <c r="B65" s="958"/>
      <c r="C65" s="918"/>
      <c r="D65" s="918"/>
      <c r="E65" s="959" t="s">
        <v>312</v>
      </c>
      <c r="F65" s="942"/>
      <c r="G65" s="942"/>
      <c r="H65" s="942"/>
      <c r="I65" s="942">
        <v>4543</v>
      </c>
      <c r="J65" s="942"/>
      <c r="K65" s="942"/>
      <c r="L65" s="942">
        <v>92459</v>
      </c>
      <c r="M65" s="942">
        <v>1578559</v>
      </c>
      <c r="N65" s="943"/>
      <c r="O65" s="932">
        <f>SUM(F65:M65)</f>
        <v>1675561</v>
      </c>
      <c r="P65" s="939"/>
    </row>
    <row r="66" spans="1:16" s="293" customFormat="1" ht="36" customHeight="1">
      <c r="A66" s="61">
        <v>59</v>
      </c>
      <c r="B66" s="1533" t="s">
        <v>13</v>
      </c>
      <c r="C66" s="1534"/>
      <c r="D66" s="1534"/>
      <c r="E66" s="1535"/>
      <c r="F66" s="507"/>
      <c r="G66" s="507"/>
      <c r="H66" s="507"/>
      <c r="I66" s="507"/>
      <c r="J66" s="507"/>
      <c r="K66" s="507"/>
      <c r="L66" s="507"/>
      <c r="M66" s="507"/>
      <c r="N66" s="957"/>
      <c r="O66" s="956">
        <f>SUM(F66:M66)</f>
        <v>0</v>
      </c>
      <c r="P66" s="49"/>
    </row>
    <row r="67" spans="1:16" s="940" customFormat="1" ht="18" customHeight="1" thickBot="1">
      <c r="A67" s="61">
        <v>60</v>
      </c>
      <c r="B67" s="948"/>
      <c r="C67" s="949"/>
      <c r="D67" s="949"/>
      <c r="E67" s="961" t="s">
        <v>312</v>
      </c>
      <c r="F67" s="952">
        <f>SUM(F63,F65)</f>
        <v>1028612</v>
      </c>
      <c r="G67" s="952">
        <f aca="true" t="shared" si="4" ref="G67:N67">SUM(G63,G65)</f>
        <v>236049</v>
      </c>
      <c r="H67" s="952">
        <f t="shared" si="4"/>
        <v>0</v>
      </c>
      <c r="I67" s="952">
        <f t="shared" si="4"/>
        <v>7543</v>
      </c>
      <c r="J67" s="952">
        <f t="shared" si="4"/>
        <v>4050</v>
      </c>
      <c r="K67" s="952">
        <f t="shared" si="4"/>
        <v>0</v>
      </c>
      <c r="L67" s="952">
        <f t="shared" si="4"/>
        <v>136381</v>
      </c>
      <c r="M67" s="952">
        <f t="shared" si="4"/>
        <v>6625938</v>
      </c>
      <c r="N67" s="953">
        <f t="shared" si="4"/>
        <v>3177125</v>
      </c>
      <c r="O67" s="947">
        <f>SUM(F67:M67)</f>
        <v>8038573</v>
      </c>
      <c r="P67" s="939"/>
    </row>
    <row r="68" spans="6:12" ht="12.75">
      <c r="F68" s="689">
        <f>+F67-'1.Onbe'!J30</f>
        <v>0</v>
      </c>
      <c r="G68" s="689">
        <f>+G67-'1.Onbe'!J14</f>
        <v>0</v>
      </c>
      <c r="H68" s="689">
        <f>+H67-'1.Onbe'!J32</f>
        <v>0</v>
      </c>
      <c r="I68" s="689">
        <f>+I67-'1.Onbe'!J40</f>
        <v>0</v>
      </c>
      <c r="J68" s="689">
        <f>+J67-'1.Onbe'!J37</f>
        <v>0</v>
      </c>
      <c r="K68" s="689">
        <f>+K67-'1.Onbe'!J42</f>
        <v>0</v>
      </c>
      <c r="L68" s="689">
        <f>+L67-'1.Onbe'!J55-'1.Onbe'!J56-'1.Onbe'!J51-'1.Onbe'!J52</f>
        <v>0</v>
      </c>
    </row>
  </sheetData>
  <sheetProtection/>
  <mergeCells count="20">
    <mergeCell ref="B1:E1"/>
    <mergeCell ref="B2:O2"/>
    <mergeCell ref="B3:O3"/>
    <mergeCell ref="N4:O4"/>
    <mergeCell ref="D5:E5"/>
    <mergeCell ref="M6:N6"/>
    <mergeCell ref="O6:O7"/>
    <mergeCell ref="D26:E26"/>
    <mergeCell ref="C28:E28"/>
    <mergeCell ref="C36:E36"/>
    <mergeCell ref="C6:C7"/>
    <mergeCell ref="D6:E7"/>
    <mergeCell ref="F6:H6"/>
    <mergeCell ref="I6:K6"/>
    <mergeCell ref="D54:E54"/>
    <mergeCell ref="C58:E58"/>
    <mergeCell ref="B62:E62"/>
    <mergeCell ref="B66:E66"/>
    <mergeCell ref="L6:L7"/>
    <mergeCell ref="B6:B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1">
      <selection activeCell="B1" sqref="B1:D1"/>
    </sheetView>
  </sheetViews>
  <sheetFormatPr defaultColWidth="9.125" defaultRowHeight="12.75"/>
  <cols>
    <col min="1" max="1" width="3.75390625" style="146" customWidth="1"/>
    <col min="2" max="3" width="5.75390625" style="292" customWidth="1"/>
    <col min="4" max="4" width="58.75390625" style="292" customWidth="1"/>
    <col min="5" max="7" width="10.75390625" style="292" customWidth="1"/>
    <col min="8" max="8" width="13.75390625" style="292" customWidth="1"/>
    <col min="9" max="16384" width="9.125" style="292" customWidth="1"/>
  </cols>
  <sheetData>
    <row r="1" spans="1:8" s="305" customFormat="1" ht="18" customHeight="1">
      <c r="A1" s="296"/>
      <c r="B1" s="1561" t="s">
        <v>1007</v>
      </c>
      <c r="C1" s="1561"/>
      <c r="D1" s="1561"/>
      <c r="E1" s="802"/>
      <c r="F1" s="802"/>
      <c r="G1" s="802"/>
      <c r="H1" s="496"/>
    </row>
    <row r="2" spans="1:8" s="305" customFormat="1" ht="24.75" customHeight="1">
      <c r="A2" s="61"/>
      <c r="B2" s="1552" t="s">
        <v>142</v>
      </c>
      <c r="C2" s="1552"/>
      <c r="D2" s="1552"/>
      <c r="E2" s="1552"/>
      <c r="F2" s="1552"/>
      <c r="G2" s="1552"/>
      <c r="H2" s="1552"/>
    </row>
    <row r="3" spans="1:8" s="305" customFormat="1" ht="24.75" customHeight="1">
      <c r="A3" s="61"/>
      <c r="B3" s="1552" t="s">
        <v>638</v>
      </c>
      <c r="C3" s="1552"/>
      <c r="D3" s="1552"/>
      <c r="E3" s="1552"/>
      <c r="F3" s="1552"/>
      <c r="G3" s="1552"/>
      <c r="H3" s="1552"/>
    </row>
    <row r="4" spans="1:8" ht="18" customHeight="1">
      <c r="A4" s="61"/>
      <c r="B4" s="50"/>
      <c r="C4" s="48"/>
      <c r="D4" s="48"/>
      <c r="E4" s="48"/>
      <c r="F4" s="48"/>
      <c r="G4" s="48"/>
      <c r="H4" s="1223" t="s">
        <v>0</v>
      </c>
    </row>
    <row r="5" spans="2:8" s="61" customFormat="1" ht="18" customHeight="1" thickBot="1">
      <c r="B5" s="61" t="s">
        <v>1</v>
      </c>
      <c r="C5" s="61" t="s">
        <v>3</v>
      </c>
      <c r="D5" s="61" t="s">
        <v>2</v>
      </c>
      <c r="E5" s="61" t="s">
        <v>4</v>
      </c>
      <c r="F5" s="61" t="s">
        <v>5</v>
      </c>
      <c r="G5" s="61" t="s">
        <v>15</v>
      </c>
      <c r="H5" s="61" t="s">
        <v>16</v>
      </c>
    </row>
    <row r="6" spans="1:8" s="50" customFormat="1" ht="30" customHeight="1">
      <c r="A6" s="61"/>
      <c r="B6" s="1538" t="s">
        <v>18</v>
      </c>
      <c r="C6" s="1562" t="s">
        <v>19</v>
      </c>
      <c r="D6" s="1564" t="s">
        <v>6</v>
      </c>
      <c r="E6" s="1566" t="s">
        <v>639</v>
      </c>
      <c r="F6" s="1568" t="s">
        <v>640</v>
      </c>
      <c r="G6" s="1566" t="s">
        <v>641</v>
      </c>
      <c r="H6" s="1540" t="s">
        <v>642</v>
      </c>
    </row>
    <row r="7" spans="1:8" ht="60.75" customHeight="1" thickBot="1">
      <c r="A7" s="61"/>
      <c r="B7" s="1539"/>
      <c r="C7" s="1563"/>
      <c r="D7" s="1565"/>
      <c r="E7" s="1567"/>
      <c r="F7" s="1569"/>
      <c r="G7" s="1567"/>
      <c r="H7" s="1541"/>
    </row>
    <row r="8" spans="1:8" ht="29.25" customHeight="1">
      <c r="A8" s="61">
        <v>1</v>
      </c>
      <c r="B8" s="788">
        <v>1</v>
      </c>
      <c r="C8" s="370"/>
      <c r="D8" s="962" t="s">
        <v>419</v>
      </c>
      <c r="E8" s="354">
        <v>4241</v>
      </c>
      <c r="F8" s="354">
        <v>4458</v>
      </c>
      <c r="G8" s="354">
        <v>4458</v>
      </c>
      <c r="H8" s="363">
        <v>4940</v>
      </c>
    </row>
    <row r="9" spans="1:8" ht="30" customHeight="1">
      <c r="A9" s="61">
        <v>2</v>
      </c>
      <c r="B9" s="784">
        <v>2</v>
      </c>
      <c r="C9" s="341"/>
      <c r="D9" s="962" t="s">
        <v>651</v>
      </c>
      <c r="E9" s="344">
        <v>8290</v>
      </c>
      <c r="F9" s="344">
        <v>10813</v>
      </c>
      <c r="G9" s="344">
        <v>10813</v>
      </c>
      <c r="H9" s="357">
        <v>9516</v>
      </c>
    </row>
    <row r="10" spans="1:8" ht="30" customHeight="1">
      <c r="A10" s="61">
        <v>3</v>
      </c>
      <c r="B10" s="784">
        <v>3</v>
      </c>
      <c r="C10" s="341"/>
      <c r="D10" s="962" t="s">
        <v>652</v>
      </c>
      <c r="E10" s="344">
        <v>16663</v>
      </c>
      <c r="F10" s="344">
        <v>17490</v>
      </c>
      <c r="G10" s="344">
        <v>18133</v>
      </c>
      <c r="H10" s="357">
        <v>17581</v>
      </c>
    </row>
    <row r="11" spans="1:8" ht="30" customHeight="1">
      <c r="A11" s="61">
        <v>4</v>
      </c>
      <c r="B11" s="784">
        <v>4</v>
      </c>
      <c r="C11" s="341"/>
      <c r="D11" s="962" t="s">
        <v>653</v>
      </c>
      <c r="E11" s="344">
        <v>12417</v>
      </c>
      <c r="F11" s="344">
        <v>13993</v>
      </c>
      <c r="G11" s="344">
        <v>11639</v>
      </c>
      <c r="H11" s="357">
        <v>10020</v>
      </c>
    </row>
    <row r="12" spans="1:8" ht="30" customHeight="1">
      <c r="A12" s="61">
        <v>5</v>
      </c>
      <c r="B12" s="784">
        <v>5</v>
      </c>
      <c r="C12" s="341"/>
      <c r="D12" s="962" t="s">
        <v>654</v>
      </c>
      <c r="E12" s="344">
        <v>14656</v>
      </c>
      <c r="F12" s="344">
        <v>15663</v>
      </c>
      <c r="G12" s="344">
        <v>17275</v>
      </c>
      <c r="H12" s="357">
        <v>18635</v>
      </c>
    </row>
    <row r="13" spans="1:8" ht="30" customHeight="1" thickBot="1">
      <c r="A13" s="61">
        <v>6</v>
      </c>
      <c r="B13" s="784">
        <v>6</v>
      </c>
      <c r="C13" s="367"/>
      <c r="D13" s="963" t="s">
        <v>420</v>
      </c>
      <c r="E13" s="368">
        <v>3862</v>
      </c>
      <c r="F13" s="368">
        <v>3794</v>
      </c>
      <c r="G13" s="368">
        <v>3794</v>
      </c>
      <c r="H13" s="369">
        <v>5441</v>
      </c>
    </row>
    <row r="14" spans="1:8" s="360" customFormat="1" ht="30" customHeight="1" thickBot="1">
      <c r="A14" s="61">
        <v>7</v>
      </c>
      <c r="B14" s="785"/>
      <c r="C14" s="481"/>
      <c r="D14" s="965" t="s">
        <v>673</v>
      </c>
      <c r="E14" s="481">
        <f>SUM(E8:E13)</f>
        <v>60129</v>
      </c>
      <c r="F14" s="481">
        <f>SUM(F8:F13)</f>
        <v>66211</v>
      </c>
      <c r="G14" s="481">
        <f>SUM(G8:G13)</f>
        <v>66112</v>
      </c>
      <c r="H14" s="801">
        <f>SUM(H8:H13)</f>
        <v>66133</v>
      </c>
    </row>
    <row r="15" spans="1:8" ht="30" customHeight="1">
      <c r="A15" s="61">
        <v>8</v>
      </c>
      <c r="B15" s="784">
        <v>7</v>
      </c>
      <c r="C15" s="370"/>
      <c r="D15" s="964" t="s">
        <v>391</v>
      </c>
      <c r="E15" s="354">
        <v>43118</v>
      </c>
      <c r="F15" s="354">
        <v>19344</v>
      </c>
      <c r="G15" s="354">
        <v>22800</v>
      </c>
      <c r="H15" s="363">
        <v>21777</v>
      </c>
    </row>
    <row r="16" spans="1:8" ht="30" customHeight="1">
      <c r="A16" s="61">
        <v>9</v>
      </c>
      <c r="B16" s="784">
        <v>8</v>
      </c>
      <c r="C16" s="367"/>
      <c r="D16" s="962" t="s">
        <v>125</v>
      </c>
      <c r="E16" s="368">
        <v>15040</v>
      </c>
      <c r="F16" s="368">
        <v>13500</v>
      </c>
      <c r="G16" s="368">
        <v>14965</v>
      </c>
      <c r="H16" s="369">
        <v>13800</v>
      </c>
    </row>
    <row r="17" spans="1:8" ht="30" customHeight="1" thickBot="1">
      <c r="A17" s="61">
        <v>10</v>
      </c>
      <c r="B17" s="784">
        <v>9</v>
      </c>
      <c r="C17" s="367"/>
      <c r="D17" s="963" t="s">
        <v>551</v>
      </c>
      <c r="E17" s="368"/>
      <c r="F17" s="368">
        <v>1800</v>
      </c>
      <c r="G17" s="368">
        <v>1800</v>
      </c>
      <c r="H17" s="369">
        <v>1800</v>
      </c>
    </row>
    <row r="18" spans="1:8" s="360" customFormat="1" ht="30" customHeight="1" thickBot="1">
      <c r="A18" s="61">
        <v>11</v>
      </c>
      <c r="B18" s="785"/>
      <c r="C18" s="481"/>
      <c r="D18" s="965" t="s">
        <v>674</v>
      </c>
      <c r="E18" s="481">
        <f>SUM(E15:E17)</f>
        <v>58158</v>
      </c>
      <c r="F18" s="481">
        <f>SUM(F15:F17)</f>
        <v>34644</v>
      </c>
      <c r="G18" s="481">
        <f>SUM(G15:G17)</f>
        <v>39565</v>
      </c>
      <c r="H18" s="801">
        <f>SUM(H15:H17)</f>
        <v>37377</v>
      </c>
    </row>
    <row r="19" spans="1:8" ht="30" customHeight="1">
      <c r="A19" s="61">
        <v>12</v>
      </c>
      <c r="B19" s="784">
        <v>10</v>
      </c>
      <c r="C19" s="370"/>
      <c r="D19" s="890" t="s">
        <v>553</v>
      </c>
      <c r="E19" s="354">
        <v>39591</v>
      </c>
      <c r="F19" s="354">
        <v>39584</v>
      </c>
      <c r="G19" s="354">
        <v>43824</v>
      </c>
      <c r="H19" s="363">
        <v>39412</v>
      </c>
    </row>
    <row r="20" spans="1:8" ht="30" customHeight="1">
      <c r="A20" s="61">
        <v>13</v>
      </c>
      <c r="B20" s="786">
        <v>11</v>
      </c>
      <c r="C20" s="341"/>
      <c r="D20" s="887" t="s">
        <v>533</v>
      </c>
      <c r="E20" s="344">
        <v>4063</v>
      </c>
      <c r="F20" s="344">
        <v>7001</v>
      </c>
      <c r="G20" s="344">
        <v>8888</v>
      </c>
      <c r="H20" s="357">
        <v>9529</v>
      </c>
    </row>
    <row r="21" spans="1:8" ht="30" customHeight="1">
      <c r="A21" s="61">
        <v>14</v>
      </c>
      <c r="B21" s="784">
        <v>12</v>
      </c>
      <c r="C21" s="341"/>
      <c r="D21" s="889" t="s">
        <v>25</v>
      </c>
      <c r="E21" s="344">
        <v>36291</v>
      </c>
      <c r="F21" s="344">
        <v>21200</v>
      </c>
      <c r="G21" s="344">
        <v>31600</v>
      </c>
      <c r="H21" s="357">
        <v>21200</v>
      </c>
    </row>
    <row r="22" spans="1:8" ht="30" customHeight="1">
      <c r="A22" s="61">
        <v>15</v>
      </c>
      <c r="B22" s="784">
        <v>13</v>
      </c>
      <c r="C22" s="341"/>
      <c r="D22" s="889" t="s">
        <v>34</v>
      </c>
      <c r="E22" s="344">
        <v>129584</v>
      </c>
      <c r="F22" s="344">
        <f>113894+11447</f>
        <v>125341</v>
      </c>
      <c r="G22" s="344">
        <v>197132</v>
      </c>
      <c r="H22" s="357">
        <v>209389</v>
      </c>
    </row>
    <row r="23" spans="1:8" ht="30" customHeight="1">
      <c r="A23" s="61">
        <v>16</v>
      </c>
      <c r="B23" s="784">
        <v>14</v>
      </c>
      <c r="C23" s="343"/>
      <c r="D23" s="887" t="s">
        <v>534</v>
      </c>
      <c r="E23" s="344">
        <v>29609</v>
      </c>
      <c r="F23" s="344">
        <v>33854</v>
      </c>
      <c r="G23" s="344">
        <v>25393</v>
      </c>
      <c r="H23" s="357">
        <v>30270</v>
      </c>
    </row>
    <row r="24" spans="1:8" ht="30" customHeight="1" thickBot="1">
      <c r="A24" s="61">
        <v>17</v>
      </c>
      <c r="B24" s="784">
        <v>15</v>
      </c>
      <c r="C24" s="367"/>
      <c r="D24" s="888" t="s">
        <v>157</v>
      </c>
      <c r="E24" s="368">
        <v>273726</v>
      </c>
      <c r="F24" s="368">
        <v>203000</v>
      </c>
      <c r="G24" s="368">
        <v>303503</v>
      </c>
      <c r="H24" s="369">
        <v>205000</v>
      </c>
    </row>
    <row r="25" spans="1:8" s="360" customFormat="1" ht="30" customHeight="1" thickBot="1">
      <c r="A25" s="61">
        <v>18</v>
      </c>
      <c r="B25" s="785"/>
      <c r="C25" s="481"/>
      <c r="D25" s="965" t="s">
        <v>675</v>
      </c>
      <c r="E25" s="481">
        <f>SUM(E19:E24)</f>
        <v>512864</v>
      </c>
      <c r="F25" s="481">
        <f>SUM(F19:F24)</f>
        <v>429980</v>
      </c>
      <c r="G25" s="481">
        <f>SUM(G19:G24)</f>
        <v>610340</v>
      </c>
      <c r="H25" s="801">
        <f>SUM(H19:H24)</f>
        <v>514800</v>
      </c>
    </row>
    <row r="26" spans="1:8" s="57" customFormat="1" ht="30" customHeight="1" thickBot="1">
      <c r="A26" s="61">
        <v>19</v>
      </c>
      <c r="B26" s="789">
        <v>16</v>
      </c>
      <c r="C26" s="787"/>
      <c r="D26" s="966" t="s">
        <v>271</v>
      </c>
      <c r="E26" s="806">
        <v>362984</v>
      </c>
      <c r="F26" s="806">
        <v>379059</v>
      </c>
      <c r="G26" s="806">
        <v>379059</v>
      </c>
      <c r="H26" s="371">
        <v>410302</v>
      </c>
    </row>
    <row r="27" spans="1:10" ht="33" customHeight="1" thickBot="1">
      <c r="A27" s="61">
        <v>20</v>
      </c>
      <c r="B27" s="1555" t="s">
        <v>158</v>
      </c>
      <c r="C27" s="1556"/>
      <c r="D27" s="1557"/>
      <c r="E27" s="480">
        <f>SUM(E14,E18,E25,E26)</f>
        <v>994135</v>
      </c>
      <c r="F27" s="480">
        <f>SUM(F14,F18,F25,F26)</f>
        <v>909894</v>
      </c>
      <c r="G27" s="480">
        <f>SUM(G14,G18,G25,G26)</f>
        <v>1095076</v>
      </c>
      <c r="H27" s="372">
        <f>SUM(H14,H18,H25,H26)</f>
        <v>1028612</v>
      </c>
      <c r="I27" s="48"/>
      <c r="J27" s="48"/>
    </row>
    <row r="28" spans="1:10" ht="33" customHeight="1" thickBot="1">
      <c r="A28" s="61">
        <v>21</v>
      </c>
      <c r="B28" s="373">
        <v>17</v>
      </c>
      <c r="C28" s="790"/>
      <c r="D28" s="790" t="s">
        <v>159</v>
      </c>
      <c r="E28" s="806">
        <v>4845</v>
      </c>
      <c r="F28" s="806"/>
      <c r="G28" s="806">
        <v>9648</v>
      </c>
      <c r="H28" s="371"/>
      <c r="I28" s="48"/>
      <c r="J28" s="48"/>
    </row>
    <row r="29" spans="1:10" ht="33" customHeight="1" thickBot="1" thickTop="1">
      <c r="A29" s="61">
        <v>22</v>
      </c>
      <c r="B29" s="1558" t="s">
        <v>13</v>
      </c>
      <c r="C29" s="1559"/>
      <c r="D29" s="1560"/>
      <c r="E29" s="807">
        <f>SUM(E27,E28)</f>
        <v>998980</v>
      </c>
      <c r="F29" s="807">
        <f>SUM(F27,F28)</f>
        <v>909894</v>
      </c>
      <c r="G29" s="807">
        <f>SUM(G27,G28)</f>
        <v>1104724</v>
      </c>
      <c r="H29" s="374">
        <f>SUM(H27,H28)</f>
        <v>1028612</v>
      </c>
      <c r="I29" s="48"/>
      <c r="J29" s="48"/>
    </row>
    <row r="30" spans="5:8" ht="12.75">
      <c r="E30" s="689">
        <f>+E29-'1.Onbe'!G30</f>
        <v>0</v>
      </c>
      <c r="F30" s="689">
        <f>+F29-'1.Onbe'!H30</f>
        <v>0</v>
      </c>
      <c r="G30" s="689">
        <f>+G29-'1.Onbe'!I30</f>
        <v>0</v>
      </c>
      <c r="H30" s="689">
        <f>+H29-'1.Onbe'!J30</f>
        <v>0</v>
      </c>
    </row>
  </sheetData>
  <sheetProtection/>
  <mergeCells count="12">
    <mergeCell ref="B27:D27"/>
    <mergeCell ref="B29:D29"/>
    <mergeCell ref="B1:D1"/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84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0"/>
  <sheetViews>
    <sheetView view="pageBreakPreview" zoomScale="85" zoomScaleSheetLayoutView="85" zoomScalePageLayoutView="0" workbookViewId="0" topLeftCell="A1">
      <selection activeCell="B1" sqref="B1:G1"/>
    </sheetView>
  </sheetViews>
  <sheetFormatPr defaultColWidth="9.125" defaultRowHeight="12.75"/>
  <cols>
    <col min="1" max="1" width="3.75390625" style="61" customWidth="1"/>
    <col min="2" max="2" width="5.625" style="62" customWidth="1"/>
    <col min="3" max="3" width="5.75390625" style="62" customWidth="1"/>
    <col min="4" max="4" width="4.75390625" style="62" customWidth="1"/>
    <col min="5" max="5" width="60.75390625" style="53" customWidth="1"/>
    <col min="6" max="6" width="6.75390625" style="298" customWidth="1"/>
    <col min="7" max="9" width="10.75390625" style="299" customWidth="1"/>
    <col min="10" max="10" width="13.75390625" style="157" customWidth="1"/>
    <col min="11" max="18" width="14.75390625" style="299" customWidth="1"/>
    <col min="19" max="19" width="9.625" style="299" bestFit="1" customWidth="1"/>
    <col min="20" max="31" width="9.125" style="299" customWidth="1"/>
    <col min="32" max="16384" width="9.125" style="300" customWidth="1"/>
  </cols>
  <sheetData>
    <row r="1" spans="1:31" s="802" customFormat="1" ht="18" customHeight="1">
      <c r="A1" s="61"/>
      <c r="B1" s="1561" t="s">
        <v>1008</v>
      </c>
      <c r="C1" s="1561"/>
      <c r="D1" s="1561"/>
      <c r="E1" s="1561"/>
      <c r="F1" s="1561"/>
      <c r="G1" s="1561"/>
      <c r="H1" s="496"/>
      <c r="I1" s="496"/>
      <c r="J1" s="497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</row>
    <row r="2" spans="1:31" s="802" customFormat="1" ht="24.75" customHeight="1">
      <c r="A2" s="61"/>
      <c r="B2" s="1552" t="s">
        <v>142</v>
      </c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</row>
    <row r="3" spans="1:31" s="802" customFormat="1" ht="24.75" customHeight="1">
      <c r="A3" s="61"/>
      <c r="B3" s="1552" t="s">
        <v>643</v>
      </c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</row>
    <row r="4" spans="17:18" ht="18" customHeight="1">
      <c r="Q4" s="1570" t="s">
        <v>0</v>
      </c>
      <c r="R4" s="1570"/>
    </row>
    <row r="5" spans="2:18" s="61" customFormat="1" ht="18" customHeight="1" thickBot="1">
      <c r="B5" s="61" t="s">
        <v>1</v>
      </c>
      <c r="C5" s="61" t="s">
        <v>3</v>
      </c>
      <c r="D5" s="1554" t="s">
        <v>2</v>
      </c>
      <c r="E5" s="1554"/>
      <c r="F5" s="61" t="s">
        <v>4</v>
      </c>
      <c r="G5" s="61" t="s">
        <v>5</v>
      </c>
      <c r="H5" s="61" t="s">
        <v>15</v>
      </c>
      <c r="I5" s="61" t="s">
        <v>16</v>
      </c>
      <c r="J5" s="61" t="s">
        <v>17</v>
      </c>
      <c r="K5" s="61" t="s">
        <v>36</v>
      </c>
      <c r="L5" s="61" t="s">
        <v>30</v>
      </c>
      <c r="M5" s="61" t="s">
        <v>23</v>
      </c>
      <c r="N5" s="61" t="s">
        <v>37</v>
      </c>
      <c r="O5" s="61" t="s">
        <v>38</v>
      </c>
      <c r="P5" s="61" t="s">
        <v>160</v>
      </c>
      <c r="Q5" s="61" t="s">
        <v>161</v>
      </c>
      <c r="R5" s="61" t="s">
        <v>162</v>
      </c>
    </row>
    <row r="6" spans="1:18" s="298" customFormat="1" ht="30" customHeight="1">
      <c r="A6" s="61"/>
      <c r="B6" s="1538" t="s">
        <v>18</v>
      </c>
      <c r="C6" s="1562" t="s">
        <v>19</v>
      </c>
      <c r="D6" s="1546" t="s">
        <v>6</v>
      </c>
      <c r="E6" s="1572"/>
      <c r="F6" s="1574" t="s">
        <v>20</v>
      </c>
      <c r="G6" s="1566" t="s">
        <v>644</v>
      </c>
      <c r="H6" s="1566" t="s">
        <v>640</v>
      </c>
      <c r="I6" s="1576" t="s">
        <v>641</v>
      </c>
      <c r="J6" s="1578" t="s">
        <v>646</v>
      </c>
      <c r="K6" s="1580" t="s">
        <v>39</v>
      </c>
      <c r="L6" s="1581"/>
      <c r="M6" s="1581"/>
      <c r="N6" s="1581"/>
      <c r="O6" s="1582"/>
      <c r="P6" s="1583" t="s">
        <v>163</v>
      </c>
      <c r="Q6" s="1583"/>
      <c r="R6" s="1583"/>
    </row>
    <row r="7" spans="1:18" s="298" customFormat="1" ht="60.75" customHeight="1" thickBot="1">
      <c r="A7" s="61"/>
      <c r="B7" s="1539"/>
      <c r="C7" s="1571"/>
      <c r="D7" s="1548"/>
      <c r="E7" s="1573"/>
      <c r="F7" s="1575"/>
      <c r="G7" s="1567"/>
      <c r="H7" s="1567"/>
      <c r="I7" s="1577"/>
      <c r="J7" s="1579"/>
      <c r="K7" s="1243" t="s">
        <v>40</v>
      </c>
      <c r="L7" s="1243" t="s">
        <v>41</v>
      </c>
      <c r="M7" s="1243" t="s">
        <v>42</v>
      </c>
      <c r="N7" s="1243" t="s">
        <v>223</v>
      </c>
      <c r="O7" s="1243" t="s">
        <v>43</v>
      </c>
      <c r="P7" s="64" t="s">
        <v>231</v>
      </c>
      <c r="Q7" s="1243" t="s">
        <v>232</v>
      </c>
      <c r="R7" s="1243" t="s">
        <v>164</v>
      </c>
    </row>
    <row r="8" spans="1:31" s="54" customFormat="1" ht="22.5" customHeight="1">
      <c r="A8" s="131">
        <v>1</v>
      </c>
      <c r="B8" s="352">
        <v>1</v>
      </c>
      <c r="C8" s="794"/>
      <c r="D8" s="377" t="s">
        <v>315</v>
      </c>
      <c r="E8" s="377"/>
      <c r="F8" s="501" t="s">
        <v>23</v>
      </c>
      <c r="G8" s="364">
        <v>206614</v>
      </c>
      <c r="H8" s="364">
        <v>209393</v>
      </c>
      <c r="I8" s="502">
        <v>218917</v>
      </c>
      <c r="J8" s="795"/>
      <c r="K8" s="364"/>
      <c r="L8" s="364"/>
      <c r="M8" s="364"/>
      <c r="N8" s="364"/>
      <c r="O8" s="364"/>
      <c r="P8" s="364"/>
      <c r="Q8" s="364"/>
      <c r="R8" s="389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s="54" customFormat="1" ht="18" customHeight="1">
      <c r="A9" s="131">
        <v>2</v>
      </c>
      <c r="B9" s="338"/>
      <c r="C9" s="792"/>
      <c r="D9" s="499" t="s">
        <v>349</v>
      </c>
      <c r="E9" s="499"/>
      <c r="F9" s="122"/>
      <c r="G9" s="122"/>
      <c r="H9" s="122"/>
      <c r="I9" s="383"/>
      <c r="J9" s="386"/>
      <c r="K9" s="122"/>
      <c r="L9" s="122"/>
      <c r="M9" s="122"/>
      <c r="N9" s="122"/>
      <c r="O9" s="122"/>
      <c r="P9" s="122"/>
      <c r="Q9" s="122"/>
      <c r="R9" s="13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s="974" customFormat="1" ht="18" customHeight="1">
      <c r="A10" s="131">
        <v>3</v>
      </c>
      <c r="B10" s="905"/>
      <c r="C10" s="967"/>
      <c r="D10" s="967"/>
      <c r="E10" s="968" t="s">
        <v>312</v>
      </c>
      <c r="F10" s="934"/>
      <c r="G10" s="934"/>
      <c r="H10" s="934"/>
      <c r="I10" s="969"/>
      <c r="J10" s="970">
        <f>SUM(K10:R10)</f>
        <v>213625</v>
      </c>
      <c r="K10" s="971">
        <v>134372</v>
      </c>
      <c r="L10" s="971">
        <v>26600</v>
      </c>
      <c r="M10" s="971">
        <v>51943</v>
      </c>
      <c r="N10" s="971"/>
      <c r="O10" s="971"/>
      <c r="P10" s="971">
        <v>710</v>
      </c>
      <c r="Q10" s="971"/>
      <c r="R10" s="972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</row>
    <row r="11" spans="1:31" s="58" customFormat="1" ht="22.5" customHeight="1">
      <c r="A11" s="131">
        <v>4</v>
      </c>
      <c r="B11" s="338">
        <v>2</v>
      </c>
      <c r="C11" s="792"/>
      <c r="D11" s="375" t="s">
        <v>314</v>
      </c>
      <c r="E11" s="375"/>
      <c r="F11" s="500" t="s">
        <v>23</v>
      </c>
      <c r="G11" s="122">
        <v>351654</v>
      </c>
      <c r="H11" s="122">
        <v>356328</v>
      </c>
      <c r="I11" s="383">
        <v>389240</v>
      </c>
      <c r="J11" s="386"/>
      <c r="K11" s="122"/>
      <c r="L11" s="122"/>
      <c r="M11" s="122"/>
      <c r="N11" s="122"/>
      <c r="O11" s="122"/>
      <c r="P11" s="122"/>
      <c r="Q11" s="122"/>
      <c r="R11" s="136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</row>
    <row r="12" spans="1:31" s="54" customFormat="1" ht="18" customHeight="1">
      <c r="A12" s="131">
        <v>5</v>
      </c>
      <c r="B12" s="338"/>
      <c r="C12" s="792"/>
      <c r="D12" s="499" t="s">
        <v>313</v>
      </c>
      <c r="E12" s="499"/>
      <c r="F12" s="122"/>
      <c r="G12" s="122"/>
      <c r="H12" s="122"/>
      <c r="I12" s="383"/>
      <c r="J12" s="386"/>
      <c r="K12" s="122"/>
      <c r="L12" s="122"/>
      <c r="M12" s="122"/>
      <c r="N12" s="122"/>
      <c r="O12" s="122"/>
      <c r="P12" s="122"/>
      <c r="Q12" s="122"/>
      <c r="R12" s="13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s="976" customFormat="1" ht="18" customHeight="1">
      <c r="A13" s="131">
        <v>6</v>
      </c>
      <c r="B13" s="905"/>
      <c r="C13" s="967"/>
      <c r="D13" s="967"/>
      <c r="E13" s="968" t="s">
        <v>312</v>
      </c>
      <c r="F13" s="934"/>
      <c r="G13" s="934"/>
      <c r="H13" s="934"/>
      <c r="I13" s="969"/>
      <c r="J13" s="970">
        <f>SUM(K13:R13)</f>
        <v>367090</v>
      </c>
      <c r="K13" s="971">
        <v>241291</v>
      </c>
      <c r="L13" s="971">
        <v>48109</v>
      </c>
      <c r="M13" s="971">
        <v>76990</v>
      </c>
      <c r="N13" s="971"/>
      <c r="O13" s="971"/>
      <c r="P13" s="971">
        <v>700</v>
      </c>
      <c r="Q13" s="971"/>
      <c r="R13" s="972"/>
      <c r="S13" s="975"/>
      <c r="T13" s="975"/>
      <c r="U13" s="975"/>
      <c r="V13" s="975"/>
      <c r="W13" s="975"/>
      <c r="X13" s="975"/>
      <c r="Y13" s="975"/>
      <c r="Z13" s="975"/>
      <c r="AA13" s="975"/>
      <c r="AB13" s="975"/>
      <c r="AC13" s="975"/>
      <c r="AD13" s="975"/>
      <c r="AE13" s="975"/>
    </row>
    <row r="14" spans="1:31" s="54" customFormat="1" ht="22.5" customHeight="1">
      <c r="A14" s="131">
        <v>7</v>
      </c>
      <c r="B14" s="338">
        <v>3</v>
      </c>
      <c r="C14" s="792"/>
      <c r="D14" s="375" t="s">
        <v>267</v>
      </c>
      <c r="E14" s="375"/>
      <c r="F14" s="500" t="s">
        <v>23</v>
      </c>
      <c r="G14" s="122">
        <v>431588</v>
      </c>
      <c r="H14" s="122">
        <v>425240</v>
      </c>
      <c r="I14" s="383">
        <v>448452</v>
      </c>
      <c r="J14" s="386"/>
      <c r="K14" s="122"/>
      <c r="L14" s="122"/>
      <c r="M14" s="122"/>
      <c r="N14" s="122"/>
      <c r="O14" s="122"/>
      <c r="P14" s="122"/>
      <c r="Q14" s="122"/>
      <c r="R14" s="13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s="51" customFormat="1" ht="18" customHeight="1">
      <c r="A15" s="131">
        <v>8</v>
      </c>
      <c r="B15" s="338"/>
      <c r="C15" s="792"/>
      <c r="D15" s="499" t="s">
        <v>153</v>
      </c>
      <c r="E15" s="499"/>
      <c r="F15" s="122"/>
      <c r="G15" s="122"/>
      <c r="H15" s="122"/>
      <c r="I15" s="383"/>
      <c r="J15" s="386"/>
      <c r="K15" s="122"/>
      <c r="L15" s="122"/>
      <c r="M15" s="122"/>
      <c r="N15" s="122"/>
      <c r="O15" s="122"/>
      <c r="P15" s="122"/>
      <c r="Q15" s="122"/>
      <c r="R15" s="136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s="974" customFormat="1" ht="18" customHeight="1">
      <c r="A16" s="131">
        <v>9</v>
      </c>
      <c r="B16" s="905"/>
      <c r="C16" s="967"/>
      <c r="D16" s="967"/>
      <c r="E16" s="968" t="s">
        <v>312</v>
      </c>
      <c r="F16" s="934"/>
      <c r="G16" s="934"/>
      <c r="H16" s="934"/>
      <c r="I16" s="969"/>
      <c r="J16" s="970">
        <f>SUM(K16:R16)</f>
        <v>428960</v>
      </c>
      <c r="K16" s="971">
        <v>291221</v>
      </c>
      <c r="L16" s="971">
        <v>57361</v>
      </c>
      <c r="M16" s="971">
        <v>80378</v>
      </c>
      <c r="N16" s="971"/>
      <c r="O16" s="971"/>
      <c r="P16" s="971"/>
      <c r="Q16" s="971"/>
      <c r="R16" s="972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</row>
    <row r="17" spans="1:31" s="54" customFormat="1" ht="22.5" customHeight="1">
      <c r="A17" s="131">
        <v>10</v>
      </c>
      <c r="B17" s="338">
        <v>4</v>
      </c>
      <c r="C17" s="792"/>
      <c r="D17" s="375" t="s">
        <v>268</v>
      </c>
      <c r="E17" s="375"/>
      <c r="F17" s="500" t="s">
        <v>23</v>
      </c>
      <c r="G17" s="122">
        <v>302390</v>
      </c>
      <c r="H17" s="122">
        <v>310528</v>
      </c>
      <c r="I17" s="383">
        <v>338241</v>
      </c>
      <c r="J17" s="386"/>
      <c r="K17" s="122"/>
      <c r="L17" s="122"/>
      <c r="M17" s="122"/>
      <c r="N17" s="122"/>
      <c r="O17" s="122"/>
      <c r="P17" s="122"/>
      <c r="Q17" s="122"/>
      <c r="R17" s="13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s="54" customFormat="1" ht="18" customHeight="1">
      <c r="A18" s="131">
        <v>11</v>
      </c>
      <c r="B18" s="338"/>
      <c r="C18" s="792"/>
      <c r="D18" s="499" t="s">
        <v>154</v>
      </c>
      <c r="E18" s="499"/>
      <c r="F18" s="122"/>
      <c r="G18" s="122"/>
      <c r="H18" s="122"/>
      <c r="I18" s="383"/>
      <c r="J18" s="386"/>
      <c r="K18" s="122"/>
      <c r="L18" s="122"/>
      <c r="M18" s="122"/>
      <c r="N18" s="122"/>
      <c r="O18" s="122"/>
      <c r="P18" s="122"/>
      <c r="Q18" s="122"/>
      <c r="R18" s="13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s="974" customFormat="1" ht="18" customHeight="1">
      <c r="A19" s="131">
        <v>12</v>
      </c>
      <c r="B19" s="905"/>
      <c r="C19" s="967"/>
      <c r="D19" s="967"/>
      <c r="E19" s="968" t="s">
        <v>312</v>
      </c>
      <c r="F19" s="934"/>
      <c r="G19" s="934"/>
      <c r="H19" s="934"/>
      <c r="I19" s="969"/>
      <c r="J19" s="970">
        <f>SUM(K19:R19)</f>
        <v>319512</v>
      </c>
      <c r="K19" s="971">
        <v>213322</v>
      </c>
      <c r="L19" s="971">
        <v>42437</v>
      </c>
      <c r="M19" s="971">
        <v>63753</v>
      </c>
      <c r="N19" s="971"/>
      <c r="O19" s="971"/>
      <c r="P19" s="971"/>
      <c r="Q19" s="971"/>
      <c r="R19" s="972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</row>
    <row r="20" spans="1:31" s="58" customFormat="1" ht="22.5" customHeight="1">
      <c r="A20" s="131">
        <v>13</v>
      </c>
      <c r="B20" s="338">
        <v>5</v>
      </c>
      <c r="C20" s="792"/>
      <c r="D20" s="375" t="s">
        <v>269</v>
      </c>
      <c r="E20" s="375"/>
      <c r="F20" s="500" t="s">
        <v>23</v>
      </c>
      <c r="G20" s="122">
        <v>336173</v>
      </c>
      <c r="H20" s="122">
        <v>339061</v>
      </c>
      <c r="I20" s="383">
        <v>362044</v>
      </c>
      <c r="J20" s="386"/>
      <c r="K20" s="122"/>
      <c r="L20" s="122"/>
      <c r="M20" s="122"/>
      <c r="N20" s="378"/>
      <c r="O20" s="378"/>
      <c r="P20" s="378"/>
      <c r="Q20" s="378"/>
      <c r="R20" s="379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</row>
    <row r="21" spans="1:31" s="54" customFormat="1" ht="18" customHeight="1">
      <c r="A21" s="131">
        <v>14</v>
      </c>
      <c r="B21" s="338"/>
      <c r="C21" s="792"/>
      <c r="D21" s="499" t="s">
        <v>155</v>
      </c>
      <c r="E21" s="499"/>
      <c r="F21" s="122"/>
      <c r="G21" s="122"/>
      <c r="H21" s="122"/>
      <c r="I21" s="383"/>
      <c r="J21" s="386"/>
      <c r="K21" s="122"/>
      <c r="L21" s="122"/>
      <c r="M21" s="122"/>
      <c r="N21" s="378"/>
      <c r="O21" s="378"/>
      <c r="P21" s="378"/>
      <c r="Q21" s="378"/>
      <c r="R21" s="379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s="976" customFormat="1" ht="18" customHeight="1">
      <c r="A22" s="131">
        <v>15</v>
      </c>
      <c r="B22" s="905"/>
      <c r="C22" s="967"/>
      <c r="D22" s="967"/>
      <c r="E22" s="968" t="s">
        <v>312</v>
      </c>
      <c r="F22" s="934"/>
      <c r="G22" s="934"/>
      <c r="H22" s="934"/>
      <c r="I22" s="969"/>
      <c r="J22" s="970">
        <f>SUM(K22:R22)</f>
        <v>341538</v>
      </c>
      <c r="K22" s="971">
        <v>213361</v>
      </c>
      <c r="L22" s="971">
        <v>42331</v>
      </c>
      <c r="M22" s="971">
        <v>85846</v>
      </c>
      <c r="N22" s="971"/>
      <c r="O22" s="971"/>
      <c r="P22" s="971"/>
      <c r="Q22" s="971"/>
      <c r="R22" s="972"/>
      <c r="S22" s="975"/>
      <c r="T22" s="975"/>
      <c r="U22" s="975"/>
      <c r="V22" s="975"/>
      <c r="W22" s="975"/>
      <c r="X22" s="975"/>
      <c r="Y22" s="975"/>
      <c r="Z22" s="975"/>
      <c r="AA22" s="975"/>
      <c r="AB22" s="975"/>
      <c r="AC22" s="975"/>
      <c r="AD22" s="975"/>
      <c r="AE22" s="975"/>
    </row>
    <row r="23" spans="1:31" s="55" customFormat="1" ht="22.5" customHeight="1">
      <c r="A23" s="131">
        <v>16</v>
      </c>
      <c r="B23" s="338">
        <v>6</v>
      </c>
      <c r="C23" s="792"/>
      <c r="D23" s="375" t="s">
        <v>270</v>
      </c>
      <c r="E23" s="375"/>
      <c r="F23" s="500" t="s">
        <v>23</v>
      </c>
      <c r="G23" s="122">
        <v>156041</v>
      </c>
      <c r="H23" s="122">
        <v>165684</v>
      </c>
      <c r="I23" s="383">
        <v>183463</v>
      </c>
      <c r="J23" s="386"/>
      <c r="K23" s="122"/>
      <c r="L23" s="122"/>
      <c r="M23" s="122"/>
      <c r="N23" s="378"/>
      <c r="O23" s="378"/>
      <c r="P23" s="378"/>
      <c r="Q23" s="378"/>
      <c r="R23" s="379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58" customFormat="1" ht="18" customHeight="1">
      <c r="A24" s="131">
        <v>17</v>
      </c>
      <c r="B24" s="338"/>
      <c r="C24" s="792"/>
      <c r="D24" s="499" t="s">
        <v>156</v>
      </c>
      <c r="E24" s="499"/>
      <c r="F24" s="122"/>
      <c r="G24" s="122"/>
      <c r="H24" s="122"/>
      <c r="I24" s="383"/>
      <c r="J24" s="386"/>
      <c r="K24" s="122"/>
      <c r="L24" s="122"/>
      <c r="M24" s="122"/>
      <c r="N24" s="378"/>
      <c r="O24" s="378"/>
      <c r="P24" s="378"/>
      <c r="Q24" s="378"/>
      <c r="R24" s="379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</row>
    <row r="25" spans="1:31" s="976" customFormat="1" ht="18" customHeight="1">
      <c r="A25" s="131">
        <v>18</v>
      </c>
      <c r="B25" s="905"/>
      <c r="C25" s="967"/>
      <c r="D25" s="967"/>
      <c r="E25" s="968" t="s">
        <v>312</v>
      </c>
      <c r="F25" s="934"/>
      <c r="G25" s="934"/>
      <c r="H25" s="934"/>
      <c r="I25" s="969"/>
      <c r="J25" s="970">
        <f>SUM(K25:R25)</f>
        <v>172406</v>
      </c>
      <c r="K25" s="971">
        <v>113388</v>
      </c>
      <c r="L25" s="971">
        <v>22885</v>
      </c>
      <c r="M25" s="971">
        <v>36133</v>
      </c>
      <c r="N25" s="971"/>
      <c r="O25" s="971"/>
      <c r="P25" s="971"/>
      <c r="Q25" s="971"/>
      <c r="R25" s="972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</row>
    <row r="26" spans="1:31" s="55" customFormat="1" ht="18" customHeight="1">
      <c r="A26" s="131">
        <v>19</v>
      </c>
      <c r="B26" s="342"/>
      <c r="C26" s="792">
        <v>1</v>
      </c>
      <c r="D26" s="1542" t="s">
        <v>152</v>
      </c>
      <c r="E26" s="1543"/>
      <c r="F26" s="500"/>
      <c r="G26" s="122">
        <v>1006</v>
      </c>
      <c r="H26" s="122">
        <v>2245</v>
      </c>
      <c r="I26" s="383">
        <v>2335</v>
      </c>
      <c r="J26" s="385"/>
      <c r="K26" s="382"/>
      <c r="L26" s="382"/>
      <c r="M26" s="380"/>
      <c r="N26" s="380"/>
      <c r="O26" s="380"/>
      <c r="P26" s="380"/>
      <c r="Q26" s="380"/>
      <c r="R26" s="381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974" customFormat="1" ht="18" customHeight="1" thickBot="1">
      <c r="A27" s="131">
        <v>20</v>
      </c>
      <c r="B27" s="958"/>
      <c r="C27" s="977"/>
      <c r="D27" s="977"/>
      <c r="E27" s="960" t="s">
        <v>312</v>
      </c>
      <c r="F27" s="942"/>
      <c r="G27" s="942"/>
      <c r="H27" s="942"/>
      <c r="I27" s="978"/>
      <c r="J27" s="979">
        <f>SUM(K27:R27)</f>
        <v>2225</v>
      </c>
      <c r="K27" s="980">
        <v>1957</v>
      </c>
      <c r="L27" s="980">
        <v>171</v>
      </c>
      <c r="M27" s="980">
        <v>97</v>
      </c>
      <c r="N27" s="980"/>
      <c r="O27" s="980"/>
      <c r="P27" s="980"/>
      <c r="Q27" s="980"/>
      <c r="R27" s="981"/>
      <c r="S27" s="973"/>
      <c r="T27" s="973"/>
      <c r="U27" s="973"/>
      <c r="V27" s="973"/>
      <c r="W27" s="973"/>
      <c r="X27" s="973"/>
      <c r="Y27" s="973"/>
      <c r="Z27" s="973"/>
      <c r="AA27" s="973"/>
      <c r="AB27" s="973"/>
      <c r="AC27" s="973"/>
      <c r="AD27" s="973"/>
      <c r="AE27" s="973"/>
    </row>
    <row r="28" spans="1:31" s="59" customFormat="1" ht="22.5" customHeight="1" thickTop="1">
      <c r="A28" s="131">
        <v>21</v>
      </c>
      <c r="B28" s="387"/>
      <c r="C28" s="1527" t="s">
        <v>673</v>
      </c>
      <c r="D28" s="1528"/>
      <c r="E28" s="1529"/>
      <c r="F28" s="827"/>
      <c r="G28" s="827">
        <f>SUM(G8:G27)</f>
        <v>1785466</v>
      </c>
      <c r="H28" s="827">
        <f>SUM(H8:H27)</f>
        <v>1808479</v>
      </c>
      <c r="I28" s="829">
        <f>SUM(I8:I27)</f>
        <v>1942692</v>
      </c>
      <c r="J28" s="830"/>
      <c r="K28" s="827"/>
      <c r="L28" s="827"/>
      <c r="M28" s="827"/>
      <c r="N28" s="827"/>
      <c r="O28" s="827"/>
      <c r="P28" s="827"/>
      <c r="Q28" s="827"/>
      <c r="R28" s="82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</row>
    <row r="29" spans="1:31" s="974" customFormat="1" ht="18" customHeight="1" thickBot="1">
      <c r="A29" s="131">
        <v>22</v>
      </c>
      <c r="B29" s="958"/>
      <c r="C29" s="982"/>
      <c r="D29" s="983"/>
      <c r="E29" s="984" t="s">
        <v>312</v>
      </c>
      <c r="F29" s="945"/>
      <c r="G29" s="945"/>
      <c r="H29" s="945"/>
      <c r="I29" s="985"/>
      <c r="J29" s="986">
        <f>SUM(K29:R29)</f>
        <v>1845356</v>
      </c>
      <c r="K29" s="987">
        <f>SUM(K10,K13,K16,K19,K22,K25,K27)</f>
        <v>1208912</v>
      </c>
      <c r="L29" s="987">
        <f aca="true" t="shared" si="0" ref="L29:R29">SUM(L10,L13,L16,L19,L22,L25,L27)</f>
        <v>239894</v>
      </c>
      <c r="M29" s="987">
        <f t="shared" si="0"/>
        <v>395140</v>
      </c>
      <c r="N29" s="987">
        <f t="shared" si="0"/>
        <v>0</v>
      </c>
      <c r="O29" s="987">
        <f t="shared" si="0"/>
        <v>0</v>
      </c>
      <c r="P29" s="987">
        <f t="shared" si="0"/>
        <v>1410</v>
      </c>
      <c r="Q29" s="987">
        <f t="shared" si="0"/>
        <v>0</v>
      </c>
      <c r="R29" s="988">
        <f t="shared" si="0"/>
        <v>0</v>
      </c>
      <c r="S29" s="973">
        <f>+'[1]4.Inbe'!O29-'4.Inki'!J29</f>
        <v>0</v>
      </c>
      <c r="T29" s="973"/>
      <c r="U29" s="973"/>
      <c r="V29" s="973"/>
      <c r="W29" s="973"/>
      <c r="X29" s="973"/>
      <c r="Y29" s="973"/>
      <c r="Z29" s="973"/>
      <c r="AA29" s="973"/>
      <c r="AB29" s="973"/>
      <c r="AC29" s="973"/>
      <c r="AD29" s="973"/>
      <c r="AE29" s="973"/>
    </row>
    <row r="30" spans="1:31" s="55" customFormat="1" ht="22.5" customHeight="1" thickTop="1">
      <c r="A30" s="131">
        <v>23</v>
      </c>
      <c r="B30" s="352">
        <v>7</v>
      </c>
      <c r="C30" s="794"/>
      <c r="D30" s="377" t="s">
        <v>391</v>
      </c>
      <c r="E30" s="376"/>
      <c r="F30" s="501" t="s">
        <v>23</v>
      </c>
      <c r="G30" s="364">
        <v>902499</v>
      </c>
      <c r="H30" s="364">
        <v>882986</v>
      </c>
      <c r="I30" s="502">
        <v>994405</v>
      </c>
      <c r="J30" s="482"/>
      <c r="K30" s="364"/>
      <c r="L30" s="364"/>
      <c r="M30" s="364"/>
      <c r="N30" s="364"/>
      <c r="O30" s="364"/>
      <c r="P30" s="364"/>
      <c r="Q30" s="364"/>
      <c r="R30" s="389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974" customFormat="1" ht="18" customHeight="1">
      <c r="A31" s="131">
        <v>24</v>
      </c>
      <c r="B31" s="905"/>
      <c r="C31" s="967"/>
      <c r="D31" s="967"/>
      <c r="E31" s="968" t="s">
        <v>312</v>
      </c>
      <c r="F31" s="934"/>
      <c r="G31" s="934"/>
      <c r="H31" s="934"/>
      <c r="I31" s="969"/>
      <c r="J31" s="970">
        <f>SUM(K31:R31)</f>
        <v>996977</v>
      </c>
      <c r="K31" s="971">
        <v>713799</v>
      </c>
      <c r="L31" s="971">
        <v>141390</v>
      </c>
      <c r="M31" s="971">
        <v>140158</v>
      </c>
      <c r="N31" s="971"/>
      <c r="O31" s="971"/>
      <c r="P31" s="971">
        <v>1630</v>
      </c>
      <c r="Q31" s="971"/>
      <c r="R31" s="972"/>
      <c r="S31" s="973"/>
      <c r="T31" s="973"/>
      <c r="U31" s="973"/>
      <c r="V31" s="973"/>
      <c r="W31" s="973"/>
      <c r="X31" s="973"/>
      <c r="Y31" s="973"/>
      <c r="Z31" s="973"/>
      <c r="AA31" s="973"/>
      <c r="AB31" s="973"/>
      <c r="AC31" s="973"/>
      <c r="AD31" s="973"/>
      <c r="AE31" s="973"/>
    </row>
    <row r="32" spans="1:31" s="58" customFormat="1" ht="18" customHeight="1">
      <c r="A32" s="131">
        <v>25</v>
      </c>
      <c r="B32" s="342"/>
      <c r="C32" s="792">
        <v>1</v>
      </c>
      <c r="D32" s="1232" t="s">
        <v>535</v>
      </c>
      <c r="E32" s="1232"/>
      <c r="F32" s="503"/>
      <c r="G32" s="122">
        <v>4233</v>
      </c>
      <c r="H32" s="122">
        <v>10080</v>
      </c>
      <c r="I32" s="383">
        <v>10080</v>
      </c>
      <c r="J32" s="394"/>
      <c r="K32" s="378"/>
      <c r="L32" s="378"/>
      <c r="M32" s="378"/>
      <c r="N32" s="390"/>
      <c r="O32" s="390"/>
      <c r="P32" s="390"/>
      <c r="Q32" s="390"/>
      <c r="R32" s="39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</row>
    <row r="33" spans="1:31" s="58" customFormat="1" ht="22.5" customHeight="1">
      <c r="A33" s="131">
        <v>26</v>
      </c>
      <c r="B33" s="338">
        <v>8</v>
      </c>
      <c r="C33" s="792"/>
      <c r="D33" s="375" t="s">
        <v>125</v>
      </c>
      <c r="E33" s="375"/>
      <c r="F33" s="500" t="s">
        <v>23</v>
      </c>
      <c r="G33" s="122">
        <v>82024</v>
      </c>
      <c r="H33" s="122">
        <v>66825</v>
      </c>
      <c r="I33" s="383">
        <v>102234</v>
      </c>
      <c r="J33" s="394"/>
      <c r="K33" s="122"/>
      <c r="L33" s="122"/>
      <c r="M33" s="122"/>
      <c r="N33" s="122"/>
      <c r="O33" s="122"/>
      <c r="P33" s="122"/>
      <c r="Q33" s="122"/>
      <c r="R33" s="136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</row>
    <row r="34" spans="1:31" s="915" customFormat="1" ht="18" customHeight="1">
      <c r="A34" s="131">
        <v>27</v>
      </c>
      <c r="B34" s="905"/>
      <c r="C34" s="967"/>
      <c r="D34" s="967"/>
      <c r="E34" s="968" t="s">
        <v>312</v>
      </c>
      <c r="F34" s="934"/>
      <c r="G34" s="934"/>
      <c r="H34" s="934"/>
      <c r="I34" s="969"/>
      <c r="J34" s="970">
        <f>SUM(K34:R34)</f>
        <v>69250</v>
      </c>
      <c r="K34" s="971">
        <v>40442</v>
      </c>
      <c r="L34" s="971">
        <v>7151</v>
      </c>
      <c r="M34" s="971">
        <v>21657</v>
      </c>
      <c r="N34" s="971"/>
      <c r="O34" s="971"/>
      <c r="P34" s="971"/>
      <c r="Q34" s="971"/>
      <c r="R34" s="972"/>
      <c r="S34" s="991"/>
      <c r="T34" s="991"/>
      <c r="U34" s="991"/>
      <c r="V34" s="991"/>
      <c r="W34" s="991"/>
      <c r="X34" s="991"/>
      <c r="Y34" s="991"/>
      <c r="Z34" s="991"/>
      <c r="AA34" s="991"/>
      <c r="AB34" s="991"/>
      <c r="AC34" s="991"/>
      <c r="AD34" s="991"/>
      <c r="AE34" s="991"/>
    </row>
    <row r="35" spans="1:31" s="58" customFormat="1" ht="18" customHeight="1">
      <c r="A35" s="131">
        <v>28</v>
      </c>
      <c r="B35" s="342"/>
      <c r="C35" s="793">
        <v>1</v>
      </c>
      <c r="D35" s="1232" t="s">
        <v>152</v>
      </c>
      <c r="E35" s="1232"/>
      <c r="F35" s="503"/>
      <c r="G35" s="122">
        <v>89</v>
      </c>
      <c r="H35" s="122">
        <v>269</v>
      </c>
      <c r="I35" s="383"/>
      <c r="J35" s="394"/>
      <c r="K35" s="378"/>
      <c r="L35" s="378"/>
      <c r="M35" s="378"/>
      <c r="N35" s="390"/>
      <c r="O35" s="390"/>
      <c r="P35" s="390"/>
      <c r="Q35" s="390"/>
      <c r="R35" s="39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</row>
    <row r="36" spans="1:31" s="58" customFormat="1" ht="22.5" customHeight="1">
      <c r="A36" s="131">
        <v>29</v>
      </c>
      <c r="B36" s="338">
        <v>9</v>
      </c>
      <c r="C36" s="792"/>
      <c r="D36" s="375" t="s">
        <v>551</v>
      </c>
      <c r="E36" s="375"/>
      <c r="F36" s="500" t="s">
        <v>23</v>
      </c>
      <c r="G36" s="122"/>
      <c r="H36" s="122">
        <v>236700</v>
      </c>
      <c r="I36" s="383">
        <v>303282</v>
      </c>
      <c r="J36" s="394"/>
      <c r="K36" s="122"/>
      <c r="L36" s="122"/>
      <c r="M36" s="122"/>
      <c r="N36" s="122"/>
      <c r="O36" s="122"/>
      <c r="P36" s="122"/>
      <c r="Q36" s="122"/>
      <c r="R36" s="136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</row>
    <row r="37" spans="1:31" s="915" customFormat="1" ht="18" customHeight="1">
      <c r="A37" s="131">
        <v>30</v>
      </c>
      <c r="B37" s="905"/>
      <c r="C37" s="977"/>
      <c r="D37" s="977"/>
      <c r="E37" s="959" t="s">
        <v>312</v>
      </c>
      <c r="F37" s="942"/>
      <c r="G37" s="942"/>
      <c r="H37" s="942"/>
      <c r="I37" s="978"/>
      <c r="J37" s="979">
        <f>SUM(K37:R37)</f>
        <v>243642</v>
      </c>
      <c r="K37" s="980">
        <v>176682</v>
      </c>
      <c r="L37" s="980">
        <v>35737</v>
      </c>
      <c r="M37" s="980">
        <v>30073</v>
      </c>
      <c r="N37" s="980"/>
      <c r="O37" s="980"/>
      <c r="P37" s="980">
        <v>1150</v>
      </c>
      <c r="Q37" s="980"/>
      <c r="R37" s="981"/>
      <c r="S37" s="991"/>
      <c r="T37" s="991"/>
      <c r="U37" s="991"/>
      <c r="V37" s="991"/>
      <c r="W37" s="991"/>
      <c r="X37" s="991"/>
      <c r="Y37" s="991"/>
      <c r="Z37" s="991"/>
      <c r="AA37" s="991"/>
      <c r="AB37" s="991"/>
      <c r="AC37" s="991"/>
      <c r="AD37" s="991"/>
      <c r="AE37" s="991"/>
    </row>
    <row r="38" spans="1:31" s="58" customFormat="1" ht="18" customHeight="1" thickBot="1">
      <c r="A38" s="131">
        <v>31</v>
      </c>
      <c r="B38" s="342"/>
      <c r="C38" s="793">
        <v>1</v>
      </c>
      <c r="D38" s="1232" t="s">
        <v>152</v>
      </c>
      <c r="E38" s="1232"/>
      <c r="F38" s="503"/>
      <c r="G38" s="122"/>
      <c r="H38" s="122"/>
      <c r="I38" s="383">
        <v>269</v>
      </c>
      <c r="J38" s="394"/>
      <c r="K38" s="378"/>
      <c r="L38" s="378"/>
      <c r="M38" s="378"/>
      <c r="N38" s="390"/>
      <c r="O38" s="390"/>
      <c r="P38" s="390"/>
      <c r="Q38" s="390"/>
      <c r="R38" s="39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</row>
    <row r="39" spans="1:31" s="206" customFormat="1" ht="22.5" customHeight="1" thickTop="1">
      <c r="A39" s="131">
        <v>32</v>
      </c>
      <c r="B39" s="387"/>
      <c r="C39" s="1527" t="s">
        <v>674</v>
      </c>
      <c r="D39" s="1528"/>
      <c r="E39" s="1529"/>
      <c r="F39" s="831"/>
      <c r="G39" s="827">
        <f>SUM(G30:G38)</f>
        <v>988845</v>
      </c>
      <c r="H39" s="827">
        <f>SUM(H30:H38)</f>
        <v>1196860</v>
      </c>
      <c r="I39" s="829">
        <f>SUM(I30:I38)</f>
        <v>1410270</v>
      </c>
      <c r="J39" s="830"/>
      <c r="K39" s="832"/>
      <c r="L39" s="832"/>
      <c r="M39" s="832"/>
      <c r="N39" s="832"/>
      <c r="O39" s="832"/>
      <c r="P39" s="832"/>
      <c r="Q39" s="832"/>
      <c r="R39" s="833"/>
      <c r="S39" s="388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</row>
    <row r="40" spans="1:31" s="915" customFormat="1" ht="18" customHeight="1" thickBot="1">
      <c r="A40" s="131">
        <v>33</v>
      </c>
      <c r="B40" s="905"/>
      <c r="C40" s="982"/>
      <c r="D40" s="983"/>
      <c r="E40" s="992" t="s">
        <v>312</v>
      </c>
      <c r="F40" s="945"/>
      <c r="G40" s="945"/>
      <c r="H40" s="945"/>
      <c r="I40" s="985"/>
      <c r="J40" s="986">
        <f>SUM(K40:R40)</f>
        <v>1309869</v>
      </c>
      <c r="K40" s="987">
        <f>SUM(K31,K34,K37)</f>
        <v>930923</v>
      </c>
      <c r="L40" s="987">
        <f aca="true" t="shared" si="1" ref="L40:R40">SUM(L31,L34,L37)</f>
        <v>184278</v>
      </c>
      <c r="M40" s="987">
        <f t="shared" si="1"/>
        <v>191888</v>
      </c>
      <c r="N40" s="987">
        <f t="shared" si="1"/>
        <v>0</v>
      </c>
      <c r="O40" s="987">
        <f t="shared" si="1"/>
        <v>0</v>
      </c>
      <c r="P40" s="987">
        <f t="shared" si="1"/>
        <v>2780</v>
      </c>
      <c r="Q40" s="987">
        <f t="shared" si="1"/>
        <v>0</v>
      </c>
      <c r="R40" s="988">
        <f t="shared" si="1"/>
        <v>0</v>
      </c>
      <c r="S40" s="991">
        <f>+'[1]4.Inbe'!O37-'4.Inki'!J40</f>
        <v>0</v>
      </c>
      <c r="T40" s="991"/>
      <c r="U40" s="991"/>
      <c r="V40" s="991"/>
      <c r="W40" s="991"/>
      <c r="X40" s="991"/>
      <c r="Y40" s="991"/>
      <c r="Z40" s="991"/>
      <c r="AA40" s="991"/>
      <c r="AB40" s="991"/>
      <c r="AC40" s="991"/>
      <c r="AD40" s="991"/>
      <c r="AE40" s="991"/>
    </row>
    <row r="41" spans="1:31" s="48" customFormat="1" ht="22.5" customHeight="1" thickTop="1">
      <c r="A41" s="131">
        <v>34</v>
      </c>
      <c r="B41" s="352">
        <v>10</v>
      </c>
      <c r="C41" s="794"/>
      <c r="D41" s="377" t="s">
        <v>553</v>
      </c>
      <c r="E41" s="376"/>
      <c r="F41" s="501" t="s">
        <v>23</v>
      </c>
      <c r="G41" s="364">
        <v>246321</v>
      </c>
      <c r="H41" s="364">
        <v>214545</v>
      </c>
      <c r="I41" s="502">
        <v>284102</v>
      </c>
      <c r="J41" s="482"/>
      <c r="K41" s="364"/>
      <c r="L41" s="364"/>
      <c r="M41" s="364"/>
      <c r="N41" s="364"/>
      <c r="O41" s="364"/>
      <c r="P41" s="364"/>
      <c r="Q41" s="364"/>
      <c r="R41" s="389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</row>
    <row r="42" spans="1:31" s="915" customFormat="1" ht="18" customHeight="1">
      <c r="A42" s="131">
        <v>35</v>
      </c>
      <c r="B42" s="905"/>
      <c r="C42" s="967"/>
      <c r="D42" s="967"/>
      <c r="E42" s="968" t="s">
        <v>312</v>
      </c>
      <c r="F42" s="934"/>
      <c r="G42" s="934"/>
      <c r="H42" s="934"/>
      <c r="I42" s="969"/>
      <c r="J42" s="970">
        <f>SUM(K42:R42)</f>
        <v>213129</v>
      </c>
      <c r="K42" s="971">
        <f>82250-11583+11583</f>
        <v>82250</v>
      </c>
      <c r="L42" s="971">
        <f>15250-2027+2027</f>
        <v>15250</v>
      </c>
      <c r="M42" s="971">
        <v>115629</v>
      </c>
      <c r="N42" s="971"/>
      <c r="O42" s="971"/>
      <c r="P42" s="971"/>
      <c r="Q42" s="971"/>
      <c r="R42" s="972"/>
      <c r="S42" s="991"/>
      <c r="T42" s="991"/>
      <c r="U42" s="991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</row>
    <row r="43" spans="1:31" s="55" customFormat="1" ht="18" customHeight="1">
      <c r="A43" s="131">
        <v>36</v>
      </c>
      <c r="B43" s="1470"/>
      <c r="C43" s="1471"/>
      <c r="D43" s="1472" t="s">
        <v>950</v>
      </c>
      <c r="E43" s="1473"/>
      <c r="F43" s="1474"/>
      <c r="G43" s="159"/>
      <c r="H43" s="159"/>
      <c r="I43" s="1475"/>
      <c r="J43" s="394"/>
      <c r="K43" s="390"/>
      <c r="L43" s="390"/>
      <c r="M43" s="390"/>
      <c r="N43" s="390"/>
      <c r="O43" s="390"/>
      <c r="P43" s="390"/>
      <c r="Q43" s="390"/>
      <c r="R43" s="391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s="994" customFormat="1" ht="18" customHeight="1">
      <c r="A44" s="131">
        <v>37</v>
      </c>
      <c r="B44" s="1399"/>
      <c r="C44" s="1401"/>
      <c r="D44" s="1401"/>
      <c r="E44" s="1476" t="s">
        <v>312</v>
      </c>
      <c r="F44" s="1477"/>
      <c r="G44" s="935"/>
      <c r="H44" s="935"/>
      <c r="I44" s="1403"/>
      <c r="J44" s="1404">
        <f>SUM(K44:R44)</f>
        <v>13610</v>
      </c>
      <c r="K44" s="1405">
        <v>11583</v>
      </c>
      <c r="L44" s="1405">
        <v>2027</v>
      </c>
      <c r="M44" s="1405"/>
      <c r="N44" s="1405"/>
      <c r="O44" s="1405"/>
      <c r="P44" s="1405"/>
      <c r="Q44" s="1405"/>
      <c r="R44" s="1406"/>
      <c r="S44" s="993"/>
      <c r="T44" s="993"/>
      <c r="U44" s="993"/>
      <c r="V44" s="993"/>
      <c r="W44" s="993"/>
      <c r="X44" s="993"/>
      <c r="Y44" s="993"/>
      <c r="Z44" s="993"/>
      <c r="AA44" s="993"/>
      <c r="AB44" s="993"/>
      <c r="AC44" s="993"/>
      <c r="AD44" s="993"/>
      <c r="AE44" s="993"/>
    </row>
    <row r="45" spans="1:31" s="51" customFormat="1" ht="18" customHeight="1">
      <c r="A45" s="131">
        <v>38</v>
      </c>
      <c r="B45" s="342"/>
      <c r="C45" s="792">
        <v>1</v>
      </c>
      <c r="D45" s="1232" t="s">
        <v>663</v>
      </c>
      <c r="E45" s="1232"/>
      <c r="F45" s="503"/>
      <c r="G45" s="122"/>
      <c r="H45" s="122"/>
      <c r="I45" s="504">
        <v>94607</v>
      </c>
      <c r="J45" s="394"/>
      <c r="K45" s="378"/>
      <c r="L45" s="378"/>
      <c r="M45" s="378"/>
      <c r="N45" s="390"/>
      <c r="O45" s="390"/>
      <c r="P45" s="390"/>
      <c r="Q45" s="390"/>
      <c r="R45" s="391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s="994" customFormat="1" ht="18" customHeight="1">
      <c r="A46" s="131">
        <v>39</v>
      </c>
      <c r="B46" s="905"/>
      <c r="C46" s="967"/>
      <c r="D46" s="967"/>
      <c r="E46" s="989" t="s">
        <v>312</v>
      </c>
      <c r="F46" s="990"/>
      <c r="G46" s="934"/>
      <c r="H46" s="934"/>
      <c r="I46" s="969"/>
      <c r="J46" s="970">
        <f>SUM(K46:R46)</f>
        <v>89379</v>
      </c>
      <c r="K46" s="971">
        <v>33444</v>
      </c>
      <c r="L46" s="971">
        <v>6075</v>
      </c>
      <c r="M46" s="971">
        <v>45810</v>
      </c>
      <c r="N46" s="971"/>
      <c r="O46" s="971"/>
      <c r="P46" s="971">
        <v>4050</v>
      </c>
      <c r="Q46" s="971"/>
      <c r="R46" s="972"/>
      <c r="S46" s="993"/>
      <c r="T46" s="993"/>
      <c r="U46" s="993"/>
      <c r="V46" s="993"/>
      <c r="W46" s="993"/>
      <c r="X46" s="993"/>
      <c r="Y46" s="993"/>
      <c r="Z46" s="993"/>
      <c r="AA46" s="993"/>
      <c r="AB46" s="993"/>
      <c r="AC46" s="993"/>
      <c r="AD46" s="993"/>
      <c r="AE46" s="993"/>
    </row>
    <row r="47" spans="1:31" s="55" customFormat="1" ht="22.5" customHeight="1">
      <c r="A47" s="131">
        <v>40</v>
      </c>
      <c r="B47" s="338">
        <v>11</v>
      </c>
      <c r="C47" s="792"/>
      <c r="D47" s="375" t="s">
        <v>533</v>
      </c>
      <c r="E47" s="375"/>
      <c r="F47" s="500" t="s">
        <v>23</v>
      </c>
      <c r="G47" s="122">
        <v>133426</v>
      </c>
      <c r="H47" s="122">
        <v>125485</v>
      </c>
      <c r="I47" s="383">
        <v>162025</v>
      </c>
      <c r="J47" s="394"/>
      <c r="K47" s="122"/>
      <c r="L47" s="122"/>
      <c r="M47" s="122"/>
      <c r="N47" s="122"/>
      <c r="O47" s="122"/>
      <c r="P47" s="122"/>
      <c r="Q47" s="122"/>
      <c r="R47" s="13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</row>
    <row r="48" spans="1:31" s="994" customFormat="1" ht="18" customHeight="1">
      <c r="A48" s="131">
        <v>41</v>
      </c>
      <c r="B48" s="905"/>
      <c r="C48" s="967"/>
      <c r="D48" s="967"/>
      <c r="E48" s="968" t="s">
        <v>312</v>
      </c>
      <c r="F48" s="934"/>
      <c r="G48" s="934"/>
      <c r="H48" s="934"/>
      <c r="I48" s="969"/>
      <c r="J48" s="970">
        <f>SUM(K48:R48)</f>
        <v>125328</v>
      </c>
      <c r="K48" s="971">
        <f>71395-11583+11583</f>
        <v>71395</v>
      </c>
      <c r="L48" s="971">
        <f>12810-2027+2027</f>
        <v>12810</v>
      </c>
      <c r="M48" s="971">
        <v>41123</v>
      </c>
      <c r="N48" s="971"/>
      <c r="O48" s="971"/>
      <c r="P48" s="971"/>
      <c r="Q48" s="971"/>
      <c r="R48" s="972"/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</row>
    <row r="49" spans="1:31" s="55" customFormat="1" ht="18" customHeight="1">
      <c r="A49" s="131">
        <v>42</v>
      </c>
      <c r="B49" s="1470"/>
      <c r="C49" s="1471"/>
      <c r="D49" s="1472" t="s">
        <v>950</v>
      </c>
      <c r="E49" s="1473"/>
      <c r="F49" s="1474"/>
      <c r="G49" s="159"/>
      <c r="H49" s="159"/>
      <c r="I49" s="1475"/>
      <c r="J49" s="394"/>
      <c r="K49" s="390"/>
      <c r="L49" s="390"/>
      <c r="M49" s="390"/>
      <c r="N49" s="390"/>
      <c r="O49" s="390"/>
      <c r="P49" s="390"/>
      <c r="Q49" s="390"/>
      <c r="R49" s="391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</row>
    <row r="50" spans="1:31" s="994" customFormat="1" ht="18" customHeight="1">
      <c r="A50" s="131">
        <v>43</v>
      </c>
      <c r="B50" s="1399"/>
      <c r="C50" s="1401"/>
      <c r="D50" s="1401"/>
      <c r="E50" s="1476" t="s">
        <v>312</v>
      </c>
      <c r="F50" s="1477"/>
      <c r="G50" s="935"/>
      <c r="H50" s="935"/>
      <c r="I50" s="1403"/>
      <c r="J50" s="1404">
        <f>SUM(K50:R50)</f>
        <v>13610</v>
      </c>
      <c r="K50" s="1405">
        <v>11583</v>
      </c>
      <c r="L50" s="1405">
        <v>2027</v>
      </c>
      <c r="M50" s="1405"/>
      <c r="N50" s="1405"/>
      <c r="O50" s="1405"/>
      <c r="P50" s="1405"/>
      <c r="Q50" s="1405"/>
      <c r="R50" s="1406"/>
      <c r="S50" s="993"/>
      <c r="T50" s="993"/>
      <c r="U50" s="993"/>
      <c r="V50" s="993"/>
      <c r="W50" s="993"/>
      <c r="X50" s="993"/>
      <c r="Y50" s="993"/>
      <c r="Z50" s="993"/>
      <c r="AA50" s="993"/>
      <c r="AB50" s="993"/>
      <c r="AC50" s="993"/>
      <c r="AD50" s="993"/>
      <c r="AE50" s="993"/>
    </row>
    <row r="51" spans="1:31" s="55" customFormat="1" ht="22.5" customHeight="1">
      <c r="A51" s="131">
        <v>44</v>
      </c>
      <c r="B51" s="338">
        <v>12</v>
      </c>
      <c r="C51" s="792"/>
      <c r="D51" s="375" t="s">
        <v>25</v>
      </c>
      <c r="E51" s="375"/>
      <c r="F51" s="500" t="s">
        <v>23</v>
      </c>
      <c r="G51" s="122">
        <v>444070</v>
      </c>
      <c r="H51" s="122">
        <v>403206</v>
      </c>
      <c r="I51" s="383">
        <v>462604</v>
      </c>
      <c r="J51" s="394"/>
      <c r="K51" s="122"/>
      <c r="L51" s="122"/>
      <c r="M51" s="122"/>
      <c r="N51" s="122"/>
      <c r="O51" s="122"/>
      <c r="P51" s="122"/>
      <c r="Q51" s="122"/>
      <c r="R51" s="13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</row>
    <row r="52" spans="1:31" s="994" customFormat="1" ht="18" customHeight="1">
      <c r="A52" s="131">
        <v>45</v>
      </c>
      <c r="B52" s="905"/>
      <c r="C52" s="967"/>
      <c r="D52" s="967"/>
      <c r="E52" s="968" t="s">
        <v>312</v>
      </c>
      <c r="F52" s="934"/>
      <c r="G52" s="934"/>
      <c r="H52" s="934"/>
      <c r="I52" s="969"/>
      <c r="J52" s="970">
        <f>SUM(K52:R52)</f>
        <v>411904</v>
      </c>
      <c r="K52" s="971">
        <f>171809-11583+11583</f>
        <v>171809</v>
      </c>
      <c r="L52" s="971">
        <f>30653-2027+2027</f>
        <v>30653</v>
      </c>
      <c r="M52" s="971">
        <v>193442</v>
      </c>
      <c r="N52" s="971"/>
      <c r="O52" s="971"/>
      <c r="P52" s="971">
        <v>16000</v>
      </c>
      <c r="Q52" s="971"/>
      <c r="R52" s="972"/>
      <c r="S52" s="993"/>
      <c r="T52" s="993"/>
      <c r="U52" s="993"/>
      <c r="V52" s="993"/>
      <c r="W52" s="993"/>
      <c r="X52" s="993"/>
      <c r="Y52" s="993"/>
      <c r="Z52" s="993"/>
      <c r="AA52" s="993"/>
      <c r="AB52" s="993"/>
      <c r="AC52" s="993"/>
      <c r="AD52" s="993"/>
      <c r="AE52" s="993"/>
    </row>
    <row r="53" spans="1:31" s="55" customFormat="1" ht="18" customHeight="1">
      <c r="A53" s="131">
        <v>46</v>
      </c>
      <c r="B53" s="1470"/>
      <c r="C53" s="1471"/>
      <c r="D53" s="1472" t="s">
        <v>950</v>
      </c>
      <c r="E53" s="1473"/>
      <c r="F53" s="1474"/>
      <c r="G53" s="159"/>
      <c r="H53" s="159"/>
      <c r="I53" s="1475"/>
      <c r="J53" s="394"/>
      <c r="K53" s="390"/>
      <c r="L53" s="390"/>
      <c r="M53" s="390"/>
      <c r="N53" s="390"/>
      <c r="O53" s="390"/>
      <c r="P53" s="390"/>
      <c r="Q53" s="390"/>
      <c r="R53" s="391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</row>
    <row r="54" spans="1:31" s="994" customFormat="1" ht="18" customHeight="1">
      <c r="A54" s="131">
        <v>47</v>
      </c>
      <c r="B54" s="1399"/>
      <c r="C54" s="1401"/>
      <c r="D54" s="1401"/>
      <c r="E54" s="1476" t="s">
        <v>312</v>
      </c>
      <c r="F54" s="1477"/>
      <c r="G54" s="935"/>
      <c r="H54" s="935"/>
      <c r="I54" s="1403"/>
      <c r="J54" s="1404">
        <f>SUM(K54:R54)</f>
        <v>13610</v>
      </c>
      <c r="K54" s="1405">
        <v>11583</v>
      </c>
      <c r="L54" s="1405">
        <v>2027</v>
      </c>
      <c r="M54" s="1405"/>
      <c r="N54" s="1405"/>
      <c r="O54" s="1405"/>
      <c r="P54" s="1405"/>
      <c r="Q54" s="1405"/>
      <c r="R54" s="1406"/>
      <c r="S54" s="993"/>
      <c r="T54" s="993"/>
      <c r="U54" s="993"/>
      <c r="V54" s="993"/>
      <c r="W54" s="993"/>
      <c r="X54" s="993"/>
      <c r="Y54" s="993"/>
      <c r="Z54" s="993"/>
      <c r="AA54" s="993"/>
      <c r="AB54" s="993"/>
      <c r="AC54" s="993"/>
      <c r="AD54" s="993"/>
      <c r="AE54" s="993"/>
    </row>
    <row r="55" spans="1:31" s="51" customFormat="1" ht="18" customHeight="1">
      <c r="A55" s="131">
        <v>48</v>
      </c>
      <c r="B55" s="342"/>
      <c r="C55" s="792">
        <v>1</v>
      </c>
      <c r="D55" s="1232" t="s">
        <v>152</v>
      </c>
      <c r="E55" s="1232"/>
      <c r="F55" s="503"/>
      <c r="G55" s="122">
        <v>657</v>
      </c>
      <c r="H55" s="122"/>
      <c r="I55" s="504"/>
      <c r="J55" s="394"/>
      <c r="K55" s="378"/>
      <c r="L55" s="378"/>
      <c r="M55" s="378"/>
      <c r="N55" s="390"/>
      <c r="O55" s="390"/>
      <c r="P55" s="390"/>
      <c r="Q55" s="390"/>
      <c r="R55" s="391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s="51" customFormat="1" ht="18" customHeight="1">
      <c r="A56" s="131">
        <v>49</v>
      </c>
      <c r="B56" s="342"/>
      <c r="C56" s="792">
        <v>2</v>
      </c>
      <c r="D56" s="1232" t="s">
        <v>663</v>
      </c>
      <c r="E56" s="1232"/>
      <c r="F56" s="503"/>
      <c r="G56" s="122"/>
      <c r="H56" s="122"/>
      <c r="I56" s="504">
        <v>57588</v>
      </c>
      <c r="J56" s="394"/>
      <c r="K56" s="378"/>
      <c r="L56" s="378"/>
      <c r="M56" s="378"/>
      <c r="N56" s="390"/>
      <c r="O56" s="390"/>
      <c r="P56" s="390"/>
      <c r="Q56" s="390"/>
      <c r="R56" s="391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s="994" customFormat="1" ht="18" customHeight="1">
      <c r="A57" s="131">
        <v>50</v>
      </c>
      <c r="B57" s="905"/>
      <c r="C57" s="967"/>
      <c r="D57" s="967"/>
      <c r="E57" s="989" t="s">
        <v>312</v>
      </c>
      <c r="F57" s="990"/>
      <c r="G57" s="934"/>
      <c r="H57" s="934"/>
      <c r="I57" s="969"/>
      <c r="J57" s="970">
        <f>SUM(K57:R57)</f>
        <v>55574</v>
      </c>
      <c r="K57" s="971">
        <v>13419</v>
      </c>
      <c r="L57" s="971">
        <v>2395</v>
      </c>
      <c r="M57" s="971">
        <v>37360</v>
      </c>
      <c r="N57" s="971"/>
      <c r="O57" s="971"/>
      <c r="P57" s="971">
        <v>2400</v>
      </c>
      <c r="Q57" s="971"/>
      <c r="R57" s="972"/>
      <c r="S57" s="993"/>
      <c r="T57" s="993"/>
      <c r="U57" s="993"/>
      <c r="V57" s="993"/>
      <c r="W57" s="993"/>
      <c r="X57" s="993"/>
      <c r="Y57" s="993"/>
      <c r="Z57" s="993"/>
      <c r="AA57" s="993"/>
      <c r="AB57" s="993"/>
      <c r="AC57" s="993"/>
      <c r="AD57" s="993"/>
      <c r="AE57" s="993"/>
    </row>
    <row r="58" spans="1:31" s="51" customFormat="1" ht="22.5" customHeight="1">
      <c r="A58" s="131">
        <v>51</v>
      </c>
      <c r="B58" s="338">
        <v>13</v>
      </c>
      <c r="C58" s="792"/>
      <c r="D58" s="375" t="s">
        <v>34</v>
      </c>
      <c r="E58" s="375"/>
      <c r="F58" s="500" t="s">
        <v>23</v>
      </c>
      <c r="G58" s="122">
        <v>323649</v>
      </c>
      <c r="H58" s="122">
        <v>332350</v>
      </c>
      <c r="I58" s="383">
        <v>469368</v>
      </c>
      <c r="J58" s="394"/>
      <c r="K58" s="122"/>
      <c r="L58" s="122"/>
      <c r="M58" s="122"/>
      <c r="N58" s="122"/>
      <c r="O58" s="122"/>
      <c r="P58" s="122"/>
      <c r="Q58" s="122"/>
      <c r="R58" s="136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s="994" customFormat="1" ht="18" customHeight="1">
      <c r="A59" s="131">
        <v>52</v>
      </c>
      <c r="B59" s="905"/>
      <c r="C59" s="967"/>
      <c r="D59" s="967"/>
      <c r="E59" s="968" t="s">
        <v>312</v>
      </c>
      <c r="F59" s="934"/>
      <c r="G59" s="934"/>
      <c r="H59" s="934"/>
      <c r="I59" s="969"/>
      <c r="J59" s="970">
        <f>SUM(K59:R59)</f>
        <v>406719</v>
      </c>
      <c r="K59" s="971">
        <f>189840-11583+11583</f>
        <v>189840</v>
      </c>
      <c r="L59" s="971">
        <f>38341-2027+2027</f>
        <v>38341</v>
      </c>
      <c r="M59" s="971">
        <v>177160</v>
      </c>
      <c r="N59" s="971"/>
      <c r="O59" s="971">
        <v>178</v>
      </c>
      <c r="P59" s="971">
        <v>1200</v>
      </c>
      <c r="Q59" s="971"/>
      <c r="R59" s="972"/>
      <c r="S59" s="993"/>
      <c r="T59" s="993"/>
      <c r="U59" s="993"/>
      <c r="V59" s="993"/>
      <c r="W59" s="993"/>
      <c r="X59" s="993"/>
      <c r="Y59" s="993"/>
      <c r="Z59" s="993"/>
      <c r="AA59" s="993"/>
      <c r="AB59" s="993"/>
      <c r="AC59" s="993"/>
      <c r="AD59" s="993"/>
      <c r="AE59" s="993"/>
    </row>
    <row r="60" spans="1:31" s="55" customFormat="1" ht="18" customHeight="1">
      <c r="A60" s="131">
        <v>53</v>
      </c>
      <c r="B60" s="1470"/>
      <c r="C60" s="1471"/>
      <c r="D60" s="1472" t="s">
        <v>950</v>
      </c>
      <c r="E60" s="1473"/>
      <c r="F60" s="1474"/>
      <c r="G60" s="159"/>
      <c r="H60" s="159"/>
      <c r="I60" s="1475"/>
      <c r="J60" s="394"/>
      <c r="K60" s="390"/>
      <c r="L60" s="390"/>
      <c r="M60" s="390"/>
      <c r="N60" s="390"/>
      <c r="O60" s="390"/>
      <c r="P60" s="390"/>
      <c r="Q60" s="390"/>
      <c r="R60" s="391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</row>
    <row r="61" spans="1:31" s="994" customFormat="1" ht="18" customHeight="1">
      <c r="A61" s="131">
        <v>54</v>
      </c>
      <c r="B61" s="1399"/>
      <c r="C61" s="1401"/>
      <c r="D61" s="1401"/>
      <c r="E61" s="1476" t="s">
        <v>312</v>
      </c>
      <c r="F61" s="1477"/>
      <c r="G61" s="935"/>
      <c r="H61" s="935"/>
      <c r="I61" s="1403"/>
      <c r="J61" s="1404">
        <f>SUM(K61:R61)</f>
        <v>13610</v>
      </c>
      <c r="K61" s="1405">
        <v>11583</v>
      </c>
      <c r="L61" s="1405">
        <v>2027</v>
      </c>
      <c r="M61" s="1405"/>
      <c r="N61" s="1405"/>
      <c r="O61" s="1405"/>
      <c r="P61" s="1405"/>
      <c r="Q61" s="1405"/>
      <c r="R61" s="1406"/>
      <c r="S61" s="993"/>
      <c r="T61" s="993"/>
      <c r="U61" s="993"/>
      <c r="V61" s="993"/>
      <c r="W61" s="993"/>
      <c r="X61" s="993"/>
      <c r="Y61" s="993"/>
      <c r="Z61" s="993"/>
      <c r="AA61" s="993"/>
      <c r="AB61" s="993"/>
      <c r="AC61" s="993"/>
      <c r="AD61" s="993"/>
      <c r="AE61" s="993"/>
    </row>
    <row r="62" spans="1:31" s="51" customFormat="1" ht="18" customHeight="1">
      <c r="A62" s="131">
        <v>55</v>
      </c>
      <c r="B62" s="342"/>
      <c r="C62" s="792">
        <v>1</v>
      </c>
      <c r="D62" s="1232" t="s">
        <v>152</v>
      </c>
      <c r="E62" s="1232"/>
      <c r="F62" s="503"/>
      <c r="G62" s="122">
        <v>4820</v>
      </c>
      <c r="H62" s="122"/>
      <c r="I62" s="504"/>
      <c r="J62" s="394"/>
      <c r="K62" s="378"/>
      <c r="L62" s="378"/>
      <c r="M62" s="378"/>
      <c r="N62" s="390"/>
      <c r="O62" s="390"/>
      <c r="P62" s="390"/>
      <c r="Q62" s="390"/>
      <c r="R62" s="391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s="51" customFormat="1" ht="45.75" customHeight="1">
      <c r="A63" s="131">
        <v>56</v>
      </c>
      <c r="B63" s="342"/>
      <c r="C63" s="793">
        <v>2</v>
      </c>
      <c r="D63" s="1525" t="s">
        <v>536</v>
      </c>
      <c r="E63" s="1526"/>
      <c r="F63" s="690"/>
      <c r="G63" s="122">
        <v>1969</v>
      </c>
      <c r="H63" s="122">
        <v>55328</v>
      </c>
      <c r="I63" s="383">
        <v>57002</v>
      </c>
      <c r="J63" s="394"/>
      <c r="K63" s="378"/>
      <c r="L63" s="378"/>
      <c r="M63" s="378"/>
      <c r="N63" s="390"/>
      <c r="O63" s="390"/>
      <c r="P63" s="390"/>
      <c r="Q63" s="390"/>
      <c r="R63" s="391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s="51" customFormat="1" ht="22.5" customHeight="1">
      <c r="A64" s="131">
        <v>57</v>
      </c>
      <c r="B64" s="338">
        <v>14</v>
      </c>
      <c r="C64" s="792"/>
      <c r="D64" s="375" t="s">
        <v>534</v>
      </c>
      <c r="E64" s="375"/>
      <c r="F64" s="500" t="s">
        <v>24</v>
      </c>
      <c r="G64" s="122">
        <v>137258</v>
      </c>
      <c r="H64" s="122">
        <v>131489</v>
      </c>
      <c r="I64" s="383">
        <v>145365</v>
      </c>
      <c r="J64" s="394"/>
      <c r="K64" s="122"/>
      <c r="L64" s="122"/>
      <c r="M64" s="122"/>
      <c r="N64" s="122"/>
      <c r="O64" s="122"/>
      <c r="P64" s="122"/>
      <c r="Q64" s="122"/>
      <c r="R64" s="136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s="974" customFormat="1" ht="18" customHeight="1">
      <c r="A65" s="131">
        <v>58</v>
      </c>
      <c r="B65" s="905"/>
      <c r="C65" s="967"/>
      <c r="D65" s="967"/>
      <c r="E65" s="968" t="s">
        <v>312</v>
      </c>
      <c r="F65" s="934"/>
      <c r="G65" s="934"/>
      <c r="H65" s="934"/>
      <c r="I65" s="969"/>
      <c r="J65" s="970">
        <f>SUM(K65:R65)</f>
        <v>129562</v>
      </c>
      <c r="K65" s="971">
        <v>61704</v>
      </c>
      <c r="L65" s="971">
        <v>12023</v>
      </c>
      <c r="M65" s="971">
        <v>55835</v>
      </c>
      <c r="N65" s="971"/>
      <c r="O65" s="971"/>
      <c r="P65" s="971"/>
      <c r="Q65" s="971"/>
      <c r="R65" s="972"/>
      <c r="S65" s="973"/>
      <c r="T65" s="973"/>
      <c r="U65" s="973"/>
      <c r="V65" s="973"/>
      <c r="W65" s="973"/>
      <c r="X65" s="973"/>
      <c r="Y65" s="973"/>
      <c r="Z65" s="973"/>
      <c r="AA65" s="973"/>
      <c r="AB65" s="973"/>
      <c r="AC65" s="973"/>
      <c r="AD65" s="973"/>
      <c r="AE65" s="973"/>
    </row>
    <row r="66" spans="1:31" s="56" customFormat="1" ht="18" customHeight="1">
      <c r="A66" s="131">
        <v>59</v>
      </c>
      <c r="B66" s="342"/>
      <c r="C66" s="792">
        <v>1</v>
      </c>
      <c r="D66" s="1232" t="s">
        <v>152</v>
      </c>
      <c r="E66" s="1232"/>
      <c r="F66" s="503"/>
      <c r="G66" s="347">
        <v>1407</v>
      </c>
      <c r="H66" s="347">
        <v>2477</v>
      </c>
      <c r="I66" s="504">
        <v>2238</v>
      </c>
      <c r="J66" s="394"/>
      <c r="K66" s="378"/>
      <c r="L66" s="378"/>
      <c r="M66" s="378"/>
      <c r="N66" s="390"/>
      <c r="O66" s="390"/>
      <c r="P66" s="390"/>
      <c r="Q66" s="390"/>
      <c r="R66" s="391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</row>
    <row r="67" spans="1:31" s="974" customFormat="1" ht="18" customHeight="1">
      <c r="A67" s="131">
        <v>60</v>
      </c>
      <c r="B67" s="905"/>
      <c r="C67" s="967"/>
      <c r="D67" s="967"/>
      <c r="E67" s="989" t="s">
        <v>312</v>
      </c>
      <c r="F67" s="990"/>
      <c r="G67" s="934"/>
      <c r="H67" s="934"/>
      <c r="I67" s="969"/>
      <c r="J67" s="970">
        <f>SUM(K67:R67)</f>
        <v>2455</v>
      </c>
      <c r="K67" s="971">
        <v>2257</v>
      </c>
      <c r="L67" s="971">
        <v>198</v>
      </c>
      <c r="M67" s="971"/>
      <c r="N67" s="971"/>
      <c r="O67" s="971"/>
      <c r="P67" s="971"/>
      <c r="Q67" s="971"/>
      <c r="R67" s="972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</row>
    <row r="68" spans="1:31" s="56" customFormat="1" ht="33" customHeight="1">
      <c r="A68" s="131">
        <v>61</v>
      </c>
      <c r="B68" s="342"/>
      <c r="C68" s="793">
        <v>2</v>
      </c>
      <c r="D68" s="1525" t="s">
        <v>537</v>
      </c>
      <c r="E68" s="1586"/>
      <c r="F68" s="797"/>
      <c r="G68" s="122">
        <v>4679</v>
      </c>
      <c r="H68" s="122">
        <v>23787</v>
      </c>
      <c r="I68" s="383">
        <v>25712</v>
      </c>
      <c r="J68" s="394"/>
      <c r="K68" s="378"/>
      <c r="L68" s="378"/>
      <c r="M68" s="378"/>
      <c r="N68" s="390"/>
      <c r="O68" s="390"/>
      <c r="P68" s="390"/>
      <c r="Q68" s="390"/>
      <c r="R68" s="391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</row>
    <row r="69" spans="1:31" s="974" customFormat="1" ht="18" customHeight="1">
      <c r="A69" s="131">
        <v>62</v>
      </c>
      <c r="B69" s="905"/>
      <c r="C69" s="967"/>
      <c r="D69" s="967"/>
      <c r="E69" s="989" t="s">
        <v>312</v>
      </c>
      <c r="F69" s="990"/>
      <c r="G69" s="934"/>
      <c r="H69" s="934"/>
      <c r="I69" s="969"/>
      <c r="J69" s="970">
        <f>SUM(K69:R69)</f>
        <v>5725</v>
      </c>
      <c r="K69" s="971">
        <v>1640</v>
      </c>
      <c r="L69" s="971"/>
      <c r="M69" s="971">
        <v>1254</v>
      </c>
      <c r="N69" s="971"/>
      <c r="O69" s="971"/>
      <c r="P69" s="971">
        <v>2831</v>
      </c>
      <c r="Q69" s="971"/>
      <c r="R69" s="972"/>
      <c r="S69" s="973"/>
      <c r="T69" s="973"/>
      <c r="U69" s="973"/>
      <c r="V69" s="973"/>
      <c r="W69" s="973"/>
      <c r="X69" s="973"/>
      <c r="Y69" s="973"/>
      <c r="Z69" s="973"/>
      <c r="AA69" s="973"/>
      <c r="AB69" s="973"/>
      <c r="AC69" s="973"/>
      <c r="AD69" s="973"/>
      <c r="AE69" s="973"/>
    </row>
    <row r="70" spans="1:31" s="53" customFormat="1" ht="22.5" customHeight="1">
      <c r="A70" s="131">
        <v>63</v>
      </c>
      <c r="B70" s="338">
        <v>15</v>
      </c>
      <c r="C70" s="792"/>
      <c r="D70" s="375" t="s">
        <v>157</v>
      </c>
      <c r="E70" s="375"/>
      <c r="F70" s="500" t="s">
        <v>24</v>
      </c>
      <c r="G70" s="122">
        <v>918236</v>
      </c>
      <c r="H70" s="122">
        <v>717112</v>
      </c>
      <c r="I70" s="383">
        <v>1057981</v>
      </c>
      <c r="J70" s="394"/>
      <c r="K70" s="122"/>
      <c r="L70" s="122"/>
      <c r="M70" s="122"/>
      <c r="N70" s="122"/>
      <c r="O70" s="122"/>
      <c r="P70" s="122"/>
      <c r="Q70" s="122"/>
      <c r="R70" s="136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</row>
    <row r="71" spans="1:31" s="974" customFormat="1" ht="18" customHeight="1" thickBot="1">
      <c r="A71" s="131">
        <v>64</v>
      </c>
      <c r="B71" s="905"/>
      <c r="C71" s="977"/>
      <c r="D71" s="977"/>
      <c r="E71" s="959" t="s">
        <v>312</v>
      </c>
      <c r="F71" s="942"/>
      <c r="G71" s="942"/>
      <c r="H71" s="942"/>
      <c r="I71" s="978"/>
      <c r="J71" s="979">
        <f>SUM(K71:R71)</f>
        <v>742553</v>
      </c>
      <c r="K71" s="980">
        <v>353612</v>
      </c>
      <c r="L71" s="980">
        <v>67795</v>
      </c>
      <c r="M71" s="980">
        <v>319146</v>
      </c>
      <c r="N71" s="980"/>
      <c r="O71" s="980"/>
      <c r="P71" s="980">
        <v>2000</v>
      </c>
      <c r="Q71" s="980"/>
      <c r="R71" s="981"/>
      <c r="S71" s="973"/>
      <c r="T71" s="973"/>
      <c r="U71" s="973"/>
      <c r="V71" s="973"/>
      <c r="W71" s="973"/>
      <c r="X71" s="973"/>
      <c r="Y71" s="973"/>
      <c r="Z71" s="973"/>
      <c r="AA71" s="973"/>
      <c r="AB71" s="973"/>
      <c r="AC71" s="973"/>
      <c r="AD71" s="973"/>
      <c r="AE71" s="973"/>
    </row>
    <row r="72" spans="1:31" s="206" customFormat="1" ht="22.5" customHeight="1" thickTop="1">
      <c r="A72" s="131">
        <v>65</v>
      </c>
      <c r="B72" s="387"/>
      <c r="C72" s="1587" t="s">
        <v>675</v>
      </c>
      <c r="D72" s="1588"/>
      <c r="E72" s="1589"/>
      <c r="F72" s="834"/>
      <c r="G72" s="827">
        <f>SUM(G41:G71)</f>
        <v>2216492</v>
      </c>
      <c r="H72" s="827">
        <f>SUM(H41:H71)</f>
        <v>2005779</v>
      </c>
      <c r="I72" s="995">
        <f>SUM(I41:I71)</f>
        <v>2818592</v>
      </c>
      <c r="J72" s="835"/>
      <c r="K72" s="832"/>
      <c r="L72" s="832"/>
      <c r="M72" s="832"/>
      <c r="N72" s="832"/>
      <c r="O72" s="832"/>
      <c r="P72" s="832"/>
      <c r="Q72" s="832"/>
      <c r="R72" s="83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</row>
    <row r="73" spans="1:31" s="974" customFormat="1" ht="18" customHeight="1" thickBot="1">
      <c r="A73" s="131">
        <v>66</v>
      </c>
      <c r="B73" s="905"/>
      <c r="C73" s="982"/>
      <c r="D73" s="983"/>
      <c r="E73" s="992" t="s">
        <v>312</v>
      </c>
      <c r="F73" s="945"/>
      <c r="G73" s="945"/>
      <c r="H73" s="945"/>
      <c r="I73" s="985"/>
      <c r="J73" s="986">
        <f>SUM(K73:R73)</f>
        <v>2182328</v>
      </c>
      <c r="K73" s="987">
        <f>SUM(K42,K46,K48,K52,K57,K59,K65,K67,K69,K71)</f>
        <v>981370</v>
      </c>
      <c r="L73" s="987">
        <f aca="true" t="shared" si="2" ref="L73:R73">SUM(L42,L46,L48,L52,L57,L59,L65,L67,L69,L71)</f>
        <v>185540</v>
      </c>
      <c r="M73" s="987">
        <f t="shared" si="2"/>
        <v>986759</v>
      </c>
      <c r="N73" s="987">
        <f t="shared" si="2"/>
        <v>0</v>
      </c>
      <c r="O73" s="987">
        <f t="shared" si="2"/>
        <v>178</v>
      </c>
      <c r="P73" s="987">
        <f t="shared" si="2"/>
        <v>28481</v>
      </c>
      <c r="Q73" s="987">
        <f t="shared" si="2"/>
        <v>0</v>
      </c>
      <c r="R73" s="988">
        <f t="shared" si="2"/>
        <v>0</v>
      </c>
      <c r="S73" s="973">
        <f>+J73-'[1]4.Inbe'!O59</f>
        <v>0</v>
      </c>
      <c r="T73" s="973"/>
      <c r="U73" s="973"/>
      <c r="V73" s="973"/>
      <c r="W73" s="973"/>
      <c r="X73" s="973"/>
      <c r="Y73" s="973"/>
      <c r="Z73" s="973"/>
      <c r="AA73" s="973"/>
      <c r="AB73" s="973"/>
      <c r="AC73" s="973"/>
      <c r="AD73" s="973"/>
      <c r="AE73" s="973"/>
    </row>
    <row r="74" spans="1:31" s="57" customFormat="1" ht="22.5" customHeight="1" thickTop="1">
      <c r="A74" s="131">
        <v>67</v>
      </c>
      <c r="B74" s="352">
        <v>16</v>
      </c>
      <c r="C74" s="794"/>
      <c r="D74" s="505" t="s">
        <v>271</v>
      </c>
      <c r="E74" s="505"/>
      <c r="F74" s="501" t="s">
        <v>23</v>
      </c>
      <c r="G74" s="364">
        <v>903541</v>
      </c>
      <c r="H74" s="364">
        <v>1012076</v>
      </c>
      <c r="I74" s="502">
        <v>1099031</v>
      </c>
      <c r="J74" s="482"/>
      <c r="K74" s="364"/>
      <c r="L74" s="364"/>
      <c r="M74" s="364"/>
      <c r="N74" s="364"/>
      <c r="O74" s="364"/>
      <c r="P74" s="364"/>
      <c r="Q74" s="364"/>
      <c r="R74" s="389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</row>
    <row r="75" spans="1:31" s="915" customFormat="1" ht="18" customHeight="1" thickBot="1">
      <c r="A75" s="131">
        <v>68</v>
      </c>
      <c r="B75" s="948"/>
      <c r="C75" s="996"/>
      <c r="D75" s="996"/>
      <c r="E75" s="997" t="s">
        <v>312</v>
      </c>
      <c r="F75" s="952"/>
      <c r="G75" s="952"/>
      <c r="H75" s="952"/>
      <c r="I75" s="998"/>
      <c r="J75" s="999">
        <f>SUM(K75:R75)</f>
        <v>1025459</v>
      </c>
      <c r="K75" s="1000">
        <v>180690</v>
      </c>
      <c r="L75" s="1000">
        <v>36122</v>
      </c>
      <c r="M75" s="1000">
        <v>808647</v>
      </c>
      <c r="N75" s="1000"/>
      <c r="O75" s="1000"/>
      <c r="P75" s="1000"/>
      <c r="Q75" s="1000"/>
      <c r="R75" s="1001"/>
      <c r="S75" s="991"/>
      <c r="T75" s="991"/>
      <c r="U75" s="991"/>
      <c r="V75" s="991"/>
      <c r="W75" s="991"/>
      <c r="X75" s="991"/>
      <c r="Y75" s="991"/>
      <c r="Z75" s="991"/>
      <c r="AA75" s="991"/>
      <c r="AB75" s="991"/>
      <c r="AC75" s="991"/>
      <c r="AD75" s="991"/>
      <c r="AE75" s="991"/>
    </row>
    <row r="76" spans="1:31" s="152" customFormat="1" ht="36" customHeight="1">
      <c r="A76" s="131">
        <v>69</v>
      </c>
      <c r="B76" s="1533" t="s">
        <v>158</v>
      </c>
      <c r="C76" s="1534"/>
      <c r="D76" s="1534"/>
      <c r="E76" s="1535"/>
      <c r="F76" s="506"/>
      <c r="G76" s="507">
        <f>SUM(G74,G72,G39,G28)</f>
        <v>5894344</v>
      </c>
      <c r="H76" s="507">
        <f>SUM(H74,H72,H39,H28)</f>
        <v>6023194</v>
      </c>
      <c r="I76" s="508">
        <f>SUM(I74,I72,I39,I28)</f>
        <v>7270585</v>
      </c>
      <c r="J76" s="1002"/>
      <c r="K76" s="399"/>
      <c r="L76" s="399"/>
      <c r="M76" s="399"/>
      <c r="N76" s="399"/>
      <c r="O76" s="399"/>
      <c r="P76" s="399"/>
      <c r="Q76" s="399"/>
      <c r="R76" s="400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</row>
    <row r="77" spans="1:31" s="974" customFormat="1" ht="18" customHeight="1" thickBot="1">
      <c r="A77" s="131">
        <v>70</v>
      </c>
      <c r="B77" s="948"/>
      <c r="C77" s="996"/>
      <c r="D77" s="996"/>
      <c r="E77" s="997" t="s">
        <v>312</v>
      </c>
      <c r="F77" s="952"/>
      <c r="G77" s="952"/>
      <c r="H77" s="952"/>
      <c r="I77" s="998"/>
      <c r="J77" s="999">
        <f>SUM(K77:R77)</f>
        <v>6363012</v>
      </c>
      <c r="K77" s="1000">
        <f aca="true" t="shared" si="3" ref="K77:R77">SUM(K75,K73,K40,K29)</f>
        <v>3301895</v>
      </c>
      <c r="L77" s="1000">
        <f t="shared" si="3"/>
        <v>645834</v>
      </c>
      <c r="M77" s="1000">
        <f t="shared" si="3"/>
        <v>2382434</v>
      </c>
      <c r="N77" s="1000">
        <f t="shared" si="3"/>
        <v>0</v>
      </c>
      <c r="O77" s="1000">
        <f t="shared" si="3"/>
        <v>178</v>
      </c>
      <c r="P77" s="1000">
        <f t="shared" si="3"/>
        <v>32671</v>
      </c>
      <c r="Q77" s="1000">
        <f t="shared" si="3"/>
        <v>0</v>
      </c>
      <c r="R77" s="1001">
        <f t="shared" si="3"/>
        <v>0</v>
      </c>
      <c r="S77" s="973">
        <f>+J77-'[1]4.Inbe'!O63</f>
        <v>0</v>
      </c>
      <c r="T77" s="973"/>
      <c r="U77" s="973"/>
      <c r="V77" s="973"/>
      <c r="W77" s="973"/>
      <c r="X77" s="973"/>
      <c r="Y77" s="973"/>
      <c r="Z77" s="973"/>
      <c r="AA77" s="973"/>
      <c r="AB77" s="973"/>
      <c r="AC77" s="973"/>
      <c r="AD77" s="973"/>
      <c r="AE77" s="973"/>
    </row>
    <row r="78" spans="1:31" s="57" customFormat="1" ht="22.5" customHeight="1">
      <c r="A78" s="131">
        <v>71</v>
      </c>
      <c r="B78" s="334">
        <v>17</v>
      </c>
      <c r="C78" s="791"/>
      <c r="D78" s="796" t="s">
        <v>26</v>
      </c>
      <c r="E78" s="798"/>
      <c r="F78" s="335" t="s">
        <v>23</v>
      </c>
      <c r="G78" s="395"/>
      <c r="H78" s="395"/>
      <c r="I78" s="509"/>
      <c r="J78" s="401"/>
      <c r="K78" s="395"/>
      <c r="L78" s="395"/>
      <c r="M78" s="395"/>
      <c r="N78" s="395"/>
      <c r="O78" s="395"/>
      <c r="P78" s="395"/>
      <c r="Q78" s="395"/>
      <c r="R78" s="396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</row>
    <row r="79" spans="1:31" s="155" customFormat="1" ht="19.5" customHeight="1">
      <c r="A79" s="131">
        <v>72</v>
      </c>
      <c r="B79" s="338"/>
      <c r="C79" s="339">
        <v>1</v>
      </c>
      <c r="D79" s="799" t="s">
        <v>165</v>
      </c>
      <c r="E79" s="799"/>
      <c r="F79" s="500"/>
      <c r="G79" s="122">
        <v>1220396</v>
      </c>
      <c r="H79" s="122">
        <v>1291184</v>
      </c>
      <c r="I79" s="383">
        <v>1448768</v>
      </c>
      <c r="J79" s="394"/>
      <c r="K79" s="122"/>
      <c r="L79" s="122"/>
      <c r="M79" s="122"/>
      <c r="N79" s="122"/>
      <c r="O79" s="122"/>
      <c r="P79" s="122"/>
      <c r="Q79" s="122"/>
      <c r="R79" s="136"/>
      <c r="S79" s="299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</row>
    <row r="80" spans="1:31" s="915" customFormat="1" ht="18" customHeight="1">
      <c r="A80" s="131">
        <v>73</v>
      </c>
      <c r="B80" s="905"/>
      <c r="C80" s="906"/>
      <c r="D80" s="967"/>
      <c r="E80" s="1010" t="s">
        <v>312</v>
      </c>
      <c r="F80" s="909"/>
      <c r="G80" s="934"/>
      <c r="H80" s="934"/>
      <c r="I80" s="969"/>
      <c r="J80" s="970">
        <f>SUM(K80:R80)</f>
        <v>1326424</v>
      </c>
      <c r="K80" s="971">
        <f>903672+1923+174945</f>
        <v>1080540</v>
      </c>
      <c r="L80" s="971">
        <f>163052+338+30615</f>
        <v>194005</v>
      </c>
      <c r="M80" s="971">
        <v>51879</v>
      </c>
      <c r="N80" s="971"/>
      <c r="O80" s="971"/>
      <c r="P80" s="971"/>
      <c r="Q80" s="971"/>
      <c r="R80" s="972"/>
      <c r="S80" s="991"/>
      <c r="T80" s="991"/>
      <c r="U80" s="991"/>
      <c r="V80" s="991"/>
      <c r="W80" s="991"/>
      <c r="X80" s="991"/>
      <c r="Y80" s="991"/>
      <c r="Z80" s="991"/>
      <c r="AA80" s="991"/>
      <c r="AB80" s="991"/>
      <c r="AC80" s="991"/>
      <c r="AD80" s="991"/>
      <c r="AE80" s="991"/>
    </row>
    <row r="81" spans="1:31" s="1398" customFormat="1" ht="19.5" customHeight="1">
      <c r="A81" s="131">
        <v>74</v>
      </c>
      <c r="B81" s="1392"/>
      <c r="C81" s="1393"/>
      <c r="D81" s="1391" t="s">
        <v>947</v>
      </c>
      <c r="E81" s="1391"/>
      <c r="F81" s="1394"/>
      <c r="G81" s="159"/>
      <c r="H81" s="159"/>
      <c r="I81" s="1395">
        <v>13257</v>
      </c>
      <c r="J81" s="394"/>
      <c r="K81" s="159"/>
      <c r="L81" s="159"/>
      <c r="M81" s="159"/>
      <c r="N81" s="159"/>
      <c r="O81" s="159"/>
      <c r="P81" s="159"/>
      <c r="Q81" s="159"/>
      <c r="R81" s="1396"/>
      <c r="S81" s="1316"/>
      <c r="T81" s="1397"/>
      <c r="U81" s="1397"/>
      <c r="V81" s="1397"/>
      <c r="W81" s="1397"/>
      <c r="X81" s="1397"/>
      <c r="Y81" s="1397"/>
      <c r="Z81" s="1397"/>
      <c r="AA81" s="1397"/>
      <c r="AB81" s="1397"/>
      <c r="AC81" s="1397"/>
      <c r="AD81" s="1397"/>
      <c r="AE81" s="1397"/>
    </row>
    <row r="82" spans="1:31" s="1408" customFormat="1" ht="18" customHeight="1">
      <c r="A82" s="131">
        <v>75</v>
      </c>
      <c r="B82" s="1399"/>
      <c r="C82" s="1400"/>
      <c r="D82" s="1401"/>
      <c r="E82" s="1402" t="s">
        <v>312</v>
      </c>
      <c r="F82" s="910"/>
      <c r="G82" s="935"/>
      <c r="H82" s="935"/>
      <c r="I82" s="1403"/>
      <c r="J82" s="1404">
        <f>SUM(K82:R82)</f>
        <v>2261</v>
      </c>
      <c r="K82" s="1405">
        <v>1923</v>
      </c>
      <c r="L82" s="1405">
        <v>338</v>
      </c>
      <c r="M82" s="1405"/>
      <c r="N82" s="1405"/>
      <c r="O82" s="1405"/>
      <c r="P82" s="1405"/>
      <c r="Q82" s="1405"/>
      <c r="R82" s="1406"/>
      <c r="S82" s="1407"/>
      <c r="T82" s="1407"/>
      <c r="U82" s="1407"/>
      <c r="V82" s="1407"/>
      <c r="W82" s="1407"/>
      <c r="X82" s="1407"/>
      <c r="Y82" s="1407"/>
      <c r="Z82" s="1407"/>
      <c r="AA82" s="1407"/>
      <c r="AB82" s="1407"/>
      <c r="AC82" s="1407"/>
      <c r="AD82" s="1407"/>
      <c r="AE82" s="1407"/>
    </row>
    <row r="83" spans="1:31" s="1398" customFormat="1" ht="19.5" customHeight="1">
      <c r="A83" s="131">
        <v>76</v>
      </c>
      <c r="B83" s="1392"/>
      <c r="C83" s="1393"/>
      <c r="D83" s="1391" t="s">
        <v>948</v>
      </c>
      <c r="E83" s="1391"/>
      <c r="F83" s="1394"/>
      <c r="G83" s="159"/>
      <c r="H83" s="159"/>
      <c r="I83" s="1395"/>
      <c r="J83" s="394"/>
      <c r="K83" s="159"/>
      <c r="L83" s="159"/>
      <c r="M83" s="159"/>
      <c r="N83" s="159"/>
      <c r="O83" s="159"/>
      <c r="P83" s="159"/>
      <c r="Q83" s="159"/>
      <c r="R83" s="1396"/>
      <c r="S83" s="1316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</row>
    <row r="84" spans="1:31" s="1408" customFormat="1" ht="18" customHeight="1">
      <c r="A84" s="131">
        <v>77</v>
      </c>
      <c r="B84" s="1399"/>
      <c r="C84" s="1400"/>
      <c r="D84" s="1401"/>
      <c r="E84" s="1402" t="s">
        <v>312</v>
      </c>
      <c r="F84" s="910"/>
      <c r="G84" s="935"/>
      <c r="H84" s="935"/>
      <c r="I84" s="1403"/>
      <c r="J84" s="1404">
        <f>SUM(K84:R84)</f>
        <v>205560</v>
      </c>
      <c r="K84" s="1405">
        <v>174945</v>
      </c>
      <c r="L84" s="1405">
        <v>30615</v>
      </c>
      <c r="M84" s="1405"/>
      <c r="N84" s="1405"/>
      <c r="O84" s="1405"/>
      <c r="P84" s="1405"/>
      <c r="Q84" s="1405"/>
      <c r="R84" s="1406"/>
      <c r="S84" s="1407"/>
      <c r="T84" s="1407"/>
      <c r="U84" s="1407"/>
      <c r="V84" s="1407"/>
      <c r="W84" s="1407"/>
      <c r="X84" s="1407"/>
      <c r="Y84" s="1407"/>
      <c r="Z84" s="1407"/>
      <c r="AA84" s="1407"/>
      <c r="AB84" s="1407"/>
      <c r="AC84" s="1407"/>
      <c r="AD84" s="1407"/>
      <c r="AE84" s="1407"/>
    </row>
    <row r="85" spans="1:31" s="58" customFormat="1" ht="19.5" customHeight="1">
      <c r="A85" s="131">
        <v>78</v>
      </c>
      <c r="B85" s="338"/>
      <c r="C85" s="339">
        <v>2</v>
      </c>
      <c r="D85" s="799" t="s">
        <v>166</v>
      </c>
      <c r="E85" s="799"/>
      <c r="F85" s="500"/>
      <c r="G85" s="122">
        <v>121346</v>
      </c>
      <c r="H85" s="122">
        <v>164570</v>
      </c>
      <c r="I85" s="383">
        <v>243576</v>
      </c>
      <c r="J85" s="394"/>
      <c r="K85" s="122"/>
      <c r="L85" s="122"/>
      <c r="M85" s="122"/>
      <c r="N85" s="122"/>
      <c r="O85" s="122"/>
      <c r="P85" s="122"/>
      <c r="Q85" s="122"/>
      <c r="R85" s="136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</row>
    <row r="86" spans="1:31" s="915" customFormat="1" ht="18" customHeight="1">
      <c r="A86" s="131">
        <v>79</v>
      </c>
      <c r="B86" s="905"/>
      <c r="C86" s="906"/>
      <c r="D86" s="967"/>
      <c r="E86" s="1010" t="s">
        <v>312</v>
      </c>
      <c r="F86" s="909"/>
      <c r="G86" s="934"/>
      <c r="H86" s="934"/>
      <c r="I86" s="969"/>
      <c r="J86" s="970">
        <f>SUM(K86:R86)</f>
        <v>185553</v>
      </c>
      <c r="K86" s="971">
        <v>3200</v>
      </c>
      <c r="L86" s="971">
        <v>1471</v>
      </c>
      <c r="M86" s="971">
        <v>164897</v>
      </c>
      <c r="N86" s="971"/>
      <c r="O86" s="971"/>
      <c r="P86" s="971">
        <v>15985</v>
      </c>
      <c r="Q86" s="971"/>
      <c r="R86" s="972"/>
      <c r="S86" s="991"/>
      <c r="T86" s="991"/>
      <c r="U86" s="991"/>
      <c r="V86" s="991"/>
      <c r="W86" s="991"/>
      <c r="X86" s="991"/>
      <c r="Y86" s="991"/>
      <c r="Z86" s="991"/>
      <c r="AA86" s="991"/>
      <c r="AB86" s="991"/>
      <c r="AC86" s="991"/>
      <c r="AD86" s="991"/>
      <c r="AE86" s="991"/>
    </row>
    <row r="87" spans="1:31" s="58" customFormat="1" ht="19.5" customHeight="1">
      <c r="A87" s="131">
        <v>80</v>
      </c>
      <c r="B87" s="338"/>
      <c r="C87" s="339">
        <v>3</v>
      </c>
      <c r="D87" s="799" t="s">
        <v>35</v>
      </c>
      <c r="E87" s="799"/>
      <c r="F87" s="500"/>
      <c r="G87" s="122">
        <v>81896</v>
      </c>
      <c r="H87" s="122">
        <v>96571</v>
      </c>
      <c r="I87" s="383">
        <v>133114</v>
      </c>
      <c r="J87" s="394"/>
      <c r="K87" s="122"/>
      <c r="L87" s="122"/>
      <c r="M87" s="122"/>
      <c r="N87" s="122"/>
      <c r="O87" s="122"/>
      <c r="P87" s="122"/>
      <c r="Q87" s="122"/>
      <c r="R87" s="136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</row>
    <row r="88" spans="1:31" s="915" customFormat="1" ht="18" customHeight="1">
      <c r="A88" s="131">
        <v>81</v>
      </c>
      <c r="B88" s="905"/>
      <c r="C88" s="906"/>
      <c r="D88" s="967"/>
      <c r="E88" s="1010" t="s">
        <v>312</v>
      </c>
      <c r="F88" s="909"/>
      <c r="G88" s="934"/>
      <c r="H88" s="934"/>
      <c r="I88" s="969"/>
      <c r="J88" s="970">
        <f>SUM(K88:R88)</f>
        <v>91571</v>
      </c>
      <c r="K88" s="971"/>
      <c r="L88" s="971"/>
      <c r="M88" s="971">
        <v>73191</v>
      </c>
      <c r="N88" s="971"/>
      <c r="O88" s="971"/>
      <c r="P88" s="971">
        <v>18380</v>
      </c>
      <c r="Q88" s="971"/>
      <c r="R88" s="972"/>
      <c r="S88" s="991"/>
      <c r="T88" s="991"/>
      <c r="U88" s="991"/>
      <c r="V88" s="991"/>
      <c r="W88" s="991"/>
      <c r="X88" s="991"/>
      <c r="Y88" s="991"/>
      <c r="Z88" s="991"/>
      <c r="AA88" s="991"/>
      <c r="AB88" s="991"/>
      <c r="AC88" s="991"/>
      <c r="AD88" s="991"/>
      <c r="AE88" s="991"/>
    </row>
    <row r="89" spans="1:31" s="58" customFormat="1" ht="19.5" customHeight="1">
      <c r="A89" s="131">
        <v>82</v>
      </c>
      <c r="B89" s="338"/>
      <c r="C89" s="339">
        <v>4</v>
      </c>
      <c r="D89" s="799" t="s">
        <v>167</v>
      </c>
      <c r="E89" s="799"/>
      <c r="F89" s="500"/>
      <c r="G89" s="122">
        <v>2690</v>
      </c>
      <c r="H89" s="122">
        <v>6350</v>
      </c>
      <c r="I89" s="383">
        <v>8557</v>
      </c>
      <c r="J89" s="394"/>
      <c r="K89" s="122"/>
      <c r="L89" s="122"/>
      <c r="M89" s="122"/>
      <c r="N89" s="122"/>
      <c r="O89" s="122"/>
      <c r="P89" s="122"/>
      <c r="Q89" s="122"/>
      <c r="R89" s="136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</row>
    <row r="90" spans="1:31" s="915" customFormat="1" ht="18" customHeight="1">
      <c r="A90" s="131">
        <v>83</v>
      </c>
      <c r="B90" s="905"/>
      <c r="C90" s="906"/>
      <c r="D90" s="967"/>
      <c r="E90" s="1010" t="s">
        <v>312</v>
      </c>
      <c r="F90" s="909"/>
      <c r="G90" s="934"/>
      <c r="H90" s="934"/>
      <c r="I90" s="969"/>
      <c r="J90" s="970">
        <f>SUM(K90:R90)</f>
        <v>7800</v>
      </c>
      <c r="K90" s="971"/>
      <c r="L90" s="971"/>
      <c r="M90" s="971">
        <v>7800</v>
      </c>
      <c r="N90" s="971"/>
      <c r="O90" s="971"/>
      <c r="P90" s="971"/>
      <c r="Q90" s="971"/>
      <c r="R90" s="972"/>
      <c r="S90" s="991"/>
      <c r="T90" s="991"/>
      <c r="U90" s="991"/>
      <c r="V90" s="991"/>
      <c r="W90" s="991"/>
      <c r="X90" s="991"/>
      <c r="Y90" s="991"/>
      <c r="Z90" s="991"/>
      <c r="AA90" s="991"/>
      <c r="AB90" s="991"/>
      <c r="AC90" s="991"/>
      <c r="AD90" s="991"/>
      <c r="AE90" s="991"/>
    </row>
    <row r="91" spans="1:31" s="58" customFormat="1" ht="30" customHeight="1" hidden="1">
      <c r="A91" s="131">
        <v>80</v>
      </c>
      <c r="B91" s="510"/>
      <c r="C91" s="343">
        <v>5</v>
      </c>
      <c r="D91" s="1584" t="s">
        <v>397</v>
      </c>
      <c r="E91" s="1585"/>
      <c r="F91" s="800"/>
      <c r="G91" s="344">
        <v>1577</v>
      </c>
      <c r="H91" s="344"/>
      <c r="I91" s="384"/>
      <c r="J91" s="386"/>
      <c r="K91" s="397"/>
      <c r="L91" s="397"/>
      <c r="M91" s="397"/>
      <c r="N91" s="397"/>
      <c r="O91" s="397"/>
      <c r="P91" s="397"/>
      <c r="Q91" s="397"/>
      <c r="R91" s="398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</row>
    <row r="92" spans="1:31" s="58" customFormat="1" ht="19.5" customHeight="1" hidden="1">
      <c r="A92" s="131">
        <v>81</v>
      </c>
      <c r="B92" s="510"/>
      <c r="C92" s="339">
        <v>6</v>
      </c>
      <c r="D92" s="799" t="s">
        <v>394</v>
      </c>
      <c r="E92" s="799"/>
      <c r="F92" s="500"/>
      <c r="G92" s="344">
        <v>4167</v>
      </c>
      <c r="H92" s="344">
        <v>2495</v>
      </c>
      <c r="I92" s="384"/>
      <c r="J92" s="386"/>
      <c r="K92" s="397"/>
      <c r="L92" s="397"/>
      <c r="M92" s="397"/>
      <c r="N92" s="397"/>
      <c r="O92" s="397"/>
      <c r="P92" s="397"/>
      <c r="Q92" s="397"/>
      <c r="R92" s="398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</row>
    <row r="93" spans="1:31" s="58" customFormat="1" ht="30" customHeight="1">
      <c r="A93" s="131">
        <v>84</v>
      </c>
      <c r="B93" s="510"/>
      <c r="C93" s="343">
        <v>7</v>
      </c>
      <c r="D93" s="1525" t="s">
        <v>622</v>
      </c>
      <c r="E93" s="1526"/>
      <c r="F93" s="500"/>
      <c r="G93" s="344"/>
      <c r="H93" s="344">
        <v>8475</v>
      </c>
      <c r="I93" s="384"/>
      <c r="J93" s="386"/>
      <c r="K93" s="382"/>
      <c r="L93" s="382"/>
      <c r="M93" s="397"/>
      <c r="N93" s="397"/>
      <c r="O93" s="397"/>
      <c r="P93" s="397"/>
      <c r="Q93" s="397"/>
      <c r="R93" s="398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</row>
    <row r="94" spans="1:31" s="974" customFormat="1" ht="18" customHeight="1">
      <c r="A94" s="131">
        <v>85</v>
      </c>
      <c r="B94" s="905"/>
      <c r="C94" s="906"/>
      <c r="D94" s="967"/>
      <c r="E94" s="1010" t="s">
        <v>312</v>
      </c>
      <c r="F94" s="1011"/>
      <c r="G94" s="934"/>
      <c r="H94" s="934"/>
      <c r="I94" s="969"/>
      <c r="J94" s="970">
        <f>SUM(K94:R94)</f>
        <v>13852</v>
      </c>
      <c r="K94" s="1008">
        <v>11592</v>
      </c>
      <c r="L94" s="1008">
        <v>2260</v>
      </c>
      <c r="M94" s="1008"/>
      <c r="N94" s="1008"/>
      <c r="O94" s="1008"/>
      <c r="P94" s="1008"/>
      <c r="Q94" s="1008"/>
      <c r="R94" s="1009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973"/>
      <c r="AD94" s="973"/>
      <c r="AE94" s="973"/>
    </row>
    <row r="95" spans="1:31" s="58" customFormat="1" ht="30" customHeight="1">
      <c r="A95" s="131">
        <v>86</v>
      </c>
      <c r="B95" s="510"/>
      <c r="C95" s="343">
        <v>8</v>
      </c>
      <c r="D95" s="1525" t="s">
        <v>623</v>
      </c>
      <c r="E95" s="1526"/>
      <c r="F95" s="500"/>
      <c r="G95" s="344"/>
      <c r="H95" s="344">
        <v>3250</v>
      </c>
      <c r="I95" s="384"/>
      <c r="J95" s="386"/>
      <c r="K95" s="382"/>
      <c r="L95" s="382"/>
      <c r="M95" s="397"/>
      <c r="N95" s="397"/>
      <c r="O95" s="397"/>
      <c r="P95" s="397"/>
      <c r="Q95" s="397"/>
      <c r="R95" s="398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</row>
    <row r="96" spans="1:31" s="974" customFormat="1" ht="18" customHeight="1">
      <c r="A96" s="131">
        <v>87</v>
      </c>
      <c r="B96" s="905"/>
      <c r="C96" s="906"/>
      <c r="D96" s="967"/>
      <c r="E96" s="1010" t="s">
        <v>312</v>
      </c>
      <c r="F96" s="1011"/>
      <c r="G96" s="934"/>
      <c r="H96" s="934"/>
      <c r="I96" s="969"/>
      <c r="J96" s="970">
        <f>SUM(K96:R96)</f>
        <v>3250</v>
      </c>
      <c r="K96" s="1008">
        <v>2720</v>
      </c>
      <c r="L96" s="1008">
        <v>530</v>
      </c>
      <c r="M96" s="1008"/>
      <c r="N96" s="1008"/>
      <c r="O96" s="1008"/>
      <c r="P96" s="1008"/>
      <c r="Q96" s="1008"/>
      <c r="R96" s="1009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973"/>
      <c r="AE96" s="973"/>
    </row>
    <row r="97" spans="1:31" s="58" customFormat="1" ht="19.5" customHeight="1">
      <c r="A97" s="131">
        <v>88</v>
      </c>
      <c r="B97" s="510"/>
      <c r="C97" s="339">
        <v>9</v>
      </c>
      <c r="D97" s="799" t="s">
        <v>540</v>
      </c>
      <c r="E97" s="799"/>
      <c r="F97" s="500"/>
      <c r="G97" s="344"/>
      <c r="H97" s="344"/>
      <c r="I97" s="384"/>
      <c r="J97" s="386"/>
      <c r="K97" s="397"/>
      <c r="L97" s="397"/>
      <c r="M97" s="397"/>
      <c r="N97" s="397"/>
      <c r="O97" s="397"/>
      <c r="P97" s="397"/>
      <c r="Q97" s="397"/>
      <c r="R97" s="398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</row>
    <row r="98" spans="1:31" s="974" customFormat="1" ht="18" customHeight="1">
      <c r="A98" s="131">
        <v>89</v>
      </c>
      <c r="B98" s="905"/>
      <c r="C98" s="906"/>
      <c r="D98" s="967"/>
      <c r="E98" s="1010" t="s">
        <v>312</v>
      </c>
      <c r="F98" s="1011"/>
      <c r="G98" s="934"/>
      <c r="H98" s="934"/>
      <c r="I98" s="969"/>
      <c r="J98" s="970">
        <f>SUM(K98:R98)</f>
        <v>6000</v>
      </c>
      <c r="K98" s="1008">
        <v>4918</v>
      </c>
      <c r="L98" s="1008">
        <v>1082</v>
      </c>
      <c r="M98" s="1008"/>
      <c r="N98" s="1008"/>
      <c r="O98" s="1008"/>
      <c r="P98" s="1008"/>
      <c r="Q98" s="1008"/>
      <c r="R98" s="1009"/>
      <c r="S98" s="973"/>
      <c r="T98" s="973"/>
      <c r="U98" s="973"/>
      <c r="V98" s="973"/>
      <c r="W98" s="973"/>
      <c r="X98" s="973"/>
      <c r="Y98" s="973"/>
      <c r="Z98" s="973"/>
      <c r="AA98" s="973"/>
      <c r="AB98" s="973"/>
      <c r="AC98" s="973"/>
      <c r="AD98" s="973"/>
      <c r="AE98" s="973"/>
    </row>
    <row r="99" spans="1:31" s="48" customFormat="1" ht="19.5" customHeight="1" hidden="1">
      <c r="A99" s="131">
        <v>88</v>
      </c>
      <c r="B99" s="510"/>
      <c r="C99" s="339">
        <v>10</v>
      </c>
      <c r="D99" s="799" t="s">
        <v>471</v>
      </c>
      <c r="E99" s="799"/>
      <c r="F99" s="500"/>
      <c r="G99" s="344">
        <v>7483</v>
      </c>
      <c r="H99" s="344"/>
      <c r="I99" s="384">
        <v>3536</v>
      </c>
      <c r="J99" s="386"/>
      <c r="K99" s="397"/>
      <c r="L99" s="397"/>
      <c r="M99" s="397"/>
      <c r="N99" s="397"/>
      <c r="O99" s="397"/>
      <c r="P99" s="397"/>
      <c r="Q99" s="397"/>
      <c r="R99" s="398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</row>
    <row r="100" spans="1:31" s="48" customFormat="1" ht="30" customHeight="1" hidden="1">
      <c r="A100" s="131">
        <v>89</v>
      </c>
      <c r="B100" s="510"/>
      <c r="C100" s="343">
        <v>11</v>
      </c>
      <c r="D100" s="1584" t="s">
        <v>473</v>
      </c>
      <c r="E100" s="1585"/>
      <c r="F100" s="800"/>
      <c r="G100" s="344"/>
      <c r="H100" s="344"/>
      <c r="I100" s="384">
        <v>2506</v>
      </c>
      <c r="J100" s="386"/>
      <c r="K100" s="397"/>
      <c r="L100" s="397"/>
      <c r="M100" s="397"/>
      <c r="N100" s="397"/>
      <c r="O100" s="397"/>
      <c r="P100" s="397"/>
      <c r="Q100" s="397"/>
      <c r="R100" s="398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</row>
    <row r="101" spans="1:31" s="48" customFormat="1" ht="19.5" customHeight="1" hidden="1">
      <c r="A101" s="131">
        <v>90</v>
      </c>
      <c r="B101" s="510"/>
      <c r="C101" s="339">
        <v>12</v>
      </c>
      <c r="D101" s="1242" t="s">
        <v>509</v>
      </c>
      <c r="E101" s="1035"/>
      <c r="F101" s="359"/>
      <c r="G101" s="344">
        <v>1622</v>
      </c>
      <c r="H101" s="344"/>
      <c r="I101" s="384"/>
      <c r="J101" s="386"/>
      <c r="K101" s="397"/>
      <c r="L101" s="397"/>
      <c r="M101" s="397"/>
      <c r="N101" s="397"/>
      <c r="O101" s="397"/>
      <c r="P101" s="397"/>
      <c r="Q101" s="397"/>
      <c r="R101" s="398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</row>
    <row r="102" spans="1:31" s="48" customFormat="1" ht="30" customHeight="1">
      <c r="A102" s="131">
        <v>90</v>
      </c>
      <c r="B102" s="510"/>
      <c r="C102" s="343">
        <v>13</v>
      </c>
      <c r="D102" s="1584" t="s">
        <v>508</v>
      </c>
      <c r="E102" s="1585"/>
      <c r="F102" s="800"/>
      <c r="G102" s="344"/>
      <c r="H102" s="344"/>
      <c r="I102" s="384"/>
      <c r="J102" s="386"/>
      <c r="K102" s="397"/>
      <c r="L102" s="397"/>
      <c r="M102" s="397"/>
      <c r="N102" s="397"/>
      <c r="O102" s="397"/>
      <c r="P102" s="397"/>
      <c r="Q102" s="397"/>
      <c r="R102" s="398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</row>
    <row r="103" spans="1:31" s="912" customFormat="1" ht="18" customHeight="1">
      <c r="A103" s="131">
        <v>91</v>
      </c>
      <c r="B103" s="905"/>
      <c r="C103" s="906"/>
      <c r="D103" s="967"/>
      <c r="E103" s="1010" t="s">
        <v>312</v>
      </c>
      <c r="F103" s="1011"/>
      <c r="G103" s="934"/>
      <c r="H103" s="934"/>
      <c r="I103" s="969"/>
      <c r="J103" s="970">
        <f>SUM(K103:R103)</f>
        <v>5962</v>
      </c>
      <c r="K103" s="1008">
        <v>4887</v>
      </c>
      <c r="L103" s="1008">
        <v>1075</v>
      </c>
      <c r="M103" s="1008"/>
      <c r="N103" s="1008"/>
      <c r="O103" s="1008"/>
      <c r="P103" s="1008"/>
      <c r="Q103" s="1008"/>
      <c r="R103" s="1009"/>
      <c r="S103" s="1012"/>
      <c r="T103" s="1012"/>
      <c r="U103" s="1012"/>
      <c r="V103" s="1012"/>
      <c r="W103" s="1012"/>
      <c r="X103" s="1012"/>
      <c r="Y103" s="1012"/>
      <c r="Z103" s="1012"/>
      <c r="AA103" s="1012"/>
      <c r="AB103" s="1012"/>
      <c r="AC103" s="1012"/>
      <c r="AD103" s="1012"/>
      <c r="AE103" s="1012"/>
    </row>
    <row r="104" spans="1:31" s="48" customFormat="1" ht="19.5" customHeight="1">
      <c r="A104" s="131">
        <v>92</v>
      </c>
      <c r="B104" s="510"/>
      <c r="C104" s="339">
        <v>14</v>
      </c>
      <c r="D104" s="799" t="s">
        <v>511</v>
      </c>
      <c r="E104" s="1242"/>
      <c r="F104" s="359"/>
      <c r="G104" s="344"/>
      <c r="H104" s="344"/>
      <c r="I104" s="384"/>
      <c r="J104" s="386"/>
      <c r="K104" s="397"/>
      <c r="L104" s="397"/>
      <c r="M104" s="397"/>
      <c r="N104" s="397"/>
      <c r="O104" s="397"/>
      <c r="P104" s="397"/>
      <c r="Q104" s="397"/>
      <c r="R104" s="398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</row>
    <row r="105" spans="1:31" s="912" customFormat="1" ht="18" customHeight="1">
      <c r="A105" s="131">
        <v>93</v>
      </c>
      <c r="B105" s="905"/>
      <c r="C105" s="906"/>
      <c r="D105" s="967"/>
      <c r="E105" s="1010" t="s">
        <v>312</v>
      </c>
      <c r="F105" s="1011"/>
      <c r="G105" s="934"/>
      <c r="H105" s="934"/>
      <c r="I105" s="969"/>
      <c r="J105" s="970">
        <f>SUM(K105:R105)</f>
        <v>482</v>
      </c>
      <c r="K105" s="1008">
        <v>395</v>
      </c>
      <c r="L105" s="1008">
        <v>87</v>
      </c>
      <c r="M105" s="1008"/>
      <c r="N105" s="1008"/>
      <c r="O105" s="1008"/>
      <c r="P105" s="1008"/>
      <c r="Q105" s="1008"/>
      <c r="R105" s="1009"/>
      <c r="S105" s="1012"/>
      <c r="T105" s="1012"/>
      <c r="U105" s="1012"/>
      <c r="V105" s="1012"/>
      <c r="W105" s="1012"/>
      <c r="X105" s="1012"/>
      <c r="Y105" s="1012"/>
      <c r="Z105" s="1012"/>
      <c r="AA105" s="1012"/>
      <c r="AB105" s="1012"/>
      <c r="AC105" s="1012"/>
      <c r="AD105" s="1012"/>
      <c r="AE105" s="1012"/>
    </row>
    <row r="106" spans="1:31" s="48" customFormat="1" ht="19.5" customHeight="1" hidden="1">
      <c r="A106" s="131">
        <v>95</v>
      </c>
      <c r="B106" s="510"/>
      <c r="C106" s="339">
        <v>15</v>
      </c>
      <c r="D106" s="799" t="s">
        <v>544</v>
      </c>
      <c r="E106" s="1035"/>
      <c r="F106" s="359"/>
      <c r="G106" s="344"/>
      <c r="H106" s="344"/>
      <c r="I106" s="384">
        <v>1540</v>
      </c>
      <c r="J106" s="386"/>
      <c r="K106" s="397"/>
      <c r="L106" s="397"/>
      <c r="M106" s="397"/>
      <c r="N106" s="397"/>
      <c r="O106" s="397"/>
      <c r="P106" s="397"/>
      <c r="Q106" s="397"/>
      <c r="R106" s="398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</row>
    <row r="107" spans="1:31" s="48" customFormat="1" ht="30" customHeight="1">
      <c r="A107" s="131">
        <v>94</v>
      </c>
      <c r="B107" s="510"/>
      <c r="C107" s="343">
        <v>16</v>
      </c>
      <c r="D107" s="1584" t="s">
        <v>545</v>
      </c>
      <c r="E107" s="1585"/>
      <c r="F107" s="359"/>
      <c r="G107" s="344"/>
      <c r="H107" s="344"/>
      <c r="I107" s="384">
        <v>13</v>
      </c>
      <c r="J107" s="386"/>
      <c r="K107" s="397"/>
      <c r="L107" s="397"/>
      <c r="M107" s="397"/>
      <c r="N107" s="397"/>
      <c r="O107" s="397"/>
      <c r="P107" s="397"/>
      <c r="Q107" s="397"/>
      <c r="R107" s="398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</row>
    <row r="108" spans="1:31" s="912" customFormat="1" ht="18" customHeight="1">
      <c r="A108" s="131">
        <v>95</v>
      </c>
      <c r="B108" s="905"/>
      <c r="C108" s="906"/>
      <c r="D108" s="967"/>
      <c r="E108" s="1010" t="s">
        <v>312</v>
      </c>
      <c r="F108" s="1011"/>
      <c r="G108" s="934"/>
      <c r="H108" s="934"/>
      <c r="I108" s="969"/>
      <c r="J108" s="970">
        <f>SUM(K108:R108)</f>
        <v>62</v>
      </c>
      <c r="K108" s="1008">
        <v>52</v>
      </c>
      <c r="L108" s="1008">
        <v>10</v>
      </c>
      <c r="M108" s="1008"/>
      <c r="N108" s="1008"/>
      <c r="O108" s="1008"/>
      <c r="P108" s="1008"/>
      <c r="Q108" s="1008"/>
      <c r="R108" s="1009"/>
      <c r="S108" s="1012"/>
      <c r="T108" s="1012"/>
      <c r="U108" s="1012"/>
      <c r="V108" s="1012"/>
      <c r="W108" s="1012"/>
      <c r="X108" s="1012"/>
      <c r="Y108" s="1012"/>
      <c r="Z108" s="1012"/>
      <c r="AA108" s="1012"/>
      <c r="AB108" s="1012"/>
      <c r="AC108" s="1012"/>
      <c r="AD108" s="1012"/>
      <c r="AE108" s="1012"/>
    </row>
    <row r="109" spans="1:31" s="48" customFormat="1" ht="19.5" customHeight="1">
      <c r="A109" s="131">
        <v>96</v>
      </c>
      <c r="B109" s="510"/>
      <c r="C109" s="339">
        <v>17</v>
      </c>
      <c r="D109" s="799" t="s">
        <v>559</v>
      </c>
      <c r="E109" s="1035"/>
      <c r="F109" s="359"/>
      <c r="G109" s="344"/>
      <c r="H109" s="344"/>
      <c r="I109" s="384"/>
      <c r="J109" s="386"/>
      <c r="K109" s="397"/>
      <c r="L109" s="397"/>
      <c r="M109" s="397"/>
      <c r="N109" s="397"/>
      <c r="O109" s="397"/>
      <c r="P109" s="397"/>
      <c r="Q109" s="397"/>
      <c r="R109" s="398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</row>
    <row r="110" spans="1:31" s="912" customFormat="1" ht="18" customHeight="1">
      <c r="A110" s="131">
        <v>97</v>
      </c>
      <c r="B110" s="905"/>
      <c r="C110" s="906"/>
      <c r="D110" s="967"/>
      <c r="E110" s="1010" t="s">
        <v>312</v>
      </c>
      <c r="F110" s="1011"/>
      <c r="G110" s="934"/>
      <c r="H110" s="934"/>
      <c r="I110" s="969"/>
      <c r="J110" s="970">
        <f>SUM(K110:R110)</f>
        <v>12000</v>
      </c>
      <c r="K110" s="1008">
        <v>10042</v>
      </c>
      <c r="L110" s="1008">
        <v>1958</v>
      </c>
      <c r="M110" s="1008"/>
      <c r="N110" s="1008"/>
      <c r="O110" s="1008"/>
      <c r="P110" s="1008"/>
      <c r="Q110" s="1008"/>
      <c r="R110" s="1009"/>
      <c r="S110" s="1012"/>
      <c r="T110" s="1012"/>
      <c r="U110" s="1012"/>
      <c r="V110" s="1012"/>
      <c r="W110" s="1012"/>
      <c r="X110" s="1012"/>
      <c r="Y110" s="1012"/>
      <c r="Z110" s="1012"/>
      <c r="AA110" s="1012"/>
      <c r="AB110" s="1012"/>
      <c r="AC110" s="1012"/>
      <c r="AD110" s="1012"/>
      <c r="AE110" s="1012"/>
    </row>
    <row r="111" spans="1:31" s="48" customFormat="1" ht="19.5" customHeight="1" hidden="1">
      <c r="A111" s="131">
        <v>100</v>
      </c>
      <c r="B111" s="510"/>
      <c r="C111" s="339">
        <v>18</v>
      </c>
      <c r="D111" s="799" t="s">
        <v>664</v>
      </c>
      <c r="E111" s="1035"/>
      <c r="F111" s="359"/>
      <c r="G111" s="344"/>
      <c r="H111" s="344"/>
      <c r="I111" s="384">
        <v>14715</v>
      </c>
      <c r="J111" s="386"/>
      <c r="K111" s="397"/>
      <c r="L111" s="397"/>
      <c r="M111" s="397"/>
      <c r="N111" s="397"/>
      <c r="O111" s="397"/>
      <c r="P111" s="397"/>
      <c r="Q111" s="397"/>
      <c r="R111" s="398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</row>
    <row r="112" spans="1:31" s="48" customFormat="1" ht="19.5" customHeight="1">
      <c r="A112" s="131">
        <v>98</v>
      </c>
      <c r="B112" s="510"/>
      <c r="C112" s="339">
        <v>19</v>
      </c>
      <c r="D112" s="799" t="s">
        <v>658</v>
      </c>
      <c r="E112" s="1035"/>
      <c r="F112" s="359"/>
      <c r="G112" s="344"/>
      <c r="H112" s="344"/>
      <c r="I112" s="384">
        <v>16538</v>
      </c>
      <c r="J112" s="386"/>
      <c r="K112" s="397"/>
      <c r="L112" s="397"/>
      <c r="M112" s="397"/>
      <c r="N112" s="397"/>
      <c r="O112" s="397"/>
      <c r="P112" s="397"/>
      <c r="Q112" s="397"/>
      <c r="R112" s="398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</row>
    <row r="113" spans="1:31" s="912" customFormat="1" ht="18" customHeight="1">
      <c r="A113" s="131">
        <v>99</v>
      </c>
      <c r="B113" s="905"/>
      <c r="C113" s="906"/>
      <c r="D113" s="967"/>
      <c r="E113" s="1010" t="s">
        <v>312</v>
      </c>
      <c r="F113" s="1011"/>
      <c r="G113" s="934"/>
      <c r="H113" s="934"/>
      <c r="I113" s="969"/>
      <c r="J113" s="970">
        <f>SUM(K113:R113)</f>
        <v>22278</v>
      </c>
      <c r="K113" s="1008">
        <v>18966</v>
      </c>
      <c r="L113" s="1008">
        <v>3312</v>
      </c>
      <c r="M113" s="1008"/>
      <c r="N113" s="1008"/>
      <c r="O113" s="1008"/>
      <c r="P113" s="1008"/>
      <c r="Q113" s="1008"/>
      <c r="R113" s="1009"/>
      <c r="S113" s="1012"/>
      <c r="T113" s="1012"/>
      <c r="U113" s="1012"/>
      <c r="V113" s="1012"/>
      <c r="W113" s="1012"/>
      <c r="X113" s="1012"/>
      <c r="Y113" s="1012"/>
      <c r="Z113" s="1012"/>
      <c r="AA113" s="1012"/>
      <c r="AB113" s="1012"/>
      <c r="AC113" s="1012"/>
      <c r="AD113" s="1012"/>
      <c r="AE113" s="1012"/>
    </row>
    <row r="114" spans="1:31" s="48" customFormat="1" ht="19.5" customHeight="1">
      <c r="A114" s="131">
        <v>100</v>
      </c>
      <c r="B114" s="510"/>
      <c r="C114" s="339">
        <v>20</v>
      </c>
      <c r="D114" s="799" t="s">
        <v>617</v>
      </c>
      <c r="E114" s="1233"/>
      <c r="F114" s="800"/>
      <c r="G114" s="344"/>
      <c r="H114" s="344"/>
      <c r="I114" s="384">
        <v>1684</v>
      </c>
      <c r="J114" s="386"/>
      <c r="K114" s="397"/>
      <c r="L114" s="397"/>
      <c r="M114" s="397"/>
      <c r="N114" s="397"/>
      <c r="O114" s="397"/>
      <c r="P114" s="397"/>
      <c r="Q114" s="397"/>
      <c r="R114" s="398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</row>
    <row r="115" spans="1:31" s="912" customFormat="1" ht="18" customHeight="1" thickBot="1">
      <c r="A115" s="131">
        <v>101</v>
      </c>
      <c r="B115" s="905"/>
      <c r="C115" s="906"/>
      <c r="D115" s="967"/>
      <c r="E115" s="1010" t="s">
        <v>312</v>
      </c>
      <c r="F115" s="1011"/>
      <c r="G115" s="934"/>
      <c r="H115" s="934"/>
      <c r="I115" s="969"/>
      <c r="J115" s="970">
        <f>SUM(K115:R115)</f>
        <v>327</v>
      </c>
      <c r="K115" s="1008">
        <v>211</v>
      </c>
      <c r="L115" s="1008">
        <v>63</v>
      </c>
      <c r="M115" s="1008">
        <v>53</v>
      </c>
      <c r="N115" s="1008"/>
      <c r="O115" s="1008"/>
      <c r="P115" s="1008"/>
      <c r="Q115" s="1008"/>
      <c r="R115" s="1009"/>
      <c r="S115" s="1012"/>
      <c r="T115" s="1012"/>
      <c r="U115" s="1012"/>
      <c r="V115" s="1012"/>
      <c r="W115" s="1012"/>
      <c r="X115" s="1012"/>
      <c r="Y115" s="1012"/>
      <c r="Z115" s="1012"/>
      <c r="AA115" s="1012"/>
      <c r="AB115" s="1012"/>
      <c r="AC115" s="1012"/>
      <c r="AD115" s="1012"/>
      <c r="AE115" s="1012"/>
    </row>
    <row r="116" spans="1:31" s="48" customFormat="1" ht="18" customHeight="1" hidden="1">
      <c r="A116" s="131">
        <v>105</v>
      </c>
      <c r="B116" s="510"/>
      <c r="C116" s="339">
        <v>21</v>
      </c>
      <c r="D116" s="799" t="s">
        <v>676</v>
      </c>
      <c r="E116" s="799"/>
      <c r="F116" s="500"/>
      <c r="G116" s="344"/>
      <c r="H116" s="344"/>
      <c r="I116" s="384">
        <v>329</v>
      </c>
      <c r="J116" s="386"/>
      <c r="K116" s="397"/>
      <c r="L116" s="397"/>
      <c r="M116" s="397"/>
      <c r="N116" s="397"/>
      <c r="O116" s="397"/>
      <c r="P116" s="397"/>
      <c r="Q116" s="397"/>
      <c r="R116" s="398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</row>
    <row r="117" spans="1:31" s="48" customFormat="1" ht="30" customHeight="1" hidden="1">
      <c r="A117" s="131">
        <v>106</v>
      </c>
      <c r="B117" s="510"/>
      <c r="C117" s="343">
        <v>22</v>
      </c>
      <c r="D117" s="1525" t="s">
        <v>547</v>
      </c>
      <c r="E117" s="1526"/>
      <c r="F117" s="500"/>
      <c r="G117" s="344"/>
      <c r="H117" s="344"/>
      <c r="I117" s="384">
        <v>11</v>
      </c>
      <c r="J117" s="386"/>
      <c r="K117" s="397"/>
      <c r="L117" s="397"/>
      <c r="M117" s="397"/>
      <c r="N117" s="397"/>
      <c r="O117" s="397"/>
      <c r="P117" s="397"/>
      <c r="Q117" s="397"/>
      <c r="R117" s="398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</row>
    <row r="118" spans="1:31" s="48" customFormat="1" ht="18" customHeight="1" hidden="1">
      <c r="A118" s="131">
        <v>107</v>
      </c>
      <c r="B118" s="510"/>
      <c r="C118" s="339">
        <v>23</v>
      </c>
      <c r="D118" s="799" t="s">
        <v>665</v>
      </c>
      <c r="E118" s="799"/>
      <c r="F118" s="500"/>
      <c r="G118" s="344"/>
      <c r="H118" s="344"/>
      <c r="I118" s="384">
        <v>14913</v>
      </c>
      <c r="J118" s="386"/>
      <c r="K118" s="397"/>
      <c r="L118" s="397"/>
      <c r="M118" s="397"/>
      <c r="N118" s="397"/>
      <c r="O118" s="397"/>
      <c r="P118" s="397"/>
      <c r="Q118" s="397"/>
      <c r="R118" s="398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</row>
    <row r="119" spans="1:31" s="48" customFormat="1" ht="18" customHeight="1" hidden="1">
      <c r="A119" s="131">
        <v>112</v>
      </c>
      <c r="B119" s="510"/>
      <c r="C119" s="339">
        <v>26</v>
      </c>
      <c r="D119" s="799" t="s">
        <v>472</v>
      </c>
      <c r="E119" s="799"/>
      <c r="F119" s="500"/>
      <c r="G119" s="344">
        <v>15790</v>
      </c>
      <c r="H119" s="344"/>
      <c r="I119" s="384"/>
      <c r="J119" s="386"/>
      <c r="K119" s="397"/>
      <c r="L119" s="397"/>
      <c r="M119" s="397"/>
      <c r="N119" s="397"/>
      <c r="O119" s="397"/>
      <c r="P119" s="397"/>
      <c r="Q119" s="397"/>
      <c r="R119" s="398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</row>
    <row r="120" spans="1:31" s="48" customFormat="1" ht="18" customHeight="1" hidden="1">
      <c r="A120" s="131">
        <v>113</v>
      </c>
      <c r="B120" s="510"/>
      <c r="C120" s="339">
        <v>27</v>
      </c>
      <c r="D120" s="799" t="s">
        <v>542</v>
      </c>
      <c r="E120" s="799"/>
      <c r="F120" s="500"/>
      <c r="G120" s="344">
        <v>956</v>
      </c>
      <c r="H120" s="344"/>
      <c r="I120" s="384"/>
      <c r="J120" s="386"/>
      <c r="K120" s="397"/>
      <c r="L120" s="397"/>
      <c r="M120" s="397"/>
      <c r="N120" s="397"/>
      <c r="O120" s="397"/>
      <c r="P120" s="397"/>
      <c r="Q120" s="397"/>
      <c r="R120" s="398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</row>
    <row r="121" spans="1:31" s="48" customFormat="1" ht="18" customHeight="1" hidden="1">
      <c r="A121" s="131">
        <v>114</v>
      </c>
      <c r="B121" s="510"/>
      <c r="C121" s="339">
        <v>28</v>
      </c>
      <c r="D121" s="799" t="s">
        <v>543</v>
      </c>
      <c r="E121" s="799"/>
      <c r="F121" s="500"/>
      <c r="G121" s="344">
        <v>1063</v>
      </c>
      <c r="H121" s="344"/>
      <c r="I121" s="384"/>
      <c r="J121" s="386"/>
      <c r="K121" s="397"/>
      <c r="L121" s="397"/>
      <c r="M121" s="397"/>
      <c r="N121" s="397"/>
      <c r="O121" s="397"/>
      <c r="P121" s="397"/>
      <c r="Q121" s="397"/>
      <c r="R121" s="398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</row>
    <row r="122" spans="1:31" s="48" customFormat="1" ht="30" customHeight="1" hidden="1" thickBot="1">
      <c r="A122" s="131">
        <v>115</v>
      </c>
      <c r="B122" s="510"/>
      <c r="C122" s="343">
        <v>29</v>
      </c>
      <c r="D122" s="1596" t="s">
        <v>541</v>
      </c>
      <c r="E122" s="1597"/>
      <c r="F122" s="500"/>
      <c r="G122" s="344">
        <v>252</v>
      </c>
      <c r="H122" s="344"/>
      <c r="I122" s="384"/>
      <c r="J122" s="386"/>
      <c r="K122" s="397"/>
      <c r="L122" s="397"/>
      <c r="M122" s="397"/>
      <c r="N122" s="397"/>
      <c r="O122" s="397"/>
      <c r="P122" s="397"/>
      <c r="Q122" s="397"/>
      <c r="R122" s="398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</row>
    <row r="123" spans="1:31" s="57" customFormat="1" ht="22.5" customHeight="1" thickTop="1">
      <c r="A123" s="131">
        <v>102</v>
      </c>
      <c r="B123" s="483"/>
      <c r="C123" s="1587" t="s">
        <v>648</v>
      </c>
      <c r="D123" s="1588"/>
      <c r="E123" s="1589"/>
      <c r="F123" s="1003"/>
      <c r="G123" s="827">
        <f>SUM(G78:G122)</f>
        <v>1459238</v>
      </c>
      <c r="H123" s="827">
        <f>SUM(H78:H122)</f>
        <v>1572895</v>
      </c>
      <c r="I123" s="829">
        <f>SUM(I78:I122)</f>
        <v>1903057</v>
      </c>
      <c r="J123" s="830"/>
      <c r="K123" s="832"/>
      <c r="L123" s="832"/>
      <c r="M123" s="832"/>
      <c r="N123" s="832"/>
      <c r="O123" s="832"/>
      <c r="P123" s="832"/>
      <c r="Q123" s="832"/>
      <c r="R123" s="833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</row>
    <row r="124" spans="1:31" s="912" customFormat="1" ht="18" customHeight="1" thickBot="1">
      <c r="A124" s="131">
        <v>103</v>
      </c>
      <c r="B124" s="905"/>
      <c r="C124" s="949"/>
      <c r="D124" s="996"/>
      <c r="E124" s="1013" t="s">
        <v>312</v>
      </c>
      <c r="F124" s="1014"/>
      <c r="G124" s="952"/>
      <c r="H124" s="952"/>
      <c r="I124" s="998"/>
      <c r="J124" s="999">
        <f>SUM(K124:R124)</f>
        <v>1675561</v>
      </c>
      <c r="K124" s="1015">
        <f>SUM(K80,K86,K88,K90,K94,K96,K98,K103,K105,K108,K110,K113,K115)</f>
        <v>1137523</v>
      </c>
      <c r="L124" s="1015">
        <f aca="true" t="shared" si="4" ref="L124:R124">SUM(L80,L86,L88,L90,L94,L96,L98,L103,L105,L108,L110,L113,L115)</f>
        <v>205853</v>
      </c>
      <c r="M124" s="1015">
        <f t="shared" si="4"/>
        <v>297820</v>
      </c>
      <c r="N124" s="1015">
        <f t="shared" si="4"/>
        <v>0</v>
      </c>
      <c r="O124" s="1015">
        <f t="shared" si="4"/>
        <v>0</v>
      </c>
      <c r="P124" s="1015">
        <f t="shared" si="4"/>
        <v>34365</v>
      </c>
      <c r="Q124" s="1015">
        <f t="shared" si="4"/>
        <v>0</v>
      </c>
      <c r="R124" s="1016">
        <f t="shared" si="4"/>
        <v>0</v>
      </c>
      <c r="S124" s="1012"/>
      <c r="T124" s="1012"/>
      <c r="U124" s="1012"/>
      <c r="V124" s="1012"/>
      <c r="W124" s="1012"/>
      <c r="X124" s="1012"/>
      <c r="Y124" s="1012"/>
      <c r="Z124" s="1012"/>
      <c r="AA124" s="1012"/>
      <c r="AB124" s="1012"/>
      <c r="AC124" s="1012"/>
      <c r="AD124" s="1012"/>
      <c r="AE124" s="1012"/>
    </row>
    <row r="125" spans="1:31" s="57" customFormat="1" ht="36" customHeight="1">
      <c r="A125" s="131">
        <v>104</v>
      </c>
      <c r="B125" s="1530" t="s">
        <v>13</v>
      </c>
      <c r="C125" s="1531"/>
      <c r="D125" s="1531"/>
      <c r="E125" s="1532"/>
      <c r="F125" s="1004"/>
      <c r="G125" s="957">
        <f>SUM(G123,G76)</f>
        <v>7353582</v>
      </c>
      <c r="H125" s="957">
        <f>SUM(H123,H76)</f>
        <v>7596089</v>
      </c>
      <c r="I125" s="1005">
        <f>SUM(I123,I76)</f>
        <v>9173642</v>
      </c>
      <c r="J125" s="1006"/>
      <c r="K125" s="957"/>
      <c r="L125" s="957"/>
      <c r="M125" s="957"/>
      <c r="N125" s="957"/>
      <c r="O125" s="957"/>
      <c r="P125" s="957"/>
      <c r="Q125" s="957"/>
      <c r="R125" s="100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</row>
    <row r="126" spans="1:31" s="912" customFormat="1" ht="18" customHeight="1" thickBot="1">
      <c r="A126" s="131">
        <v>105</v>
      </c>
      <c r="B126" s="948"/>
      <c r="C126" s="949"/>
      <c r="D126" s="996"/>
      <c r="E126" s="1013" t="s">
        <v>312</v>
      </c>
      <c r="F126" s="1014"/>
      <c r="G126" s="952"/>
      <c r="H126" s="952"/>
      <c r="I126" s="998"/>
      <c r="J126" s="999">
        <f>SUM(K126:R126)</f>
        <v>8038573</v>
      </c>
      <c r="K126" s="1015">
        <f aca="true" t="shared" si="5" ref="K126:R126">SUM(K124,K77)</f>
        <v>4439418</v>
      </c>
      <c r="L126" s="1015">
        <f t="shared" si="5"/>
        <v>851687</v>
      </c>
      <c r="M126" s="1015">
        <f t="shared" si="5"/>
        <v>2680254</v>
      </c>
      <c r="N126" s="1015">
        <f t="shared" si="5"/>
        <v>0</v>
      </c>
      <c r="O126" s="1015">
        <f t="shared" si="5"/>
        <v>178</v>
      </c>
      <c r="P126" s="1015">
        <f t="shared" si="5"/>
        <v>67036</v>
      </c>
      <c r="Q126" s="1015">
        <f t="shared" si="5"/>
        <v>0</v>
      </c>
      <c r="R126" s="1016">
        <f t="shared" si="5"/>
        <v>0</v>
      </c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</row>
    <row r="127" spans="1:31" s="55" customFormat="1" ht="15" customHeight="1">
      <c r="A127" s="131">
        <v>106</v>
      </c>
      <c r="B127" s="1598" t="s">
        <v>168</v>
      </c>
      <c r="C127" s="1599"/>
      <c r="D127" s="1599"/>
      <c r="E127" s="1600"/>
      <c r="F127" s="512"/>
      <c r="G127" s="399"/>
      <c r="H127" s="399"/>
      <c r="I127" s="513"/>
      <c r="J127" s="403"/>
      <c r="K127" s="399"/>
      <c r="L127" s="399"/>
      <c r="M127" s="399"/>
      <c r="N127" s="399"/>
      <c r="O127" s="399"/>
      <c r="P127" s="399"/>
      <c r="Q127" s="399"/>
      <c r="R127" s="400"/>
      <c r="S127" s="303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31" s="55" customFormat="1" ht="15" customHeight="1">
      <c r="A128" s="131">
        <v>107</v>
      </c>
      <c r="B128" s="1590" t="s">
        <v>169</v>
      </c>
      <c r="C128" s="1591"/>
      <c r="D128" s="1591"/>
      <c r="E128" s="1592"/>
      <c r="F128" s="1592"/>
      <c r="G128" s="382">
        <f>SUM(G41:G63,G39,G28,G74)</f>
        <v>4832764</v>
      </c>
      <c r="H128" s="382">
        <f>SUM(H41:H63,H39,H28,H74)</f>
        <v>5148329</v>
      </c>
      <c r="I128" s="511">
        <f>SUM(I41:I63,I39,I28,I74)</f>
        <v>6039289</v>
      </c>
      <c r="J128" s="402"/>
      <c r="K128" s="344"/>
      <c r="L128" s="344"/>
      <c r="M128" s="344"/>
      <c r="N128" s="344"/>
      <c r="O128" s="344"/>
      <c r="P128" s="344"/>
      <c r="Q128" s="344"/>
      <c r="R128" s="357"/>
      <c r="S128" s="303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31" s="974" customFormat="1" ht="15" customHeight="1">
      <c r="A129" s="131">
        <v>108</v>
      </c>
      <c r="B129" s="1017"/>
      <c r="C129" s="1018"/>
      <c r="D129" s="1018"/>
      <c r="E129" s="968" t="s">
        <v>312</v>
      </c>
      <c r="F129" s="1019"/>
      <c r="G129" s="1020"/>
      <c r="H129" s="1020"/>
      <c r="I129" s="1036"/>
      <c r="J129" s="1008">
        <f>SUM(K129:R129)</f>
        <v>5482717</v>
      </c>
      <c r="K129" s="1008">
        <f>SUM(K29,K40,K42,K46,K48,K52,K57,K59,K63,K75,)</f>
        <v>2882682</v>
      </c>
      <c r="L129" s="1008">
        <f aca="true" t="shared" si="6" ref="L129:R129">SUM(L29,L40,L42,L46,L48,L52,L57,L59,L63,L75,)</f>
        <v>565818</v>
      </c>
      <c r="M129" s="1008">
        <f t="shared" si="6"/>
        <v>2006199</v>
      </c>
      <c r="N129" s="1008">
        <f t="shared" si="6"/>
        <v>0</v>
      </c>
      <c r="O129" s="1008">
        <f t="shared" si="6"/>
        <v>178</v>
      </c>
      <c r="P129" s="1008">
        <f t="shared" si="6"/>
        <v>27840</v>
      </c>
      <c r="Q129" s="1008">
        <f t="shared" si="6"/>
        <v>0</v>
      </c>
      <c r="R129" s="1009">
        <f t="shared" si="6"/>
        <v>0</v>
      </c>
      <c r="S129" s="975"/>
      <c r="T129" s="973"/>
      <c r="U129" s="973"/>
      <c r="V129" s="973"/>
      <c r="W129" s="973"/>
      <c r="X129" s="973"/>
      <c r="Y129" s="973"/>
      <c r="Z129" s="973"/>
      <c r="AA129" s="973"/>
      <c r="AB129" s="973"/>
      <c r="AC129" s="973"/>
      <c r="AD129" s="973"/>
      <c r="AE129" s="973"/>
    </row>
    <row r="130" spans="1:31" s="55" customFormat="1" ht="15" customHeight="1">
      <c r="A130" s="131">
        <v>109</v>
      </c>
      <c r="B130" s="1590" t="s">
        <v>168</v>
      </c>
      <c r="C130" s="1591"/>
      <c r="D130" s="1591"/>
      <c r="E130" s="1592"/>
      <c r="F130" s="514"/>
      <c r="G130" s="382"/>
      <c r="H130" s="382"/>
      <c r="I130" s="511"/>
      <c r="J130" s="404"/>
      <c r="K130" s="382"/>
      <c r="L130" s="382"/>
      <c r="M130" s="382"/>
      <c r="N130" s="382"/>
      <c r="O130" s="382"/>
      <c r="P130" s="382"/>
      <c r="Q130" s="382"/>
      <c r="R130" s="392"/>
      <c r="S130" s="303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</row>
    <row r="131" spans="1:31" s="55" customFormat="1" ht="15" customHeight="1">
      <c r="A131" s="131">
        <v>110</v>
      </c>
      <c r="B131" s="1590" t="s">
        <v>170</v>
      </c>
      <c r="C131" s="1591"/>
      <c r="D131" s="1591"/>
      <c r="E131" s="1592"/>
      <c r="F131" s="1592"/>
      <c r="G131" s="382">
        <f>SUM(G64:G71)</f>
        <v>1061580</v>
      </c>
      <c r="H131" s="382">
        <f>SUM(H64:H71)</f>
        <v>874865</v>
      </c>
      <c r="I131" s="511">
        <f>SUM(I64:I71)</f>
        <v>1231296</v>
      </c>
      <c r="J131" s="404"/>
      <c r="K131" s="382"/>
      <c r="L131" s="382"/>
      <c r="M131" s="382"/>
      <c r="N131" s="382"/>
      <c r="O131" s="382"/>
      <c r="P131" s="382"/>
      <c r="Q131" s="382"/>
      <c r="R131" s="392"/>
      <c r="S131" s="303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31" s="974" customFormat="1" ht="15" customHeight="1">
      <c r="A132" s="131">
        <v>111</v>
      </c>
      <c r="B132" s="1017"/>
      <c r="C132" s="1018"/>
      <c r="D132" s="1018"/>
      <c r="E132" s="968" t="s">
        <v>312</v>
      </c>
      <c r="F132" s="1019"/>
      <c r="G132" s="1020"/>
      <c r="H132" s="1020"/>
      <c r="I132" s="1021"/>
      <c r="J132" s="1022">
        <f>SUM(K132:R132)</f>
        <v>880295</v>
      </c>
      <c r="K132" s="1008">
        <f aca="true" t="shared" si="7" ref="K132:R132">SUM(K65,K67,K71)+K69</f>
        <v>419213</v>
      </c>
      <c r="L132" s="1008">
        <f t="shared" si="7"/>
        <v>80016</v>
      </c>
      <c r="M132" s="1008">
        <f t="shared" si="7"/>
        <v>376235</v>
      </c>
      <c r="N132" s="1008">
        <f t="shared" si="7"/>
        <v>0</v>
      </c>
      <c r="O132" s="1008">
        <f t="shared" si="7"/>
        <v>0</v>
      </c>
      <c r="P132" s="1008">
        <f t="shared" si="7"/>
        <v>4831</v>
      </c>
      <c r="Q132" s="1008">
        <f t="shared" si="7"/>
        <v>0</v>
      </c>
      <c r="R132" s="1009">
        <f t="shared" si="7"/>
        <v>0</v>
      </c>
      <c r="S132" s="975"/>
      <c r="T132" s="973"/>
      <c r="U132" s="973"/>
      <c r="V132" s="973"/>
      <c r="W132" s="973"/>
      <c r="X132" s="973"/>
      <c r="Y132" s="973"/>
      <c r="Z132" s="973"/>
      <c r="AA132" s="973"/>
      <c r="AB132" s="973"/>
      <c r="AC132" s="973"/>
      <c r="AD132" s="973"/>
      <c r="AE132" s="973"/>
    </row>
    <row r="133" spans="1:31" s="55" customFormat="1" ht="15" customHeight="1">
      <c r="A133" s="131">
        <v>112</v>
      </c>
      <c r="B133" s="1590" t="s">
        <v>168</v>
      </c>
      <c r="C133" s="1591"/>
      <c r="D133" s="1591"/>
      <c r="E133" s="1592"/>
      <c r="F133" s="514"/>
      <c r="G133" s="382"/>
      <c r="H133" s="382"/>
      <c r="I133" s="511"/>
      <c r="J133" s="404"/>
      <c r="K133" s="397"/>
      <c r="L133" s="397"/>
      <c r="M133" s="397"/>
      <c r="N133" s="397"/>
      <c r="O133" s="397"/>
      <c r="P133" s="397"/>
      <c r="Q133" s="397"/>
      <c r="R133" s="398"/>
      <c r="S133" s="303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31" s="55" customFormat="1" ht="15" customHeight="1">
      <c r="A134" s="131">
        <v>123</v>
      </c>
      <c r="B134" s="1593" t="s">
        <v>171</v>
      </c>
      <c r="C134" s="1594"/>
      <c r="D134" s="1594"/>
      <c r="E134" s="1595"/>
      <c r="F134" s="1595"/>
      <c r="G134" s="380">
        <f>SUM(G123)</f>
        <v>1459238</v>
      </c>
      <c r="H134" s="380">
        <f>SUM(H123)</f>
        <v>1572895</v>
      </c>
      <c r="I134" s="515">
        <f>SUM(I123)</f>
        <v>1903057</v>
      </c>
      <c r="J134" s="404"/>
      <c r="K134" s="382"/>
      <c r="L134" s="382"/>
      <c r="M134" s="382"/>
      <c r="N134" s="382"/>
      <c r="O134" s="382"/>
      <c r="P134" s="382"/>
      <c r="Q134" s="382"/>
      <c r="R134" s="392"/>
      <c r="S134" s="303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</row>
    <row r="135" spans="1:31" s="1029" customFormat="1" ht="15" customHeight="1" thickBot="1">
      <c r="A135" s="131">
        <v>114</v>
      </c>
      <c r="B135" s="1023"/>
      <c r="C135" s="1024"/>
      <c r="D135" s="1024"/>
      <c r="E135" s="997" t="s">
        <v>312</v>
      </c>
      <c r="F135" s="1025"/>
      <c r="G135" s="1026"/>
      <c r="H135" s="1026"/>
      <c r="I135" s="1027"/>
      <c r="J135" s="1028">
        <f>SUM(K135:R135)</f>
        <v>1675561</v>
      </c>
      <c r="K135" s="1015">
        <f>K124</f>
        <v>1137523</v>
      </c>
      <c r="L135" s="1015">
        <f aca="true" t="shared" si="8" ref="L135:R135">L124</f>
        <v>205853</v>
      </c>
      <c r="M135" s="1015">
        <f t="shared" si="8"/>
        <v>297820</v>
      </c>
      <c r="N135" s="1015">
        <f t="shared" si="8"/>
        <v>0</v>
      </c>
      <c r="O135" s="1015">
        <f t="shared" si="8"/>
        <v>0</v>
      </c>
      <c r="P135" s="1015">
        <f t="shared" si="8"/>
        <v>34365</v>
      </c>
      <c r="Q135" s="1015">
        <f t="shared" si="8"/>
        <v>0</v>
      </c>
      <c r="R135" s="1016">
        <f t="shared" si="8"/>
        <v>0</v>
      </c>
      <c r="S135" s="991"/>
      <c r="T135" s="991"/>
      <c r="U135" s="991"/>
      <c r="V135" s="991"/>
      <c r="W135" s="991"/>
      <c r="X135" s="991"/>
      <c r="Y135" s="991"/>
      <c r="Z135" s="991"/>
      <c r="AA135" s="991"/>
      <c r="AB135" s="991"/>
      <c r="AC135" s="991"/>
      <c r="AD135" s="991"/>
      <c r="AE135" s="991"/>
    </row>
    <row r="136" spans="1:31" s="1032" customFormat="1" ht="18" customHeight="1">
      <c r="A136" s="1030"/>
      <c r="B136" s="1034" t="s">
        <v>27</v>
      </c>
      <c r="C136" s="1034"/>
      <c r="D136" s="1034"/>
      <c r="E136" s="1031"/>
      <c r="F136" s="594"/>
      <c r="G136" s="595"/>
      <c r="H136" s="595"/>
      <c r="I136" s="595"/>
      <c r="J136" s="596"/>
      <c r="K136" s="595"/>
      <c r="L136" s="595"/>
      <c r="M136" s="595"/>
      <c r="N136" s="595"/>
      <c r="O136" s="595"/>
      <c r="P136" s="595"/>
      <c r="Q136" s="595"/>
      <c r="R136" s="595"/>
      <c r="S136" s="1244"/>
      <c r="T136" s="1244"/>
      <c r="U136" s="1244"/>
      <c r="V136" s="1244"/>
      <c r="W136" s="1244"/>
      <c r="X136" s="1244"/>
      <c r="Y136" s="1244"/>
      <c r="Z136" s="1244"/>
      <c r="AA136" s="1244"/>
      <c r="AB136" s="1244"/>
      <c r="AC136" s="1244"/>
      <c r="AD136" s="1244"/>
      <c r="AE136" s="1244"/>
    </row>
    <row r="137" spans="1:31" s="155" customFormat="1" ht="18" customHeight="1">
      <c r="A137" s="1030"/>
      <c r="B137" s="1033" t="s">
        <v>28</v>
      </c>
      <c r="C137" s="1033"/>
      <c r="D137" s="1033"/>
      <c r="E137" s="54"/>
      <c r="F137" s="54"/>
      <c r="G137" s="54"/>
      <c r="H137" s="54"/>
      <c r="I137" s="54"/>
      <c r="J137" s="54"/>
      <c r="K137" s="116"/>
      <c r="L137" s="116"/>
      <c r="M137" s="116"/>
      <c r="N137" s="116"/>
      <c r="O137" s="116"/>
      <c r="P137" s="116"/>
      <c r="Q137" s="116"/>
      <c r="R137" s="116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</row>
    <row r="138" spans="1:31" s="53" customFormat="1" ht="18" customHeight="1">
      <c r="A138" s="1030"/>
      <c r="B138" s="1033" t="s">
        <v>29</v>
      </c>
      <c r="C138" s="1033"/>
      <c r="D138" s="1033"/>
      <c r="E138" s="54"/>
      <c r="F138" s="498"/>
      <c r="G138" s="116"/>
      <c r="H138" s="116"/>
      <c r="I138" s="116"/>
      <c r="J138" s="734"/>
      <c r="K138" s="116"/>
      <c r="L138" s="116"/>
      <c r="M138" s="116"/>
      <c r="N138" s="116"/>
      <c r="O138" s="116"/>
      <c r="P138" s="116"/>
      <c r="Q138" s="116"/>
      <c r="R138" s="116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</row>
    <row r="139" spans="7:18" ht="15">
      <c r="G139" s="299">
        <f>+G125-G128-G131-G134</f>
        <v>0</v>
      </c>
      <c r="H139" s="299">
        <f>+H125-H128-H131-H134</f>
        <v>0</v>
      </c>
      <c r="I139" s="299">
        <f>+I125-I128-I131-I134</f>
        <v>0</v>
      </c>
      <c r="J139" s="157">
        <f>+J126-J129-J132-J135</f>
        <v>0</v>
      </c>
      <c r="K139" s="157">
        <f>+K126-K129-K132-K135</f>
        <v>0</v>
      </c>
      <c r="L139" s="157">
        <f aca="true" t="shared" si="9" ref="L139:R139">+L126-L129-L132-L135</f>
        <v>0</v>
      </c>
      <c r="M139" s="157">
        <f t="shared" si="9"/>
        <v>0</v>
      </c>
      <c r="N139" s="157">
        <f t="shared" si="9"/>
        <v>0</v>
      </c>
      <c r="O139" s="157">
        <f t="shared" si="9"/>
        <v>0</v>
      </c>
      <c r="P139" s="157">
        <f t="shared" si="9"/>
        <v>0</v>
      </c>
      <c r="Q139" s="157">
        <f t="shared" si="9"/>
        <v>0</v>
      </c>
      <c r="R139" s="157">
        <f t="shared" si="9"/>
        <v>0</v>
      </c>
    </row>
    <row r="140" spans="7:10" ht="15">
      <c r="G140" s="299">
        <f>+G125-'2.Onki'!G7</f>
        <v>0</v>
      </c>
      <c r="H140" s="299">
        <f>+H125-'2.Onki'!H7</f>
        <v>0</v>
      </c>
      <c r="J140" s="157">
        <f>+J126-'2.Onki'!J7</f>
        <v>0</v>
      </c>
    </row>
  </sheetData>
  <sheetProtection/>
  <mergeCells count="38">
    <mergeCell ref="B130:E130"/>
    <mergeCell ref="B131:F131"/>
    <mergeCell ref="B133:E133"/>
    <mergeCell ref="B134:F134"/>
    <mergeCell ref="D117:E117"/>
    <mergeCell ref="D122:E122"/>
    <mergeCell ref="C123:E123"/>
    <mergeCell ref="B125:E125"/>
    <mergeCell ref="B127:E127"/>
    <mergeCell ref="B128:F128"/>
    <mergeCell ref="D107:E107"/>
    <mergeCell ref="C28:E28"/>
    <mergeCell ref="C39:E39"/>
    <mergeCell ref="D63:E63"/>
    <mergeCell ref="D68:E68"/>
    <mergeCell ref="C72:E72"/>
    <mergeCell ref="B76:E76"/>
    <mergeCell ref="D91:E91"/>
    <mergeCell ref="D93:E93"/>
    <mergeCell ref="D95:E95"/>
    <mergeCell ref="D100:E100"/>
    <mergeCell ref="D102:E102"/>
    <mergeCell ref="D26:E26"/>
    <mergeCell ref="B1:G1"/>
    <mergeCell ref="B2:R2"/>
    <mergeCell ref="B3:R3"/>
    <mergeCell ref="Q4:R4"/>
    <mergeCell ref="D5:E5"/>
    <mergeCell ref="B6:B7"/>
    <mergeCell ref="C6:C7"/>
    <mergeCell ref="D6:E7"/>
    <mergeCell ref="F6:F7"/>
    <mergeCell ref="G6:G7"/>
    <mergeCell ref="H6:H7"/>
    <mergeCell ref="I6:I7"/>
    <mergeCell ref="J6:J7"/>
    <mergeCell ref="K6:O6"/>
    <mergeCell ref="P6:R6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 - &amp;P -</oddFooter>
  </headerFooter>
  <rowBreaks count="1" manualBreakCount="1">
    <brk id="7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4"/>
  <sheetViews>
    <sheetView view="pageBreakPreview" zoomScaleSheetLayoutView="100" zoomScalePageLayoutView="0" workbookViewId="0" topLeftCell="A1">
      <pane ySplit="7" topLeftCell="A76" activePane="bottomLeft" state="frozen"/>
      <selection pane="topLeft" activeCell="I6" sqref="I6"/>
      <selection pane="bottomLeft" activeCell="B1" sqref="B1:D1"/>
    </sheetView>
  </sheetViews>
  <sheetFormatPr defaultColWidth="9.125" defaultRowHeight="12.75"/>
  <cols>
    <col min="1" max="1" width="3.75390625" style="1059" customWidth="1"/>
    <col min="2" max="2" width="5.75390625" style="1048" customWidth="1"/>
    <col min="3" max="3" width="5.75390625" style="1049" customWidth="1"/>
    <col min="4" max="4" width="59.75390625" style="1050" customWidth="1"/>
    <col min="5" max="5" width="6.75390625" style="1051" customWidth="1"/>
    <col min="6" max="7" width="13.75390625" style="1119" customWidth="1"/>
    <col min="8" max="8" width="13.75390625" style="1052" customWidth="1"/>
    <col min="9" max="9" width="15.75390625" style="1052" customWidth="1"/>
    <col min="10" max="16384" width="9.125" style="1054" customWidth="1"/>
  </cols>
  <sheetData>
    <row r="1" spans="1:247" s="1046" customFormat="1" ht="18" customHeight="1">
      <c r="A1" s="1248"/>
      <c r="B1" s="1609" t="s">
        <v>1009</v>
      </c>
      <c r="C1" s="1609"/>
      <c r="D1" s="1609"/>
      <c r="E1" s="1249"/>
      <c r="F1" s="1250"/>
      <c r="G1" s="1250"/>
      <c r="H1" s="1251"/>
      <c r="I1" s="1045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2"/>
      <c r="AA1" s="1252"/>
      <c r="AB1" s="1252"/>
      <c r="AC1" s="1252"/>
      <c r="AD1" s="1252"/>
      <c r="AE1" s="1252"/>
      <c r="AF1" s="1252"/>
      <c r="AG1" s="1252"/>
      <c r="AH1" s="1252"/>
      <c r="AI1" s="1252"/>
      <c r="AJ1" s="1252"/>
      <c r="AK1" s="1252"/>
      <c r="AL1" s="1252"/>
      <c r="AM1" s="1252"/>
      <c r="AN1" s="1252"/>
      <c r="AO1" s="1252"/>
      <c r="AP1" s="1252"/>
      <c r="AQ1" s="1252"/>
      <c r="AR1" s="1252"/>
      <c r="AS1" s="1252"/>
      <c r="AT1" s="1252"/>
      <c r="AU1" s="1252"/>
      <c r="AV1" s="1252"/>
      <c r="AW1" s="1252"/>
      <c r="AX1" s="1252"/>
      <c r="AY1" s="1252"/>
      <c r="AZ1" s="1252"/>
      <c r="BA1" s="1252"/>
      <c r="BB1" s="1252"/>
      <c r="BC1" s="1252"/>
      <c r="BD1" s="1252"/>
      <c r="BE1" s="1252"/>
      <c r="BF1" s="1252"/>
      <c r="BG1" s="1252"/>
      <c r="BH1" s="1252"/>
      <c r="BI1" s="1252"/>
      <c r="BJ1" s="1252"/>
      <c r="BK1" s="1252"/>
      <c r="BL1" s="1252"/>
      <c r="BM1" s="1252"/>
      <c r="BN1" s="1252"/>
      <c r="BO1" s="1252"/>
      <c r="BP1" s="1252"/>
      <c r="BQ1" s="1252"/>
      <c r="BR1" s="1252"/>
      <c r="BS1" s="1252"/>
      <c r="BT1" s="1252"/>
      <c r="BU1" s="1252"/>
      <c r="BV1" s="1252"/>
      <c r="BW1" s="1252"/>
      <c r="BX1" s="1252"/>
      <c r="BY1" s="1252"/>
      <c r="BZ1" s="1252"/>
      <c r="CA1" s="1252"/>
      <c r="CB1" s="1252"/>
      <c r="CC1" s="1252"/>
      <c r="CD1" s="1252"/>
      <c r="CE1" s="1252"/>
      <c r="CF1" s="1252"/>
      <c r="CG1" s="1252"/>
      <c r="CH1" s="1252"/>
      <c r="CI1" s="1252"/>
      <c r="CJ1" s="1252"/>
      <c r="CK1" s="1252"/>
      <c r="CL1" s="1252"/>
      <c r="CM1" s="1252"/>
      <c r="CN1" s="1252"/>
      <c r="CO1" s="1252"/>
      <c r="CP1" s="1252"/>
      <c r="CQ1" s="1252"/>
      <c r="CR1" s="1252"/>
      <c r="CS1" s="1252"/>
      <c r="CT1" s="1252"/>
      <c r="CU1" s="1252"/>
      <c r="CV1" s="1252"/>
      <c r="CW1" s="1252"/>
      <c r="CX1" s="1252"/>
      <c r="CY1" s="1252"/>
      <c r="CZ1" s="1252"/>
      <c r="DA1" s="1252"/>
      <c r="DB1" s="1252"/>
      <c r="DC1" s="1252"/>
      <c r="DD1" s="1252"/>
      <c r="DE1" s="1252"/>
      <c r="DF1" s="1252"/>
      <c r="DG1" s="1252"/>
      <c r="DH1" s="1252"/>
      <c r="DI1" s="1252"/>
      <c r="DJ1" s="1252"/>
      <c r="DK1" s="1252"/>
      <c r="DL1" s="1252"/>
      <c r="DM1" s="1252"/>
      <c r="DN1" s="1252"/>
      <c r="DO1" s="1252"/>
      <c r="DP1" s="1252"/>
      <c r="DQ1" s="1252"/>
      <c r="DR1" s="1252"/>
      <c r="DS1" s="1252"/>
      <c r="DT1" s="1252"/>
      <c r="DU1" s="1252"/>
      <c r="DV1" s="1252"/>
      <c r="DW1" s="1252"/>
      <c r="DX1" s="1252"/>
      <c r="DY1" s="1252"/>
      <c r="DZ1" s="1252"/>
      <c r="EA1" s="1252"/>
      <c r="EB1" s="1252"/>
      <c r="EC1" s="1252"/>
      <c r="ED1" s="1252"/>
      <c r="EE1" s="1252"/>
      <c r="EF1" s="1252"/>
      <c r="EG1" s="1252"/>
      <c r="EH1" s="1252"/>
      <c r="EI1" s="1252"/>
      <c r="EJ1" s="1252"/>
      <c r="EK1" s="1252"/>
      <c r="EL1" s="1252"/>
      <c r="EM1" s="1252"/>
      <c r="EN1" s="1252"/>
      <c r="EO1" s="1252"/>
      <c r="EP1" s="1252"/>
      <c r="EQ1" s="1252"/>
      <c r="ER1" s="1252"/>
      <c r="ES1" s="1252"/>
      <c r="ET1" s="1252"/>
      <c r="EU1" s="1252"/>
      <c r="EV1" s="1252"/>
      <c r="EW1" s="1252"/>
      <c r="EX1" s="1252"/>
      <c r="EY1" s="1252"/>
      <c r="EZ1" s="1252"/>
      <c r="FA1" s="1252"/>
      <c r="FB1" s="1252"/>
      <c r="FC1" s="1252"/>
      <c r="FD1" s="1252"/>
      <c r="FE1" s="1252"/>
      <c r="FF1" s="1252"/>
      <c r="FG1" s="1252"/>
      <c r="FH1" s="1252"/>
      <c r="FI1" s="1252"/>
      <c r="FJ1" s="1252"/>
      <c r="FK1" s="1252"/>
      <c r="FL1" s="1252"/>
      <c r="FM1" s="1252"/>
      <c r="FN1" s="1252"/>
      <c r="FO1" s="1252"/>
      <c r="FP1" s="1252"/>
      <c r="FQ1" s="1252"/>
      <c r="FR1" s="1252"/>
      <c r="FS1" s="1252"/>
      <c r="FT1" s="1252"/>
      <c r="FU1" s="1252"/>
      <c r="FV1" s="1252"/>
      <c r="FW1" s="1252"/>
      <c r="FX1" s="1252"/>
      <c r="FY1" s="1252"/>
      <c r="FZ1" s="1252"/>
      <c r="GA1" s="1252"/>
      <c r="GB1" s="1252"/>
      <c r="GC1" s="1252"/>
      <c r="GD1" s="1252"/>
      <c r="GE1" s="1252"/>
      <c r="GF1" s="1252"/>
      <c r="GG1" s="1252"/>
      <c r="GH1" s="1252"/>
      <c r="GI1" s="1252"/>
      <c r="GJ1" s="1252"/>
      <c r="GK1" s="1252"/>
      <c r="GL1" s="1252"/>
      <c r="GM1" s="1252"/>
      <c r="GN1" s="1252"/>
      <c r="GO1" s="1252"/>
      <c r="GP1" s="1252"/>
      <c r="GQ1" s="1252"/>
      <c r="GR1" s="1252"/>
      <c r="GS1" s="1252"/>
      <c r="GT1" s="1252"/>
      <c r="GU1" s="1252"/>
      <c r="GV1" s="1252"/>
      <c r="GW1" s="1252"/>
      <c r="GX1" s="1252"/>
      <c r="GY1" s="1252"/>
      <c r="GZ1" s="1252"/>
      <c r="HA1" s="1252"/>
      <c r="HB1" s="1252"/>
      <c r="HC1" s="1252"/>
      <c r="HD1" s="1252"/>
      <c r="HE1" s="1252"/>
      <c r="HF1" s="1252"/>
      <c r="HG1" s="1252"/>
      <c r="HH1" s="1252"/>
      <c r="HI1" s="1252"/>
      <c r="HJ1" s="1252"/>
      <c r="HK1" s="1252"/>
      <c r="HL1" s="1252"/>
      <c r="HM1" s="1252"/>
      <c r="HN1" s="1252"/>
      <c r="HO1" s="1252"/>
      <c r="HP1" s="1252"/>
      <c r="HQ1" s="1252"/>
      <c r="HR1" s="1252"/>
      <c r="HS1" s="1252"/>
      <c r="HT1" s="1252"/>
      <c r="HU1" s="1252"/>
      <c r="HV1" s="1252"/>
      <c r="HW1" s="1252"/>
      <c r="HX1" s="1252"/>
      <c r="HY1" s="1252"/>
      <c r="HZ1" s="1252"/>
      <c r="IA1" s="1252"/>
      <c r="IB1" s="1252"/>
      <c r="IC1" s="1252"/>
      <c r="ID1" s="1252"/>
      <c r="IE1" s="1252"/>
      <c r="IF1" s="1252"/>
      <c r="IG1" s="1252"/>
      <c r="IH1" s="1252"/>
      <c r="II1" s="1252"/>
      <c r="IJ1" s="1252"/>
      <c r="IK1" s="1252"/>
      <c r="IL1" s="1252"/>
      <c r="IM1" s="1252"/>
    </row>
    <row r="2" spans="1:9" s="1046" customFormat="1" ht="24.75" customHeight="1">
      <c r="A2" s="1047"/>
      <c r="B2" s="1610" t="s">
        <v>142</v>
      </c>
      <c r="C2" s="1610"/>
      <c r="D2" s="1610"/>
      <c r="E2" s="1610"/>
      <c r="F2" s="1610"/>
      <c r="G2" s="1610"/>
      <c r="H2" s="1610"/>
      <c r="I2" s="1610"/>
    </row>
    <row r="3" spans="1:9" s="1046" customFormat="1" ht="24.75" customHeight="1">
      <c r="A3" s="1047"/>
      <c r="B3" s="1611" t="s">
        <v>649</v>
      </c>
      <c r="C3" s="1611"/>
      <c r="D3" s="1611"/>
      <c r="E3" s="1611"/>
      <c r="F3" s="1611"/>
      <c r="G3" s="1611"/>
      <c r="H3" s="1611"/>
      <c r="I3" s="1611"/>
    </row>
    <row r="4" spans="1:9" ht="18" customHeight="1">
      <c r="A4" s="1048"/>
      <c r="I4" s="1053" t="s">
        <v>0</v>
      </c>
    </row>
    <row r="5" spans="1:247" s="1058" customFormat="1" ht="18" customHeight="1" thickBot="1">
      <c r="A5" s="1055"/>
      <c r="B5" s="1056" t="s">
        <v>1</v>
      </c>
      <c r="C5" s="1057" t="s">
        <v>3</v>
      </c>
      <c r="D5" s="1057" t="s">
        <v>2</v>
      </c>
      <c r="E5" s="1057" t="s">
        <v>4</v>
      </c>
      <c r="F5" s="1057" t="s">
        <v>5</v>
      </c>
      <c r="G5" s="1057" t="s">
        <v>15</v>
      </c>
      <c r="H5" s="1057" t="s">
        <v>16</v>
      </c>
      <c r="I5" s="1057" t="s">
        <v>17</v>
      </c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  <c r="AG5" s="1055"/>
      <c r="AH5" s="1055"/>
      <c r="AI5" s="1055"/>
      <c r="AJ5" s="1055"/>
      <c r="AK5" s="1055"/>
      <c r="AL5" s="1055"/>
      <c r="AM5" s="1055"/>
      <c r="AN5" s="1055"/>
      <c r="AO5" s="1055"/>
      <c r="AP5" s="1055"/>
      <c r="AQ5" s="1055"/>
      <c r="AR5" s="1055"/>
      <c r="AS5" s="1055"/>
      <c r="AT5" s="1055"/>
      <c r="AU5" s="1055"/>
      <c r="AV5" s="1055"/>
      <c r="AW5" s="1055"/>
      <c r="AX5" s="1055"/>
      <c r="AY5" s="1055"/>
      <c r="AZ5" s="1055"/>
      <c r="BA5" s="1055"/>
      <c r="BB5" s="1055"/>
      <c r="BC5" s="1055"/>
      <c r="BD5" s="1055"/>
      <c r="BE5" s="1055"/>
      <c r="BF5" s="1055"/>
      <c r="BG5" s="1055"/>
      <c r="BH5" s="1055"/>
      <c r="BI5" s="1055"/>
      <c r="BJ5" s="1055"/>
      <c r="BK5" s="1055"/>
      <c r="BL5" s="1055"/>
      <c r="BM5" s="1055"/>
      <c r="BN5" s="1055"/>
      <c r="BO5" s="1055"/>
      <c r="BP5" s="1055"/>
      <c r="BQ5" s="1055"/>
      <c r="BR5" s="1055"/>
      <c r="BS5" s="1055"/>
      <c r="BT5" s="1055"/>
      <c r="BU5" s="1055"/>
      <c r="BV5" s="1055"/>
      <c r="BW5" s="1055"/>
      <c r="BX5" s="1055"/>
      <c r="BY5" s="1055"/>
      <c r="BZ5" s="1055"/>
      <c r="CA5" s="1055"/>
      <c r="CB5" s="1055"/>
      <c r="CC5" s="1055"/>
      <c r="CD5" s="1055"/>
      <c r="CE5" s="1055"/>
      <c r="CF5" s="1055"/>
      <c r="CG5" s="1055"/>
      <c r="CH5" s="1055"/>
      <c r="CI5" s="1055"/>
      <c r="CJ5" s="1055"/>
      <c r="CK5" s="1055"/>
      <c r="CL5" s="1055"/>
      <c r="CM5" s="1055"/>
      <c r="CN5" s="1055"/>
      <c r="CO5" s="1055"/>
      <c r="CP5" s="1055"/>
      <c r="CQ5" s="1055"/>
      <c r="CR5" s="1055"/>
      <c r="CS5" s="1055"/>
      <c r="CT5" s="1055"/>
      <c r="CU5" s="1055"/>
      <c r="CV5" s="1055"/>
      <c r="CW5" s="1055"/>
      <c r="CX5" s="1055"/>
      <c r="CY5" s="1055"/>
      <c r="CZ5" s="1055"/>
      <c r="DA5" s="1055"/>
      <c r="DB5" s="1055"/>
      <c r="DC5" s="1055"/>
      <c r="DD5" s="1055"/>
      <c r="DE5" s="1055"/>
      <c r="DF5" s="1055"/>
      <c r="DG5" s="1055"/>
      <c r="DH5" s="1055"/>
      <c r="DI5" s="1055"/>
      <c r="DJ5" s="1055"/>
      <c r="DK5" s="1055"/>
      <c r="DL5" s="1055"/>
      <c r="DM5" s="1055"/>
      <c r="DN5" s="1055"/>
      <c r="DO5" s="1055"/>
      <c r="DP5" s="1055"/>
      <c r="DQ5" s="1055"/>
      <c r="DR5" s="1055"/>
      <c r="DS5" s="1055"/>
      <c r="DT5" s="1055"/>
      <c r="DU5" s="1055"/>
      <c r="DV5" s="1055"/>
      <c r="DW5" s="1055"/>
      <c r="DX5" s="1055"/>
      <c r="DY5" s="1055"/>
      <c r="DZ5" s="1055"/>
      <c r="EA5" s="1055"/>
      <c r="EB5" s="1055"/>
      <c r="EC5" s="1055"/>
      <c r="ED5" s="1055"/>
      <c r="EE5" s="1055"/>
      <c r="EF5" s="1055"/>
      <c r="EG5" s="1055"/>
      <c r="EH5" s="1055"/>
      <c r="EI5" s="1055"/>
      <c r="EJ5" s="1055"/>
      <c r="EK5" s="1055"/>
      <c r="EL5" s="1055"/>
      <c r="EM5" s="1055"/>
      <c r="EN5" s="1055"/>
      <c r="EO5" s="1055"/>
      <c r="EP5" s="1055"/>
      <c r="EQ5" s="1055"/>
      <c r="ER5" s="1055"/>
      <c r="ES5" s="1055"/>
      <c r="ET5" s="1055"/>
      <c r="EU5" s="1055"/>
      <c r="EV5" s="1055"/>
      <c r="EW5" s="1055"/>
      <c r="EX5" s="1055"/>
      <c r="EY5" s="1055"/>
      <c r="EZ5" s="1055"/>
      <c r="FA5" s="1055"/>
      <c r="FB5" s="1055"/>
      <c r="FC5" s="1055"/>
      <c r="FD5" s="1055"/>
      <c r="FE5" s="1055"/>
      <c r="FF5" s="1055"/>
      <c r="FG5" s="1055"/>
      <c r="FH5" s="1055"/>
      <c r="FI5" s="1055"/>
      <c r="FJ5" s="1055"/>
      <c r="FK5" s="1055"/>
      <c r="FL5" s="1055"/>
      <c r="FM5" s="1055"/>
      <c r="FN5" s="1055"/>
      <c r="FO5" s="1055"/>
      <c r="FP5" s="1055"/>
      <c r="FQ5" s="1055"/>
      <c r="FR5" s="1055"/>
      <c r="FS5" s="1055"/>
      <c r="FT5" s="1055"/>
      <c r="FU5" s="1055"/>
      <c r="FV5" s="1055"/>
      <c r="FW5" s="1055"/>
      <c r="FX5" s="1055"/>
      <c r="FY5" s="1055"/>
      <c r="FZ5" s="1055"/>
      <c r="GA5" s="1055"/>
      <c r="GB5" s="1055"/>
      <c r="GC5" s="1055"/>
      <c r="GD5" s="1055"/>
      <c r="GE5" s="1055"/>
      <c r="GF5" s="1055"/>
      <c r="GG5" s="1055"/>
      <c r="GH5" s="1055"/>
      <c r="GI5" s="1055"/>
      <c r="GJ5" s="1055"/>
      <c r="GK5" s="1055"/>
      <c r="GL5" s="1055"/>
      <c r="GM5" s="1055"/>
      <c r="GN5" s="1055"/>
      <c r="GO5" s="1055"/>
      <c r="GP5" s="1055"/>
      <c r="GQ5" s="1055"/>
      <c r="GR5" s="1055"/>
      <c r="GS5" s="1055"/>
      <c r="GT5" s="1055"/>
      <c r="GU5" s="1055"/>
      <c r="GV5" s="1055"/>
      <c r="GW5" s="1055"/>
      <c r="GX5" s="1055"/>
      <c r="GY5" s="1055"/>
      <c r="GZ5" s="1055"/>
      <c r="HA5" s="1055"/>
      <c r="HB5" s="1055"/>
      <c r="HC5" s="1055"/>
      <c r="HD5" s="1055"/>
      <c r="HE5" s="1055"/>
      <c r="HF5" s="1055"/>
      <c r="HG5" s="1055"/>
      <c r="HH5" s="1055"/>
      <c r="HI5" s="1055"/>
      <c r="HJ5" s="1055"/>
      <c r="HK5" s="1055"/>
      <c r="HL5" s="1055"/>
      <c r="HM5" s="1055"/>
      <c r="HN5" s="1055"/>
      <c r="HO5" s="1055"/>
      <c r="HP5" s="1055"/>
      <c r="HQ5" s="1055"/>
      <c r="HR5" s="1055"/>
      <c r="HS5" s="1055"/>
      <c r="HT5" s="1055"/>
      <c r="HU5" s="1055"/>
      <c r="HV5" s="1055"/>
      <c r="HW5" s="1055"/>
      <c r="HX5" s="1055"/>
      <c r="HY5" s="1055"/>
      <c r="HZ5" s="1055"/>
      <c r="IA5" s="1055"/>
      <c r="IB5" s="1055"/>
      <c r="IC5" s="1055"/>
      <c r="ID5" s="1055"/>
      <c r="IE5" s="1055"/>
      <c r="IF5" s="1055"/>
      <c r="IG5" s="1055"/>
      <c r="IH5" s="1055"/>
      <c r="II5" s="1055"/>
      <c r="IJ5" s="1055"/>
      <c r="IK5" s="1055"/>
      <c r="IL5" s="1055"/>
      <c r="IM5" s="1055"/>
    </row>
    <row r="6" spans="2:9" ht="30" customHeight="1">
      <c r="B6" s="1612" t="s">
        <v>18</v>
      </c>
      <c r="C6" s="1614" t="s">
        <v>19</v>
      </c>
      <c r="D6" s="1616" t="s">
        <v>6</v>
      </c>
      <c r="E6" s="1618" t="s">
        <v>303</v>
      </c>
      <c r="F6" s="1620" t="s">
        <v>639</v>
      </c>
      <c r="G6" s="1620" t="s">
        <v>640</v>
      </c>
      <c r="H6" s="1620" t="s">
        <v>641</v>
      </c>
      <c r="I6" s="1601" t="s">
        <v>642</v>
      </c>
    </row>
    <row r="7" spans="2:9" ht="60.75" customHeight="1" thickBot="1">
      <c r="B7" s="1613"/>
      <c r="C7" s="1615"/>
      <c r="D7" s="1617"/>
      <c r="E7" s="1619"/>
      <c r="F7" s="1621"/>
      <c r="G7" s="1621"/>
      <c r="H7" s="1621"/>
      <c r="I7" s="1602"/>
    </row>
    <row r="8" spans="1:9" s="1067" customFormat="1" ht="22.5" customHeight="1">
      <c r="A8" s="1060">
        <v>1</v>
      </c>
      <c r="B8" s="1061">
        <v>1</v>
      </c>
      <c r="C8" s="1062" t="s">
        <v>315</v>
      </c>
      <c r="D8" s="1064"/>
      <c r="E8" s="1063" t="s">
        <v>23</v>
      </c>
      <c r="F8" s="1126">
        <v>1695</v>
      </c>
      <c r="G8" s="1121">
        <v>1800</v>
      </c>
      <c r="H8" s="1234">
        <f>510+3620</f>
        <v>4130</v>
      </c>
      <c r="I8" s="1066"/>
    </row>
    <row r="9" spans="1:9" s="1071" customFormat="1" ht="18" customHeight="1">
      <c r="A9" s="1048">
        <v>2</v>
      </c>
      <c r="B9" s="1061"/>
      <c r="C9" s="1068">
        <v>1</v>
      </c>
      <c r="D9" s="1077" t="s">
        <v>829</v>
      </c>
      <c r="E9" s="1063"/>
      <c r="F9" s="1122"/>
      <c r="G9" s="1123"/>
      <c r="H9" s="1069"/>
      <c r="I9" s="1070">
        <v>510</v>
      </c>
    </row>
    <row r="10" spans="1:9" s="1071" customFormat="1" ht="18" customHeight="1">
      <c r="A10" s="1060">
        <v>3</v>
      </c>
      <c r="B10" s="1061"/>
      <c r="C10" s="1072" t="s">
        <v>474</v>
      </c>
      <c r="D10" s="1073"/>
      <c r="E10" s="1063"/>
      <c r="F10" s="1122">
        <v>217</v>
      </c>
      <c r="G10" s="1123">
        <v>900</v>
      </c>
      <c r="H10" s="1069">
        <f>850+840</f>
        <v>1690</v>
      </c>
      <c r="I10" s="1070"/>
    </row>
    <row r="11" spans="1:9" s="1071" customFormat="1" ht="18" customHeight="1">
      <c r="A11" s="1048">
        <v>4</v>
      </c>
      <c r="B11" s="1061"/>
      <c r="C11" s="1063">
        <v>2</v>
      </c>
      <c r="D11" s="1077" t="s">
        <v>830</v>
      </c>
      <c r="E11" s="1063"/>
      <c r="F11" s="1122"/>
      <c r="G11" s="1123"/>
      <c r="H11" s="1069"/>
      <c r="I11" s="1070">
        <v>200</v>
      </c>
    </row>
    <row r="12" spans="1:9" s="1067" customFormat="1" ht="22.5" customHeight="1">
      <c r="A12" s="1060">
        <v>5</v>
      </c>
      <c r="B12" s="1061">
        <v>2</v>
      </c>
      <c r="C12" s="1074" t="s">
        <v>314</v>
      </c>
      <c r="D12" s="1064"/>
      <c r="E12" s="1063" t="s">
        <v>23</v>
      </c>
      <c r="F12" s="1126">
        <v>2509</v>
      </c>
      <c r="G12" s="1121">
        <v>3300</v>
      </c>
      <c r="H12" s="1234">
        <f>920+425+4935+430+373+358+300</f>
        <v>7741</v>
      </c>
      <c r="I12" s="1066"/>
    </row>
    <row r="13" spans="1:9" s="1071" customFormat="1" ht="18" customHeight="1">
      <c r="A13" s="1048">
        <v>6</v>
      </c>
      <c r="B13" s="1061"/>
      <c r="C13" s="1068">
        <v>1</v>
      </c>
      <c r="D13" s="1077" t="s">
        <v>831</v>
      </c>
      <c r="E13" s="1063"/>
      <c r="F13" s="1122"/>
      <c r="G13" s="1123"/>
      <c r="H13" s="1069"/>
      <c r="I13" s="1070">
        <v>700</v>
      </c>
    </row>
    <row r="14" spans="1:9" s="1071" customFormat="1" ht="18" customHeight="1" hidden="1">
      <c r="A14" s="1060"/>
      <c r="B14" s="1061"/>
      <c r="C14" s="1072" t="s">
        <v>475</v>
      </c>
      <c r="D14" s="1073"/>
      <c r="E14" s="1063"/>
      <c r="F14" s="1122">
        <v>1162</v>
      </c>
      <c r="G14" s="1123"/>
      <c r="H14" s="1069">
        <f>774+3479+165+221</f>
        <v>4639</v>
      </c>
      <c r="I14" s="1070"/>
    </row>
    <row r="15" spans="1:9" s="1067" customFormat="1" ht="22.5" customHeight="1" hidden="1">
      <c r="A15" s="1060"/>
      <c r="B15" s="1061">
        <v>3</v>
      </c>
      <c r="C15" s="1074" t="s">
        <v>267</v>
      </c>
      <c r="D15" s="1064"/>
      <c r="E15" s="1063" t="s">
        <v>23</v>
      </c>
      <c r="F15" s="1126">
        <v>5920</v>
      </c>
      <c r="G15" s="1121">
        <v>1500</v>
      </c>
      <c r="H15" s="1234">
        <f>493+1000+350+250+1320+2275+450+1150</f>
        <v>7288</v>
      </c>
      <c r="I15" s="1066"/>
    </row>
    <row r="16" spans="1:9" s="1071" customFormat="1" ht="18" customHeight="1" hidden="1">
      <c r="A16" s="1048"/>
      <c r="B16" s="1061"/>
      <c r="C16" s="1068">
        <v>1</v>
      </c>
      <c r="D16" s="1077" t="s">
        <v>479</v>
      </c>
      <c r="E16" s="1063"/>
      <c r="F16" s="1122"/>
      <c r="G16" s="1123"/>
      <c r="H16" s="1069"/>
      <c r="I16" s="1070"/>
    </row>
    <row r="17" spans="1:9" s="1071" customFormat="1" ht="18" customHeight="1" hidden="1">
      <c r="A17" s="1060"/>
      <c r="B17" s="1061"/>
      <c r="C17" s="1072" t="s">
        <v>681</v>
      </c>
      <c r="D17" s="1073"/>
      <c r="E17" s="1063"/>
      <c r="F17" s="1122">
        <v>7972</v>
      </c>
      <c r="G17" s="1123">
        <v>1500</v>
      </c>
      <c r="H17" s="1069">
        <f>400+600+350+250+1555+420+1150</f>
        <v>4725</v>
      </c>
      <c r="I17" s="1070"/>
    </row>
    <row r="18" spans="1:9" s="1067" customFormat="1" ht="22.5" customHeight="1" hidden="1">
      <c r="A18" s="1060"/>
      <c r="B18" s="1061">
        <v>4</v>
      </c>
      <c r="C18" s="1074" t="s">
        <v>268</v>
      </c>
      <c r="D18" s="1064"/>
      <c r="E18" s="1063" t="s">
        <v>23</v>
      </c>
      <c r="F18" s="1126">
        <v>3926</v>
      </c>
      <c r="G18" s="1121">
        <v>1000</v>
      </c>
      <c r="H18" s="1234">
        <v>4631</v>
      </c>
      <c r="I18" s="1066"/>
    </row>
    <row r="19" spans="1:9" s="1071" customFormat="1" ht="18" customHeight="1" hidden="1">
      <c r="A19" s="1048"/>
      <c r="B19" s="1061"/>
      <c r="C19" s="1068">
        <v>1</v>
      </c>
      <c r="D19" s="1077" t="s">
        <v>479</v>
      </c>
      <c r="E19" s="1063"/>
      <c r="F19" s="1122"/>
      <c r="G19" s="1123"/>
      <c r="H19" s="1069"/>
      <c r="I19" s="1070"/>
    </row>
    <row r="20" spans="1:9" s="1071" customFormat="1" ht="18" customHeight="1" hidden="1">
      <c r="A20" s="1048"/>
      <c r="B20" s="1061"/>
      <c r="C20" s="1075" t="s">
        <v>476</v>
      </c>
      <c r="D20" s="1077"/>
      <c r="E20" s="1063"/>
      <c r="F20" s="1122">
        <v>2560</v>
      </c>
      <c r="G20" s="1123">
        <v>900</v>
      </c>
      <c r="H20" s="1069">
        <f>1481+1269</f>
        <v>2750</v>
      </c>
      <c r="I20" s="1070"/>
    </row>
    <row r="21" spans="1:9" s="1071" customFormat="1" ht="18" customHeight="1" hidden="1">
      <c r="A21" s="1048"/>
      <c r="B21" s="1061"/>
      <c r="C21" s="1068">
        <v>2</v>
      </c>
      <c r="D21" s="1077" t="s">
        <v>479</v>
      </c>
      <c r="E21" s="1063"/>
      <c r="F21" s="1122"/>
      <c r="G21" s="1123"/>
      <c r="H21" s="1069"/>
      <c r="I21" s="1070"/>
    </row>
    <row r="22" spans="1:9" s="1067" customFormat="1" ht="22.5" customHeight="1" hidden="1">
      <c r="A22" s="1060"/>
      <c r="B22" s="1061">
        <v>5</v>
      </c>
      <c r="C22" s="1074" t="s">
        <v>269</v>
      </c>
      <c r="D22" s="1064"/>
      <c r="E22" s="1063" t="s">
        <v>23</v>
      </c>
      <c r="F22" s="1126">
        <v>4964</v>
      </c>
      <c r="G22" s="1121">
        <v>2400</v>
      </c>
      <c r="H22" s="1234">
        <f>830+580+300+4313+277</f>
        <v>6300</v>
      </c>
      <c r="I22" s="1066"/>
    </row>
    <row r="23" spans="1:9" s="1071" customFormat="1" ht="18" customHeight="1" hidden="1">
      <c r="A23" s="1048"/>
      <c r="B23" s="1061"/>
      <c r="C23" s="1068">
        <v>1</v>
      </c>
      <c r="D23" s="1077" t="s">
        <v>479</v>
      </c>
      <c r="E23" s="1063"/>
      <c r="F23" s="1122"/>
      <c r="G23" s="1123"/>
      <c r="H23" s="1069"/>
      <c r="I23" s="1070"/>
    </row>
    <row r="24" spans="1:9" s="1071" customFormat="1" ht="18" customHeight="1" hidden="1">
      <c r="A24" s="1048"/>
      <c r="B24" s="1061"/>
      <c r="C24" s="1075" t="s">
        <v>477</v>
      </c>
      <c r="D24" s="1077"/>
      <c r="E24" s="1063"/>
      <c r="F24" s="1122">
        <v>4686</v>
      </c>
      <c r="G24" s="1123">
        <v>2900</v>
      </c>
      <c r="H24" s="1069">
        <f>3620+2680</f>
        <v>6300</v>
      </c>
      <c r="I24" s="1070"/>
    </row>
    <row r="25" spans="1:9" s="1071" customFormat="1" ht="18" customHeight="1" hidden="1">
      <c r="A25" s="1048"/>
      <c r="B25" s="1061"/>
      <c r="C25" s="1068">
        <v>2</v>
      </c>
      <c r="D25" s="1077" t="s">
        <v>479</v>
      </c>
      <c r="E25" s="1063"/>
      <c r="F25" s="1122"/>
      <c r="G25" s="1123"/>
      <c r="H25" s="1069"/>
      <c r="I25" s="1070"/>
    </row>
    <row r="26" spans="1:9" s="1067" customFormat="1" ht="22.5" customHeight="1" hidden="1">
      <c r="A26" s="1060"/>
      <c r="B26" s="1061">
        <v>6</v>
      </c>
      <c r="C26" s="1074" t="s">
        <v>270</v>
      </c>
      <c r="D26" s="1064"/>
      <c r="E26" s="1063" t="s">
        <v>23</v>
      </c>
      <c r="F26" s="1126">
        <v>527</v>
      </c>
      <c r="G26" s="1121">
        <v>500</v>
      </c>
      <c r="H26" s="1234">
        <f>230+1320+5111+1500+200</f>
        <v>8361</v>
      </c>
      <c r="I26" s="1066"/>
    </row>
    <row r="27" spans="1:9" s="1071" customFormat="1" ht="18" customHeight="1" hidden="1">
      <c r="A27" s="1048"/>
      <c r="B27" s="1061"/>
      <c r="C27" s="1068">
        <v>1</v>
      </c>
      <c r="D27" s="1077" t="s">
        <v>479</v>
      </c>
      <c r="E27" s="1063"/>
      <c r="F27" s="1122"/>
      <c r="G27" s="1123"/>
      <c r="H27" s="1069"/>
      <c r="I27" s="1070"/>
    </row>
    <row r="28" spans="1:9" s="1071" customFormat="1" ht="18" customHeight="1" hidden="1">
      <c r="A28" s="1048"/>
      <c r="B28" s="1061"/>
      <c r="C28" s="1075" t="s">
        <v>478</v>
      </c>
      <c r="D28" s="1077"/>
      <c r="E28" s="1063"/>
      <c r="F28" s="1122">
        <v>15</v>
      </c>
      <c r="G28" s="1123">
        <v>600</v>
      </c>
      <c r="H28" s="1069">
        <f>370+30+315</f>
        <v>715</v>
      </c>
      <c r="I28" s="1070"/>
    </row>
    <row r="29" spans="1:9" s="1071" customFormat="1" ht="18" customHeight="1" hidden="1">
      <c r="A29" s="1048"/>
      <c r="B29" s="1061"/>
      <c r="C29" s="1068">
        <v>2</v>
      </c>
      <c r="D29" s="1077" t="s">
        <v>479</v>
      </c>
      <c r="E29" s="1063"/>
      <c r="F29" s="1122"/>
      <c r="G29" s="1123"/>
      <c r="H29" s="1069"/>
      <c r="I29" s="1070"/>
    </row>
    <row r="30" spans="1:9" s="1067" customFormat="1" ht="22.5" customHeight="1">
      <c r="A30" s="1060">
        <v>7</v>
      </c>
      <c r="B30" s="1061">
        <v>7</v>
      </c>
      <c r="C30" s="1062" t="s">
        <v>391</v>
      </c>
      <c r="D30" s="1064"/>
      <c r="E30" s="1063" t="s">
        <v>23</v>
      </c>
      <c r="F30" s="1120"/>
      <c r="G30" s="1121"/>
      <c r="H30" s="1065"/>
      <c r="I30" s="1066"/>
    </row>
    <row r="31" spans="1:9" s="1071" customFormat="1" ht="18" customHeight="1">
      <c r="A31" s="1048">
        <v>8</v>
      </c>
      <c r="B31" s="1061"/>
      <c r="C31" s="1075" t="s">
        <v>558</v>
      </c>
      <c r="D31" s="1076"/>
      <c r="E31" s="1063"/>
      <c r="F31" s="1122">
        <v>1083</v>
      </c>
      <c r="G31" s="1123">
        <v>300</v>
      </c>
      <c r="H31" s="1069">
        <f>790+410</f>
        <v>1200</v>
      </c>
      <c r="I31" s="1070"/>
    </row>
    <row r="32" spans="1:9" s="1071" customFormat="1" ht="18" customHeight="1">
      <c r="A32" s="1048">
        <v>9</v>
      </c>
      <c r="B32" s="1061"/>
      <c r="C32" s="1068">
        <v>1</v>
      </c>
      <c r="D32" s="1077" t="s">
        <v>832</v>
      </c>
      <c r="E32" s="1063"/>
      <c r="F32" s="1122"/>
      <c r="G32" s="1123"/>
      <c r="H32" s="1069"/>
      <c r="I32" s="1070">
        <v>120</v>
      </c>
    </row>
    <row r="33" spans="1:9" s="1071" customFormat="1" ht="18" customHeight="1">
      <c r="A33" s="1048">
        <v>10</v>
      </c>
      <c r="B33" s="1061"/>
      <c r="C33" s="1068">
        <v>2</v>
      </c>
      <c r="D33" s="1077" t="s">
        <v>833</v>
      </c>
      <c r="E33" s="1063"/>
      <c r="F33" s="1122"/>
      <c r="G33" s="1123"/>
      <c r="H33" s="1069"/>
      <c r="I33" s="1070">
        <v>300</v>
      </c>
    </row>
    <row r="34" spans="1:9" s="1071" customFormat="1" ht="18" customHeight="1">
      <c r="A34" s="1048">
        <v>11</v>
      </c>
      <c r="B34" s="1061"/>
      <c r="C34" s="1075" t="s">
        <v>480</v>
      </c>
      <c r="D34" s="1076"/>
      <c r="E34" s="1063"/>
      <c r="F34" s="1122">
        <v>1293</v>
      </c>
      <c r="G34" s="1123">
        <v>320</v>
      </c>
      <c r="H34" s="1069">
        <v>2120</v>
      </c>
      <c r="I34" s="1070"/>
    </row>
    <row r="35" spans="1:9" s="1071" customFormat="1" ht="18" customHeight="1">
      <c r="A35" s="1048">
        <v>12</v>
      </c>
      <c r="B35" s="1061"/>
      <c r="C35" s="1068">
        <v>3</v>
      </c>
      <c r="D35" s="1077" t="s">
        <v>834</v>
      </c>
      <c r="E35" s="1063"/>
      <c r="F35" s="1122"/>
      <c r="G35" s="1123"/>
      <c r="H35" s="1069"/>
      <c r="I35" s="1070">
        <v>190</v>
      </c>
    </row>
    <row r="36" spans="1:9" s="1071" customFormat="1" ht="18" customHeight="1">
      <c r="A36" s="1048">
        <v>13</v>
      </c>
      <c r="B36" s="1061"/>
      <c r="C36" s="1075" t="s">
        <v>481</v>
      </c>
      <c r="D36" s="1076"/>
      <c r="E36" s="1063"/>
      <c r="F36" s="1122">
        <v>2601</v>
      </c>
      <c r="G36" s="1123">
        <v>1300</v>
      </c>
      <c r="H36" s="1069">
        <f>2540+560</f>
        <v>3100</v>
      </c>
      <c r="I36" s="1070"/>
    </row>
    <row r="37" spans="1:9" s="1071" customFormat="1" ht="18" customHeight="1">
      <c r="A37" s="1048">
        <v>14</v>
      </c>
      <c r="B37" s="1061"/>
      <c r="C37" s="1068">
        <v>4</v>
      </c>
      <c r="D37" s="1077" t="s">
        <v>835</v>
      </c>
      <c r="E37" s="1063"/>
      <c r="F37" s="1122"/>
      <c r="G37" s="1123"/>
      <c r="H37" s="1069"/>
      <c r="I37" s="1070">
        <v>260</v>
      </c>
    </row>
    <row r="38" spans="1:9" s="1071" customFormat="1" ht="18" customHeight="1">
      <c r="A38" s="1060">
        <v>15</v>
      </c>
      <c r="B38" s="1061"/>
      <c r="C38" s="1075" t="s">
        <v>483</v>
      </c>
      <c r="D38" s="1077"/>
      <c r="E38" s="1063"/>
      <c r="F38" s="1122">
        <v>2227</v>
      </c>
      <c r="G38" s="1123">
        <v>1500</v>
      </c>
      <c r="H38" s="1069">
        <v>3900</v>
      </c>
      <c r="I38" s="1070"/>
    </row>
    <row r="39" spans="1:9" s="1071" customFormat="1" ht="18" customHeight="1">
      <c r="A39" s="1048">
        <v>16</v>
      </c>
      <c r="B39" s="1061"/>
      <c r="C39" s="1068">
        <v>5</v>
      </c>
      <c r="D39" s="1077" t="s">
        <v>836</v>
      </c>
      <c r="E39" s="1063"/>
      <c r="F39" s="1122"/>
      <c r="G39" s="1123"/>
      <c r="H39" s="1069"/>
      <c r="I39" s="1070">
        <v>340</v>
      </c>
    </row>
    <row r="40" spans="1:9" s="1071" customFormat="1" ht="18" customHeight="1">
      <c r="A40" s="1048">
        <v>17</v>
      </c>
      <c r="B40" s="1061"/>
      <c r="C40" s="1075" t="s">
        <v>482</v>
      </c>
      <c r="D40" s="1076"/>
      <c r="E40" s="1063"/>
      <c r="F40" s="1122">
        <v>1803</v>
      </c>
      <c r="G40" s="1123">
        <v>800</v>
      </c>
      <c r="H40" s="1069">
        <v>2300</v>
      </c>
      <c r="I40" s="1070"/>
    </row>
    <row r="41" spans="1:9" s="1071" customFormat="1" ht="18" customHeight="1">
      <c r="A41" s="1048">
        <v>18</v>
      </c>
      <c r="B41" s="1061"/>
      <c r="C41" s="1068">
        <v>6</v>
      </c>
      <c r="D41" s="1077" t="s">
        <v>837</v>
      </c>
      <c r="E41" s="1063"/>
      <c r="F41" s="1122"/>
      <c r="G41" s="1123"/>
      <c r="H41" s="1069"/>
      <c r="I41" s="1070">
        <v>220</v>
      </c>
    </row>
    <row r="42" spans="1:9" s="1071" customFormat="1" ht="18" customHeight="1" hidden="1">
      <c r="A42" s="1048"/>
      <c r="B42" s="1061"/>
      <c r="C42" s="1075" t="s">
        <v>838</v>
      </c>
      <c r="D42" s="1076"/>
      <c r="E42" s="1063"/>
      <c r="F42" s="1122"/>
      <c r="G42" s="1123"/>
      <c r="H42" s="1069">
        <v>300</v>
      </c>
      <c r="I42" s="1070"/>
    </row>
    <row r="43" spans="1:9" s="1071" customFormat="1" ht="18" customHeight="1">
      <c r="A43" s="1048">
        <v>19</v>
      </c>
      <c r="B43" s="1061"/>
      <c r="C43" s="1075" t="s">
        <v>438</v>
      </c>
      <c r="D43" s="1077"/>
      <c r="E43" s="1063"/>
      <c r="F43" s="1122">
        <v>5072</v>
      </c>
      <c r="G43" s="1121">
        <v>2260</v>
      </c>
      <c r="H43" s="1234">
        <f>110+235+650+240+200+1750+2775+1400+8900</f>
        <v>16260</v>
      </c>
      <c r="I43" s="1066"/>
    </row>
    <row r="44" spans="1:9" s="1071" customFormat="1" ht="18" customHeight="1">
      <c r="A44" s="1048">
        <v>20</v>
      </c>
      <c r="B44" s="1061"/>
      <c r="C44" s="1235" t="s">
        <v>839</v>
      </c>
      <c r="D44" s="1077"/>
      <c r="E44" s="1063"/>
      <c r="F44" s="1122"/>
      <c r="G44" s="1121"/>
      <c r="H44" s="1234"/>
      <c r="I44" s="1066"/>
    </row>
    <row r="45" spans="1:9" s="1071" customFormat="1" ht="18" customHeight="1">
      <c r="A45" s="1048">
        <v>21</v>
      </c>
      <c r="B45" s="1061"/>
      <c r="C45" s="1068">
        <v>7</v>
      </c>
      <c r="D45" s="1077" t="s">
        <v>840</v>
      </c>
      <c r="E45" s="1063"/>
      <c r="F45" s="1122"/>
      <c r="G45" s="1123"/>
      <c r="H45" s="1069"/>
      <c r="I45" s="1070">
        <v>200</v>
      </c>
    </row>
    <row r="46" spans="1:9" s="1067" customFormat="1" ht="22.5" customHeight="1" hidden="1">
      <c r="A46" s="1048"/>
      <c r="B46" s="1061">
        <v>8</v>
      </c>
      <c r="C46" s="1074" t="s">
        <v>125</v>
      </c>
      <c r="D46" s="1064"/>
      <c r="E46" s="1063" t="s">
        <v>23</v>
      </c>
      <c r="F46" s="1126">
        <v>905</v>
      </c>
      <c r="G46" s="1121"/>
      <c r="H46" s="1234">
        <f>300+250+250+1824</f>
        <v>2624</v>
      </c>
      <c r="I46" s="1066"/>
    </row>
    <row r="47" spans="1:9" s="1071" customFormat="1" ht="18" customHeight="1" hidden="1">
      <c r="A47" s="1048"/>
      <c r="B47" s="1061"/>
      <c r="C47" s="1068">
        <v>1</v>
      </c>
      <c r="D47" s="1077" t="s">
        <v>479</v>
      </c>
      <c r="E47" s="1063"/>
      <c r="F47" s="1122"/>
      <c r="G47" s="1123"/>
      <c r="H47" s="1069"/>
      <c r="I47" s="1070"/>
    </row>
    <row r="48" spans="1:9" s="1067" customFormat="1" ht="22.5" customHeight="1">
      <c r="A48" s="1060">
        <v>22</v>
      </c>
      <c r="B48" s="1061">
        <v>9</v>
      </c>
      <c r="C48" s="1074" t="s">
        <v>551</v>
      </c>
      <c r="D48" s="1064"/>
      <c r="E48" s="1063" t="s">
        <v>23</v>
      </c>
      <c r="F48" s="1120"/>
      <c r="G48" s="1121">
        <v>4385</v>
      </c>
      <c r="H48" s="1234">
        <f>1340+210+400+400+220+500+3450+650</f>
        <v>7170</v>
      </c>
      <c r="I48" s="1066"/>
    </row>
    <row r="49" spans="1:9" s="1071" customFormat="1" ht="18" customHeight="1">
      <c r="A49" s="1048">
        <v>23</v>
      </c>
      <c r="B49" s="1061"/>
      <c r="C49" s="1068">
        <v>1</v>
      </c>
      <c r="D49" s="1077" t="s">
        <v>841</v>
      </c>
      <c r="E49" s="1063"/>
      <c r="F49" s="1122"/>
      <c r="G49" s="1123"/>
      <c r="H49" s="1069"/>
      <c r="I49" s="1070">
        <v>500</v>
      </c>
    </row>
    <row r="50" spans="1:9" s="1071" customFormat="1" ht="18" customHeight="1">
      <c r="A50" s="1048">
        <v>24</v>
      </c>
      <c r="B50" s="1061"/>
      <c r="C50" s="1068">
        <v>2</v>
      </c>
      <c r="D50" s="1077" t="s">
        <v>842</v>
      </c>
      <c r="E50" s="1063"/>
      <c r="F50" s="1122"/>
      <c r="G50" s="1123"/>
      <c r="H50" s="1069"/>
      <c r="I50" s="1070">
        <v>300</v>
      </c>
    </row>
    <row r="51" spans="1:9" s="1071" customFormat="1" ht="18" customHeight="1">
      <c r="A51" s="1048">
        <v>25</v>
      </c>
      <c r="B51" s="1061"/>
      <c r="C51" s="1068">
        <v>3</v>
      </c>
      <c r="D51" s="1077" t="s">
        <v>843</v>
      </c>
      <c r="E51" s="1063"/>
      <c r="F51" s="1122"/>
      <c r="G51" s="1123"/>
      <c r="H51" s="1069"/>
      <c r="I51" s="1070">
        <v>200</v>
      </c>
    </row>
    <row r="52" spans="1:9" s="1071" customFormat="1" ht="18" customHeight="1">
      <c r="A52" s="1048">
        <v>26</v>
      </c>
      <c r="B52" s="1061"/>
      <c r="C52" s="1068">
        <v>4</v>
      </c>
      <c r="D52" s="1077" t="s">
        <v>844</v>
      </c>
      <c r="E52" s="1063"/>
      <c r="F52" s="1122"/>
      <c r="G52" s="1123"/>
      <c r="H52" s="1069"/>
      <c r="I52" s="1070">
        <v>150</v>
      </c>
    </row>
    <row r="53" spans="1:9" s="1067" customFormat="1" ht="22.5" customHeight="1">
      <c r="A53" s="1048">
        <v>27</v>
      </c>
      <c r="B53" s="1061">
        <v>10</v>
      </c>
      <c r="C53" s="1062" t="s">
        <v>553</v>
      </c>
      <c r="D53" s="1064"/>
      <c r="E53" s="1063" t="s">
        <v>23</v>
      </c>
      <c r="F53" s="1126">
        <v>13964</v>
      </c>
      <c r="G53" s="1121">
        <v>5000</v>
      </c>
      <c r="H53" s="1234">
        <f>2500+300+1640+600+400+254+254+600+250+934</f>
        <v>7732</v>
      </c>
      <c r="I53" s="1066"/>
    </row>
    <row r="54" spans="1:9" s="1071" customFormat="1" ht="18" customHeight="1" hidden="1">
      <c r="A54" s="1048"/>
      <c r="B54" s="1061"/>
      <c r="C54" s="1068">
        <v>1</v>
      </c>
      <c r="D54" s="1077" t="s">
        <v>479</v>
      </c>
      <c r="E54" s="1063"/>
      <c r="F54" s="1122"/>
      <c r="G54" s="1123"/>
      <c r="H54" s="1069"/>
      <c r="I54" s="1070"/>
    </row>
    <row r="55" spans="1:9" s="1241" customFormat="1" ht="30" customHeight="1">
      <c r="A55" s="1048">
        <v>28</v>
      </c>
      <c r="B55" s="1236"/>
      <c r="C55" s="1078">
        <v>2</v>
      </c>
      <c r="D55" s="1237" t="s">
        <v>845</v>
      </c>
      <c r="E55" s="1082"/>
      <c r="F55" s="1238"/>
      <c r="G55" s="1239"/>
      <c r="H55" s="1240">
        <v>4050</v>
      </c>
      <c r="I55" s="1070">
        <v>4050</v>
      </c>
    </row>
    <row r="56" spans="1:9" s="1067" customFormat="1" ht="22.5" customHeight="1" hidden="1">
      <c r="A56" s="1060"/>
      <c r="B56" s="1061">
        <v>11</v>
      </c>
      <c r="C56" s="1074" t="s">
        <v>533</v>
      </c>
      <c r="D56" s="1064"/>
      <c r="E56" s="1063" t="s">
        <v>23</v>
      </c>
      <c r="F56" s="1126">
        <v>10145</v>
      </c>
      <c r="G56" s="1121">
        <v>4400</v>
      </c>
      <c r="H56" s="1234">
        <f>2000+900+2327+200+1313+1650+30+250+1323+622</f>
        <v>10615</v>
      </c>
      <c r="I56" s="1066"/>
    </row>
    <row r="57" spans="1:9" s="1071" customFormat="1" ht="18" customHeight="1" hidden="1">
      <c r="A57" s="1048"/>
      <c r="B57" s="1061"/>
      <c r="C57" s="1068">
        <v>1</v>
      </c>
      <c r="D57" s="1077" t="s">
        <v>479</v>
      </c>
      <c r="E57" s="1063"/>
      <c r="F57" s="1122"/>
      <c r="G57" s="1123"/>
      <c r="H57" s="1069"/>
      <c r="I57" s="1070"/>
    </row>
    <row r="58" spans="1:9" s="1067" customFormat="1" ht="22.5" customHeight="1">
      <c r="A58" s="1048">
        <v>29</v>
      </c>
      <c r="B58" s="1061">
        <v>12</v>
      </c>
      <c r="C58" s="1074" t="s">
        <v>25</v>
      </c>
      <c r="D58" s="1064"/>
      <c r="E58" s="1063" t="s">
        <v>23</v>
      </c>
      <c r="F58" s="1126">
        <v>7550</v>
      </c>
      <c r="G58" s="1121">
        <v>2000</v>
      </c>
      <c r="H58" s="1234">
        <f>1106+1737+1848+92</f>
        <v>4783</v>
      </c>
      <c r="I58" s="1066"/>
    </row>
    <row r="59" spans="1:9" s="1071" customFormat="1" ht="18" customHeight="1" hidden="1">
      <c r="A59" s="1048"/>
      <c r="B59" s="1061"/>
      <c r="C59" s="1068">
        <v>1</v>
      </c>
      <c r="D59" s="1077" t="s">
        <v>479</v>
      </c>
      <c r="E59" s="1063"/>
      <c r="F59" s="1122"/>
      <c r="G59" s="1123"/>
      <c r="H59" s="1069"/>
      <c r="I59" s="1070"/>
    </row>
    <row r="60" spans="1:9" s="1071" customFormat="1" ht="30">
      <c r="A60" s="1048">
        <v>30</v>
      </c>
      <c r="B60" s="1061"/>
      <c r="C60" s="1078">
        <v>1</v>
      </c>
      <c r="D60" s="1077" t="s">
        <v>439</v>
      </c>
      <c r="E60" s="1063"/>
      <c r="F60" s="1122">
        <v>21775</v>
      </c>
      <c r="G60" s="1123">
        <v>15000</v>
      </c>
      <c r="H60" s="1069">
        <v>20716</v>
      </c>
      <c r="I60" s="1070">
        <v>16000</v>
      </c>
    </row>
    <row r="61" spans="1:9" s="1071" customFormat="1" ht="30">
      <c r="A61" s="1048">
        <v>31</v>
      </c>
      <c r="B61" s="1061"/>
      <c r="C61" s="1078">
        <v>2</v>
      </c>
      <c r="D61" s="1077" t="s">
        <v>845</v>
      </c>
      <c r="E61" s="1063"/>
      <c r="F61" s="1122"/>
      <c r="G61" s="1123"/>
      <c r="H61" s="1069">
        <v>2400</v>
      </c>
      <c r="I61" s="1070">
        <v>2400</v>
      </c>
    </row>
    <row r="62" spans="1:9" s="1067" customFormat="1" ht="22.5" customHeight="1">
      <c r="A62" s="1060">
        <v>32</v>
      </c>
      <c r="B62" s="1061">
        <v>13</v>
      </c>
      <c r="C62" s="1074" t="s">
        <v>34</v>
      </c>
      <c r="D62" s="1064"/>
      <c r="E62" s="1063" t="s">
        <v>23</v>
      </c>
      <c r="F62" s="1126">
        <v>7372</v>
      </c>
      <c r="G62" s="1121">
        <v>25158</v>
      </c>
      <c r="H62" s="1234">
        <v>67253</v>
      </c>
      <c r="I62" s="1066"/>
    </row>
    <row r="63" spans="1:9" s="1071" customFormat="1" ht="18" customHeight="1">
      <c r="A63" s="1048">
        <v>33</v>
      </c>
      <c r="B63" s="1061"/>
      <c r="C63" s="1068">
        <v>1</v>
      </c>
      <c r="D63" s="1077" t="s">
        <v>479</v>
      </c>
      <c r="E63" s="1063"/>
      <c r="F63" s="1122"/>
      <c r="G63" s="1123"/>
      <c r="H63" s="1069"/>
      <c r="I63" s="1070">
        <v>700</v>
      </c>
    </row>
    <row r="64" spans="1:9" s="1071" customFormat="1" ht="18" customHeight="1">
      <c r="A64" s="1048">
        <v>34</v>
      </c>
      <c r="B64" s="1061"/>
      <c r="C64" s="1068">
        <v>2</v>
      </c>
      <c r="D64" s="1144" t="s">
        <v>846</v>
      </c>
      <c r="E64" s="1063"/>
      <c r="F64" s="1122"/>
      <c r="G64" s="1123"/>
      <c r="H64" s="1069"/>
      <c r="I64" s="1070">
        <v>500</v>
      </c>
    </row>
    <row r="65" spans="1:9" s="1071" customFormat="1" ht="45" customHeight="1" hidden="1">
      <c r="A65" s="1048"/>
      <c r="B65" s="1061"/>
      <c r="C65" s="1078">
        <v>3</v>
      </c>
      <c r="D65" s="1146" t="s">
        <v>847</v>
      </c>
      <c r="E65" s="1063"/>
      <c r="F65" s="1122"/>
      <c r="G65" s="1123">
        <v>53846</v>
      </c>
      <c r="H65" s="1069">
        <v>55440</v>
      </c>
      <c r="I65" s="1070"/>
    </row>
    <row r="66" spans="1:9" s="1067" customFormat="1" ht="22.5" customHeight="1">
      <c r="A66" s="1048">
        <v>35</v>
      </c>
      <c r="B66" s="1061">
        <v>14</v>
      </c>
      <c r="C66" s="1074" t="s">
        <v>534</v>
      </c>
      <c r="D66" s="1064"/>
      <c r="E66" s="1063" t="s">
        <v>24</v>
      </c>
      <c r="F66" s="1126">
        <v>6050</v>
      </c>
      <c r="G66" s="1121">
        <v>4000</v>
      </c>
      <c r="H66" s="1234">
        <f>323+203+1495+500</f>
        <v>2521</v>
      </c>
      <c r="I66" s="1066"/>
    </row>
    <row r="67" spans="1:9" s="1071" customFormat="1" ht="18" customHeight="1" hidden="1">
      <c r="A67" s="1048"/>
      <c r="B67" s="1061"/>
      <c r="C67" s="1068">
        <v>1</v>
      </c>
      <c r="D67" s="1077" t="s">
        <v>479</v>
      </c>
      <c r="E67" s="1063"/>
      <c r="F67" s="1122"/>
      <c r="G67" s="1123"/>
      <c r="H67" s="1069"/>
      <c r="I67" s="1070"/>
    </row>
    <row r="68" spans="1:9" s="1071" customFormat="1" ht="30">
      <c r="A68" s="1048">
        <v>36</v>
      </c>
      <c r="B68" s="1061"/>
      <c r="C68" s="1078">
        <v>2</v>
      </c>
      <c r="D68" s="1144" t="s">
        <v>848</v>
      </c>
      <c r="E68" s="1063"/>
      <c r="F68" s="1122">
        <v>757</v>
      </c>
      <c r="G68" s="1123">
        <v>1879</v>
      </c>
      <c r="H68" s="1069">
        <v>3342</v>
      </c>
      <c r="I68" s="1070">
        <v>2831</v>
      </c>
    </row>
    <row r="69" spans="1:9" s="1067" customFormat="1" ht="22.5" customHeight="1">
      <c r="A69" s="1048">
        <v>37</v>
      </c>
      <c r="B69" s="1061">
        <v>15</v>
      </c>
      <c r="C69" s="1074" t="s">
        <v>157</v>
      </c>
      <c r="D69" s="1064"/>
      <c r="E69" s="1063" t="s">
        <v>24</v>
      </c>
      <c r="F69" s="1126">
        <v>12216</v>
      </c>
      <c r="G69" s="1121">
        <v>1500</v>
      </c>
      <c r="H69" s="1234">
        <f>251+388+1822+11880+432+12510+279</f>
        <v>27562</v>
      </c>
      <c r="I69" s="1066"/>
    </row>
    <row r="70" spans="1:9" s="1071" customFormat="1" ht="60.75" thickBot="1">
      <c r="A70" s="1048">
        <v>38</v>
      </c>
      <c r="B70" s="1061"/>
      <c r="C70" s="1078">
        <v>1</v>
      </c>
      <c r="D70" s="1077" t="s">
        <v>984</v>
      </c>
      <c r="E70" s="1063"/>
      <c r="F70" s="1122"/>
      <c r="G70" s="1123"/>
      <c r="H70" s="1069"/>
      <c r="I70" s="1070">
        <v>2000</v>
      </c>
    </row>
    <row r="71" spans="1:9" s="1067" customFormat="1" ht="22.5" customHeight="1" hidden="1">
      <c r="A71" s="1048">
        <v>39</v>
      </c>
      <c r="B71" s="1061">
        <v>16</v>
      </c>
      <c r="C71" s="1079" t="s">
        <v>271</v>
      </c>
      <c r="D71" s="1064"/>
      <c r="E71" s="1063" t="s">
        <v>23</v>
      </c>
      <c r="F71" s="1126">
        <v>8876</v>
      </c>
      <c r="G71" s="1121">
        <v>1000</v>
      </c>
      <c r="H71" s="1234">
        <f>720+790+2770+5646+204+156</f>
        <v>10286</v>
      </c>
      <c r="I71" s="1066"/>
    </row>
    <row r="72" spans="1:9" s="1071" customFormat="1" ht="18" customHeight="1" hidden="1" thickBot="1">
      <c r="A72" s="1048">
        <v>40</v>
      </c>
      <c r="B72" s="1127"/>
      <c r="C72" s="1128">
        <v>1</v>
      </c>
      <c r="D72" s="1145" t="s">
        <v>479</v>
      </c>
      <c r="E72" s="1129"/>
      <c r="F72" s="1130"/>
      <c r="G72" s="1131"/>
      <c r="H72" s="1132"/>
      <c r="I72" s="1133"/>
    </row>
    <row r="73" spans="1:9" s="1080" customFormat="1" ht="36" customHeight="1" thickBot="1" thickTop="1">
      <c r="A73" s="1048">
        <v>41</v>
      </c>
      <c r="B73" s="1603" t="s">
        <v>685</v>
      </c>
      <c r="C73" s="1604"/>
      <c r="D73" s="1605"/>
      <c r="E73" s="1134"/>
      <c r="F73" s="1135">
        <f>SUM(F8:F72)</f>
        <v>139842</v>
      </c>
      <c r="G73" s="1136">
        <f>SUM(G8:G72)</f>
        <v>141948</v>
      </c>
      <c r="H73" s="1137">
        <f>SUM(H8:H72)</f>
        <v>314944</v>
      </c>
      <c r="I73" s="1138">
        <f>SUM(I8:I72)</f>
        <v>32671</v>
      </c>
    </row>
    <row r="74" spans="1:9" s="1067" customFormat="1" ht="22.5" customHeight="1">
      <c r="A74" s="1048">
        <v>42</v>
      </c>
      <c r="B74" s="1061">
        <v>17</v>
      </c>
      <c r="C74" s="1081" t="s">
        <v>26</v>
      </c>
      <c r="D74" s="1064"/>
      <c r="E74" s="1063" t="s">
        <v>23</v>
      </c>
      <c r="F74" s="1120"/>
      <c r="G74" s="1121"/>
      <c r="H74" s="1234">
        <f>97+427</f>
        <v>524</v>
      </c>
      <c r="I74" s="1066"/>
    </row>
    <row r="75" spans="1:9" s="1071" customFormat="1" ht="18" customHeight="1">
      <c r="A75" s="1048">
        <v>43</v>
      </c>
      <c r="B75" s="1061"/>
      <c r="C75" s="1068">
        <v>1</v>
      </c>
      <c r="D75" s="1077" t="s">
        <v>440</v>
      </c>
      <c r="E75" s="1063"/>
      <c r="F75" s="1122"/>
      <c r="G75" s="1123">
        <v>889</v>
      </c>
      <c r="H75" s="1069">
        <v>889</v>
      </c>
      <c r="I75" s="1070">
        <v>889</v>
      </c>
    </row>
    <row r="76" spans="1:9" s="1071" customFormat="1" ht="30">
      <c r="A76" s="1048">
        <v>44</v>
      </c>
      <c r="B76" s="1061"/>
      <c r="C76" s="1082">
        <v>2</v>
      </c>
      <c r="D76" s="1077" t="s">
        <v>680</v>
      </c>
      <c r="E76" s="1063"/>
      <c r="F76" s="1122">
        <v>2728</v>
      </c>
      <c r="G76" s="1123">
        <v>3556</v>
      </c>
      <c r="H76" s="1069">
        <v>8788</v>
      </c>
      <c r="I76" s="1070">
        <v>6096</v>
      </c>
    </row>
    <row r="77" spans="1:9" s="1071" customFormat="1" ht="18" customHeight="1">
      <c r="A77" s="1048">
        <v>45</v>
      </c>
      <c r="B77" s="1061"/>
      <c r="C77" s="1063">
        <v>3</v>
      </c>
      <c r="D77" s="1077" t="s">
        <v>35</v>
      </c>
      <c r="E77" s="1063"/>
      <c r="F77" s="1122">
        <v>12879</v>
      </c>
      <c r="G77" s="1123">
        <v>18380</v>
      </c>
      <c r="H77" s="1069">
        <v>37799</v>
      </c>
      <c r="I77" s="1070">
        <v>18380</v>
      </c>
    </row>
    <row r="78" spans="1:9" s="1071" customFormat="1" ht="18" customHeight="1" thickBot="1">
      <c r="A78" s="1048">
        <v>46</v>
      </c>
      <c r="B78" s="1061"/>
      <c r="C78" s="1063">
        <v>4</v>
      </c>
      <c r="D78" s="1077" t="s">
        <v>849</v>
      </c>
      <c r="E78" s="1063"/>
      <c r="F78" s="1122"/>
      <c r="G78" s="1121"/>
      <c r="H78" s="1065"/>
      <c r="I78" s="1070">
        <v>9000</v>
      </c>
    </row>
    <row r="79" spans="1:9" s="1080" customFormat="1" ht="36" customHeight="1" thickBot="1" thickTop="1">
      <c r="A79" s="1048">
        <v>47</v>
      </c>
      <c r="B79" s="1603" t="s">
        <v>686</v>
      </c>
      <c r="C79" s="1604"/>
      <c r="D79" s="1605"/>
      <c r="E79" s="1134"/>
      <c r="F79" s="1135">
        <f>SUM(F74:F78)</f>
        <v>15607</v>
      </c>
      <c r="G79" s="1136">
        <f>SUM(G74:G78)</f>
        <v>22825</v>
      </c>
      <c r="H79" s="1137">
        <f>SUM(H74:H78)</f>
        <v>48000</v>
      </c>
      <c r="I79" s="1138">
        <f>SUM(I74:I78)</f>
        <v>34365</v>
      </c>
    </row>
    <row r="80" spans="1:9" s="1080" customFormat="1" ht="36" customHeight="1" thickBot="1">
      <c r="A80" s="1048">
        <v>48</v>
      </c>
      <c r="B80" s="1606" t="s">
        <v>687</v>
      </c>
      <c r="C80" s="1607"/>
      <c r="D80" s="1608"/>
      <c r="E80" s="1139"/>
      <c r="F80" s="1140">
        <f>SUM(F79,F73)</f>
        <v>155449</v>
      </c>
      <c r="G80" s="1141">
        <f>SUM(G79,G73)</f>
        <v>164773</v>
      </c>
      <c r="H80" s="1142">
        <f>SUM(H79,H73)</f>
        <v>362944</v>
      </c>
      <c r="I80" s="1143">
        <f>SUM(I79,I73)</f>
        <v>67036</v>
      </c>
    </row>
    <row r="81" spans="2:9" ht="18" customHeight="1">
      <c r="B81" s="1253"/>
      <c r="C81" s="1254" t="s">
        <v>27</v>
      </c>
      <c r="D81" s="1253"/>
      <c r="E81" s="1255"/>
      <c r="F81" s="1124"/>
      <c r="G81" s="1125"/>
      <c r="H81" s="1083"/>
      <c r="I81" s="1083"/>
    </row>
    <row r="82" spans="1:247" s="1084" customFormat="1" ht="18" customHeight="1">
      <c r="A82" s="1059"/>
      <c r="B82" s="1253" t="s">
        <v>28</v>
      </c>
      <c r="C82" s="1253"/>
      <c r="D82" s="1253"/>
      <c r="E82" s="1255"/>
      <c r="F82" s="1256"/>
      <c r="G82" s="1125"/>
      <c r="H82" s="1083"/>
      <c r="I82" s="1083"/>
      <c r="J82" s="1054"/>
      <c r="K82" s="1054"/>
      <c r="L82" s="1054"/>
      <c r="M82" s="1054"/>
      <c r="N82" s="1054"/>
      <c r="O82" s="1054"/>
      <c r="P82" s="1054"/>
      <c r="Q82" s="1054"/>
      <c r="R82" s="1054"/>
      <c r="S82" s="1054"/>
      <c r="T82" s="1054"/>
      <c r="U82" s="1054"/>
      <c r="V82" s="1054"/>
      <c r="W82" s="1054"/>
      <c r="X82" s="1054"/>
      <c r="Y82" s="1054"/>
      <c r="Z82" s="1054"/>
      <c r="AA82" s="1054"/>
      <c r="AB82" s="1054"/>
      <c r="AC82" s="1054"/>
      <c r="AD82" s="1054"/>
      <c r="AE82" s="1054"/>
      <c r="AF82" s="1054"/>
      <c r="AG82" s="1054"/>
      <c r="AH82" s="1054"/>
      <c r="AI82" s="1054"/>
      <c r="AJ82" s="1054"/>
      <c r="AK82" s="1054"/>
      <c r="AL82" s="1054"/>
      <c r="AM82" s="1054"/>
      <c r="AN82" s="1054"/>
      <c r="AO82" s="1054"/>
      <c r="AP82" s="1054"/>
      <c r="AQ82" s="1054"/>
      <c r="AR82" s="1054"/>
      <c r="AS82" s="1054"/>
      <c r="AT82" s="1054"/>
      <c r="AU82" s="1054"/>
      <c r="AV82" s="1054"/>
      <c r="AW82" s="1054"/>
      <c r="AX82" s="1054"/>
      <c r="AY82" s="1054"/>
      <c r="AZ82" s="1054"/>
      <c r="BA82" s="1054"/>
      <c r="BB82" s="1054"/>
      <c r="BC82" s="1054"/>
      <c r="BD82" s="1054"/>
      <c r="BE82" s="1054"/>
      <c r="BF82" s="1054"/>
      <c r="BG82" s="1054"/>
      <c r="BH82" s="1054"/>
      <c r="BI82" s="1054"/>
      <c r="BJ82" s="1054"/>
      <c r="BK82" s="1054"/>
      <c r="BL82" s="1054"/>
      <c r="BM82" s="1054"/>
      <c r="BN82" s="1054"/>
      <c r="BO82" s="1054"/>
      <c r="BP82" s="1054"/>
      <c r="BQ82" s="1054"/>
      <c r="BR82" s="1054"/>
      <c r="BS82" s="1054"/>
      <c r="BT82" s="1054"/>
      <c r="BU82" s="1054"/>
      <c r="BV82" s="1054"/>
      <c r="BW82" s="1054"/>
      <c r="BX82" s="1054"/>
      <c r="BY82" s="1054"/>
      <c r="BZ82" s="1054"/>
      <c r="CA82" s="1054"/>
      <c r="CB82" s="1054"/>
      <c r="CC82" s="1054"/>
      <c r="CD82" s="1054"/>
      <c r="CE82" s="1054"/>
      <c r="CF82" s="1054"/>
      <c r="CG82" s="1054"/>
      <c r="CH82" s="1054"/>
      <c r="CI82" s="1054"/>
      <c r="CJ82" s="1054"/>
      <c r="CK82" s="1054"/>
      <c r="CL82" s="1054"/>
      <c r="CM82" s="1054"/>
      <c r="CN82" s="1054"/>
      <c r="CO82" s="1054"/>
      <c r="CP82" s="1054"/>
      <c r="CQ82" s="1054"/>
      <c r="CR82" s="1054"/>
      <c r="CS82" s="1054"/>
      <c r="CT82" s="1054"/>
      <c r="CU82" s="1054"/>
      <c r="CV82" s="1054"/>
      <c r="CW82" s="1054"/>
      <c r="CX82" s="1054"/>
      <c r="CY82" s="1054"/>
      <c r="CZ82" s="1054"/>
      <c r="DA82" s="1054"/>
      <c r="DB82" s="1054"/>
      <c r="DC82" s="1054"/>
      <c r="DD82" s="1054"/>
      <c r="DE82" s="1054"/>
      <c r="DF82" s="1054"/>
      <c r="DG82" s="1054"/>
      <c r="DH82" s="1054"/>
      <c r="DI82" s="1054"/>
      <c r="DJ82" s="1054"/>
      <c r="DK82" s="1054"/>
      <c r="DL82" s="1054"/>
      <c r="DM82" s="1054"/>
      <c r="DN82" s="1054"/>
      <c r="DO82" s="1054"/>
      <c r="DP82" s="1054"/>
      <c r="DQ82" s="1054"/>
      <c r="DR82" s="1054"/>
      <c r="DS82" s="1054"/>
      <c r="DT82" s="1054"/>
      <c r="DU82" s="1054"/>
      <c r="DV82" s="1054"/>
      <c r="DW82" s="1054"/>
      <c r="DX82" s="1054"/>
      <c r="DY82" s="1054"/>
      <c r="DZ82" s="1054"/>
      <c r="EA82" s="1054"/>
      <c r="EB82" s="1054"/>
      <c r="EC82" s="1054"/>
      <c r="ED82" s="1054"/>
      <c r="EE82" s="1054"/>
      <c r="EF82" s="1054"/>
      <c r="EG82" s="1054"/>
      <c r="EH82" s="1054"/>
      <c r="EI82" s="1054"/>
      <c r="EJ82" s="1054"/>
      <c r="EK82" s="1054"/>
      <c r="EL82" s="1054"/>
      <c r="EM82" s="1054"/>
      <c r="EN82" s="1054"/>
      <c r="EO82" s="1054"/>
      <c r="EP82" s="1054"/>
      <c r="EQ82" s="1054"/>
      <c r="ER82" s="1054"/>
      <c r="ES82" s="1054"/>
      <c r="ET82" s="1054"/>
      <c r="EU82" s="1054"/>
      <c r="EV82" s="1054"/>
      <c r="EW82" s="1054"/>
      <c r="EX82" s="1054"/>
      <c r="EY82" s="1054"/>
      <c r="EZ82" s="1054"/>
      <c r="FA82" s="1054"/>
      <c r="FB82" s="1054"/>
      <c r="FC82" s="1054"/>
      <c r="FD82" s="1054"/>
      <c r="FE82" s="1054"/>
      <c r="FF82" s="1054"/>
      <c r="FG82" s="1054"/>
      <c r="FH82" s="1054"/>
      <c r="FI82" s="1054"/>
      <c r="FJ82" s="1054"/>
      <c r="FK82" s="1054"/>
      <c r="FL82" s="1054"/>
      <c r="FM82" s="1054"/>
      <c r="FN82" s="1054"/>
      <c r="FO82" s="1054"/>
      <c r="FP82" s="1054"/>
      <c r="FQ82" s="1054"/>
      <c r="FR82" s="1054"/>
      <c r="FS82" s="1054"/>
      <c r="FT82" s="1054"/>
      <c r="FU82" s="1054"/>
      <c r="FV82" s="1054"/>
      <c r="FW82" s="1054"/>
      <c r="FX82" s="1054"/>
      <c r="FY82" s="1054"/>
      <c r="FZ82" s="1054"/>
      <c r="GA82" s="1054"/>
      <c r="GB82" s="1054"/>
      <c r="GC82" s="1054"/>
      <c r="GD82" s="1054"/>
      <c r="GE82" s="1054"/>
      <c r="GF82" s="1054"/>
      <c r="GG82" s="1054"/>
      <c r="GH82" s="1054"/>
      <c r="GI82" s="1054"/>
      <c r="GJ82" s="1054"/>
      <c r="GK82" s="1054"/>
      <c r="GL82" s="1054"/>
      <c r="GM82" s="1054"/>
      <c r="GN82" s="1054"/>
      <c r="GO82" s="1054"/>
      <c r="GP82" s="1054"/>
      <c r="GQ82" s="1054"/>
      <c r="GR82" s="1054"/>
      <c r="GS82" s="1054"/>
      <c r="GT82" s="1054"/>
      <c r="GU82" s="1054"/>
      <c r="GV82" s="1054"/>
      <c r="GW82" s="1054"/>
      <c r="GX82" s="1054"/>
      <c r="GY82" s="1054"/>
      <c r="GZ82" s="1054"/>
      <c r="HA82" s="1054"/>
      <c r="HB82" s="1054"/>
      <c r="HC82" s="1054"/>
      <c r="HD82" s="1054"/>
      <c r="HE82" s="1054"/>
      <c r="HF82" s="1054"/>
      <c r="HG82" s="1054"/>
      <c r="HH82" s="1054"/>
      <c r="HI82" s="1054"/>
      <c r="HJ82" s="1054"/>
      <c r="HK82" s="1054"/>
      <c r="HL82" s="1054"/>
      <c r="HM82" s="1054"/>
      <c r="HN82" s="1054"/>
      <c r="HO82" s="1054"/>
      <c r="HP82" s="1054"/>
      <c r="HQ82" s="1054"/>
      <c r="HR82" s="1054"/>
      <c r="HS82" s="1054"/>
      <c r="HT82" s="1054"/>
      <c r="HU82" s="1054"/>
      <c r="HV82" s="1054"/>
      <c r="HW82" s="1054"/>
      <c r="HX82" s="1054"/>
      <c r="HY82" s="1054"/>
      <c r="HZ82" s="1054"/>
      <c r="IA82" s="1054"/>
      <c r="IB82" s="1054"/>
      <c r="IC82" s="1054"/>
      <c r="ID82" s="1054"/>
      <c r="IE82" s="1054"/>
      <c r="IF82" s="1054"/>
      <c r="IG82" s="1054"/>
      <c r="IH82" s="1054"/>
      <c r="II82" s="1054"/>
      <c r="IJ82" s="1054"/>
      <c r="IK82" s="1054"/>
      <c r="IL82" s="1054"/>
      <c r="IM82" s="1054"/>
    </row>
    <row r="83" spans="1:247" s="1084" customFormat="1" ht="18" customHeight="1">
      <c r="A83" s="1059"/>
      <c r="B83" s="1253" t="s">
        <v>29</v>
      </c>
      <c r="C83" s="1253"/>
      <c r="D83" s="1253"/>
      <c r="E83" s="1255"/>
      <c r="F83" s="1256"/>
      <c r="G83" s="1125"/>
      <c r="H83" s="1083"/>
      <c r="I83" s="1083"/>
      <c r="J83" s="1054"/>
      <c r="K83" s="1054"/>
      <c r="L83" s="1054"/>
      <c r="M83" s="1054"/>
      <c r="N83" s="1054"/>
      <c r="O83" s="1054"/>
      <c r="P83" s="1054"/>
      <c r="Q83" s="1054"/>
      <c r="R83" s="1054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054"/>
      <c r="AL83" s="1054"/>
      <c r="AM83" s="1054"/>
      <c r="AN83" s="1054"/>
      <c r="AO83" s="1054"/>
      <c r="AP83" s="1054"/>
      <c r="AQ83" s="1054"/>
      <c r="AR83" s="1054"/>
      <c r="AS83" s="1054"/>
      <c r="AT83" s="1054"/>
      <c r="AU83" s="1054"/>
      <c r="AV83" s="1054"/>
      <c r="AW83" s="1054"/>
      <c r="AX83" s="1054"/>
      <c r="AY83" s="1054"/>
      <c r="AZ83" s="1054"/>
      <c r="BA83" s="1054"/>
      <c r="BB83" s="1054"/>
      <c r="BC83" s="1054"/>
      <c r="BD83" s="1054"/>
      <c r="BE83" s="1054"/>
      <c r="BF83" s="1054"/>
      <c r="BG83" s="1054"/>
      <c r="BH83" s="1054"/>
      <c r="BI83" s="1054"/>
      <c r="BJ83" s="1054"/>
      <c r="BK83" s="1054"/>
      <c r="BL83" s="1054"/>
      <c r="BM83" s="1054"/>
      <c r="BN83" s="1054"/>
      <c r="BO83" s="1054"/>
      <c r="BP83" s="1054"/>
      <c r="BQ83" s="1054"/>
      <c r="BR83" s="1054"/>
      <c r="BS83" s="1054"/>
      <c r="BT83" s="1054"/>
      <c r="BU83" s="1054"/>
      <c r="BV83" s="1054"/>
      <c r="BW83" s="1054"/>
      <c r="BX83" s="1054"/>
      <c r="BY83" s="1054"/>
      <c r="BZ83" s="1054"/>
      <c r="CA83" s="1054"/>
      <c r="CB83" s="1054"/>
      <c r="CC83" s="1054"/>
      <c r="CD83" s="1054"/>
      <c r="CE83" s="1054"/>
      <c r="CF83" s="1054"/>
      <c r="CG83" s="1054"/>
      <c r="CH83" s="1054"/>
      <c r="CI83" s="1054"/>
      <c r="CJ83" s="1054"/>
      <c r="CK83" s="1054"/>
      <c r="CL83" s="1054"/>
      <c r="CM83" s="1054"/>
      <c r="CN83" s="1054"/>
      <c r="CO83" s="1054"/>
      <c r="CP83" s="1054"/>
      <c r="CQ83" s="1054"/>
      <c r="CR83" s="1054"/>
      <c r="CS83" s="1054"/>
      <c r="CT83" s="1054"/>
      <c r="CU83" s="1054"/>
      <c r="CV83" s="1054"/>
      <c r="CW83" s="1054"/>
      <c r="CX83" s="1054"/>
      <c r="CY83" s="1054"/>
      <c r="CZ83" s="1054"/>
      <c r="DA83" s="1054"/>
      <c r="DB83" s="1054"/>
      <c r="DC83" s="1054"/>
      <c r="DD83" s="1054"/>
      <c r="DE83" s="1054"/>
      <c r="DF83" s="1054"/>
      <c r="DG83" s="1054"/>
      <c r="DH83" s="1054"/>
      <c r="DI83" s="1054"/>
      <c r="DJ83" s="1054"/>
      <c r="DK83" s="1054"/>
      <c r="DL83" s="1054"/>
      <c r="DM83" s="1054"/>
      <c r="DN83" s="1054"/>
      <c r="DO83" s="1054"/>
      <c r="DP83" s="1054"/>
      <c r="DQ83" s="1054"/>
      <c r="DR83" s="1054"/>
      <c r="DS83" s="1054"/>
      <c r="DT83" s="1054"/>
      <c r="DU83" s="1054"/>
      <c r="DV83" s="1054"/>
      <c r="DW83" s="1054"/>
      <c r="DX83" s="1054"/>
      <c r="DY83" s="1054"/>
      <c r="DZ83" s="1054"/>
      <c r="EA83" s="1054"/>
      <c r="EB83" s="1054"/>
      <c r="EC83" s="1054"/>
      <c r="ED83" s="1054"/>
      <c r="EE83" s="1054"/>
      <c r="EF83" s="1054"/>
      <c r="EG83" s="1054"/>
      <c r="EH83" s="1054"/>
      <c r="EI83" s="1054"/>
      <c r="EJ83" s="1054"/>
      <c r="EK83" s="1054"/>
      <c r="EL83" s="1054"/>
      <c r="EM83" s="1054"/>
      <c r="EN83" s="1054"/>
      <c r="EO83" s="1054"/>
      <c r="EP83" s="1054"/>
      <c r="EQ83" s="1054"/>
      <c r="ER83" s="1054"/>
      <c r="ES83" s="1054"/>
      <c r="ET83" s="1054"/>
      <c r="EU83" s="1054"/>
      <c r="EV83" s="1054"/>
      <c r="EW83" s="1054"/>
      <c r="EX83" s="1054"/>
      <c r="EY83" s="1054"/>
      <c r="EZ83" s="1054"/>
      <c r="FA83" s="1054"/>
      <c r="FB83" s="1054"/>
      <c r="FC83" s="1054"/>
      <c r="FD83" s="1054"/>
      <c r="FE83" s="1054"/>
      <c r="FF83" s="1054"/>
      <c r="FG83" s="1054"/>
      <c r="FH83" s="1054"/>
      <c r="FI83" s="1054"/>
      <c r="FJ83" s="1054"/>
      <c r="FK83" s="1054"/>
      <c r="FL83" s="1054"/>
      <c r="FM83" s="1054"/>
      <c r="FN83" s="1054"/>
      <c r="FO83" s="1054"/>
      <c r="FP83" s="1054"/>
      <c r="FQ83" s="1054"/>
      <c r="FR83" s="1054"/>
      <c r="FS83" s="1054"/>
      <c r="FT83" s="1054"/>
      <c r="FU83" s="1054"/>
      <c r="FV83" s="1054"/>
      <c r="FW83" s="1054"/>
      <c r="FX83" s="1054"/>
      <c r="FY83" s="1054"/>
      <c r="FZ83" s="1054"/>
      <c r="GA83" s="1054"/>
      <c r="GB83" s="1054"/>
      <c r="GC83" s="1054"/>
      <c r="GD83" s="1054"/>
      <c r="GE83" s="1054"/>
      <c r="GF83" s="1054"/>
      <c r="GG83" s="1054"/>
      <c r="GH83" s="1054"/>
      <c r="GI83" s="1054"/>
      <c r="GJ83" s="1054"/>
      <c r="GK83" s="1054"/>
      <c r="GL83" s="1054"/>
      <c r="GM83" s="1054"/>
      <c r="GN83" s="1054"/>
      <c r="GO83" s="1054"/>
      <c r="GP83" s="1054"/>
      <c r="GQ83" s="1054"/>
      <c r="GR83" s="1054"/>
      <c r="GS83" s="1054"/>
      <c r="GT83" s="1054"/>
      <c r="GU83" s="1054"/>
      <c r="GV83" s="1054"/>
      <c r="GW83" s="1054"/>
      <c r="GX83" s="1054"/>
      <c r="GY83" s="1054"/>
      <c r="GZ83" s="1054"/>
      <c r="HA83" s="1054"/>
      <c r="HB83" s="1054"/>
      <c r="HC83" s="1054"/>
      <c r="HD83" s="1054"/>
      <c r="HE83" s="1054"/>
      <c r="HF83" s="1054"/>
      <c r="HG83" s="1054"/>
      <c r="HH83" s="1054"/>
      <c r="HI83" s="1054"/>
      <c r="HJ83" s="1054"/>
      <c r="HK83" s="1054"/>
      <c r="HL83" s="1054"/>
      <c r="HM83" s="1054"/>
      <c r="HN83" s="1054"/>
      <c r="HO83" s="1054"/>
      <c r="HP83" s="1054"/>
      <c r="HQ83" s="1054"/>
      <c r="HR83" s="1054"/>
      <c r="HS83" s="1054"/>
      <c r="HT83" s="1054"/>
      <c r="HU83" s="1054"/>
      <c r="HV83" s="1054"/>
      <c r="HW83" s="1054"/>
      <c r="HX83" s="1054"/>
      <c r="HY83" s="1054"/>
      <c r="HZ83" s="1054"/>
      <c r="IA83" s="1054"/>
      <c r="IB83" s="1054"/>
      <c r="IC83" s="1054"/>
      <c r="ID83" s="1054"/>
      <c r="IE83" s="1054"/>
      <c r="IF83" s="1054"/>
      <c r="IG83" s="1054"/>
      <c r="IH83" s="1054"/>
      <c r="II83" s="1054"/>
      <c r="IJ83" s="1054"/>
      <c r="IK83" s="1054"/>
      <c r="IL83" s="1054"/>
      <c r="IM83" s="1054"/>
    </row>
    <row r="84" spans="1:247" s="1084" customFormat="1" ht="15">
      <c r="A84" s="1059"/>
      <c r="B84" s="1048"/>
      <c r="C84" s="1049"/>
      <c r="D84" s="1050"/>
      <c r="E84" s="1051"/>
      <c r="F84" s="1119">
        <f>+F80-'2.Onki'!G10</f>
        <v>0</v>
      </c>
      <c r="G84" s="1119">
        <f>+G80-'2.Onki'!H10</f>
        <v>0</v>
      </c>
      <c r="H84" s="1052">
        <f>+H80-'2.Onki'!I10</f>
        <v>0</v>
      </c>
      <c r="I84" s="1052">
        <f>+I80-'2.Onki'!J10</f>
        <v>0</v>
      </c>
      <c r="J84" s="1054"/>
      <c r="K84" s="1054"/>
      <c r="L84" s="1054"/>
      <c r="M84" s="1054"/>
      <c r="N84" s="1054"/>
      <c r="O84" s="1054"/>
      <c r="P84" s="1054"/>
      <c r="Q84" s="1054"/>
      <c r="R84" s="1054"/>
      <c r="S84" s="1054"/>
      <c r="T84" s="1054"/>
      <c r="U84" s="1054"/>
      <c r="V84" s="1054"/>
      <c r="W84" s="1054"/>
      <c r="X84" s="1054"/>
      <c r="Y84" s="1054"/>
      <c r="Z84" s="1054"/>
      <c r="AA84" s="1054"/>
      <c r="AB84" s="1054"/>
      <c r="AC84" s="1054"/>
      <c r="AD84" s="1054"/>
      <c r="AE84" s="1054"/>
      <c r="AF84" s="1054"/>
      <c r="AG84" s="1054"/>
      <c r="AH84" s="1054"/>
      <c r="AI84" s="1054"/>
      <c r="AJ84" s="1054"/>
      <c r="AK84" s="1054"/>
      <c r="AL84" s="1054"/>
      <c r="AM84" s="1054"/>
      <c r="AN84" s="1054"/>
      <c r="AO84" s="1054"/>
      <c r="AP84" s="1054"/>
      <c r="AQ84" s="1054"/>
      <c r="AR84" s="1054"/>
      <c r="AS84" s="1054"/>
      <c r="AT84" s="1054"/>
      <c r="AU84" s="1054"/>
      <c r="AV84" s="1054"/>
      <c r="AW84" s="1054"/>
      <c r="AX84" s="1054"/>
      <c r="AY84" s="1054"/>
      <c r="AZ84" s="1054"/>
      <c r="BA84" s="1054"/>
      <c r="BB84" s="1054"/>
      <c r="BC84" s="1054"/>
      <c r="BD84" s="1054"/>
      <c r="BE84" s="1054"/>
      <c r="BF84" s="1054"/>
      <c r="BG84" s="1054"/>
      <c r="BH84" s="1054"/>
      <c r="BI84" s="1054"/>
      <c r="BJ84" s="1054"/>
      <c r="BK84" s="1054"/>
      <c r="BL84" s="1054"/>
      <c r="BM84" s="1054"/>
      <c r="BN84" s="1054"/>
      <c r="BO84" s="1054"/>
      <c r="BP84" s="1054"/>
      <c r="BQ84" s="1054"/>
      <c r="BR84" s="1054"/>
      <c r="BS84" s="1054"/>
      <c r="BT84" s="1054"/>
      <c r="BU84" s="1054"/>
      <c r="BV84" s="1054"/>
      <c r="BW84" s="1054"/>
      <c r="BX84" s="1054"/>
      <c r="BY84" s="1054"/>
      <c r="BZ84" s="1054"/>
      <c r="CA84" s="1054"/>
      <c r="CB84" s="1054"/>
      <c r="CC84" s="1054"/>
      <c r="CD84" s="1054"/>
      <c r="CE84" s="1054"/>
      <c r="CF84" s="1054"/>
      <c r="CG84" s="1054"/>
      <c r="CH84" s="1054"/>
      <c r="CI84" s="1054"/>
      <c r="CJ84" s="1054"/>
      <c r="CK84" s="1054"/>
      <c r="CL84" s="1054"/>
      <c r="CM84" s="1054"/>
      <c r="CN84" s="1054"/>
      <c r="CO84" s="1054"/>
      <c r="CP84" s="1054"/>
      <c r="CQ84" s="1054"/>
      <c r="CR84" s="1054"/>
      <c r="CS84" s="1054"/>
      <c r="CT84" s="1054"/>
      <c r="CU84" s="1054"/>
      <c r="CV84" s="1054"/>
      <c r="CW84" s="1054"/>
      <c r="CX84" s="1054"/>
      <c r="CY84" s="1054"/>
      <c r="CZ84" s="1054"/>
      <c r="DA84" s="1054"/>
      <c r="DB84" s="1054"/>
      <c r="DC84" s="1054"/>
      <c r="DD84" s="1054"/>
      <c r="DE84" s="1054"/>
      <c r="DF84" s="1054"/>
      <c r="DG84" s="1054"/>
      <c r="DH84" s="1054"/>
      <c r="DI84" s="1054"/>
      <c r="DJ84" s="1054"/>
      <c r="DK84" s="1054"/>
      <c r="DL84" s="1054"/>
      <c r="DM84" s="1054"/>
      <c r="DN84" s="1054"/>
      <c r="DO84" s="1054"/>
      <c r="DP84" s="1054"/>
      <c r="DQ84" s="1054"/>
      <c r="DR84" s="1054"/>
      <c r="DS84" s="1054"/>
      <c r="DT84" s="1054"/>
      <c r="DU84" s="1054"/>
      <c r="DV84" s="1054"/>
      <c r="DW84" s="1054"/>
      <c r="DX84" s="1054"/>
      <c r="DY84" s="1054"/>
      <c r="DZ84" s="1054"/>
      <c r="EA84" s="1054"/>
      <c r="EB84" s="1054"/>
      <c r="EC84" s="1054"/>
      <c r="ED84" s="1054"/>
      <c r="EE84" s="1054"/>
      <c r="EF84" s="1054"/>
      <c r="EG84" s="1054"/>
      <c r="EH84" s="1054"/>
      <c r="EI84" s="1054"/>
      <c r="EJ84" s="1054"/>
      <c r="EK84" s="1054"/>
      <c r="EL84" s="1054"/>
      <c r="EM84" s="1054"/>
      <c r="EN84" s="1054"/>
      <c r="EO84" s="1054"/>
      <c r="EP84" s="1054"/>
      <c r="EQ84" s="1054"/>
      <c r="ER84" s="1054"/>
      <c r="ES84" s="1054"/>
      <c r="ET84" s="1054"/>
      <c r="EU84" s="1054"/>
      <c r="EV84" s="1054"/>
      <c r="EW84" s="1054"/>
      <c r="EX84" s="1054"/>
      <c r="EY84" s="1054"/>
      <c r="EZ84" s="1054"/>
      <c r="FA84" s="1054"/>
      <c r="FB84" s="1054"/>
      <c r="FC84" s="1054"/>
      <c r="FD84" s="1054"/>
      <c r="FE84" s="1054"/>
      <c r="FF84" s="1054"/>
      <c r="FG84" s="1054"/>
      <c r="FH84" s="1054"/>
      <c r="FI84" s="1054"/>
      <c r="FJ84" s="1054"/>
      <c r="FK84" s="1054"/>
      <c r="FL84" s="1054"/>
      <c r="FM84" s="1054"/>
      <c r="FN84" s="1054"/>
      <c r="FO84" s="1054"/>
      <c r="FP84" s="1054"/>
      <c r="FQ84" s="1054"/>
      <c r="FR84" s="1054"/>
      <c r="FS84" s="1054"/>
      <c r="FT84" s="1054"/>
      <c r="FU84" s="1054"/>
      <c r="FV84" s="1054"/>
      <c r="FW84" s="1054"/>
      <c r="FX84" s="1054"/>
      <c r="FY84" s="1054"/>
      <c r="FZ84" s="1054"/>
      <c r="GA84" s="1054"/>
      <c r="GB84" s="1054"/>
      <c r="GC84" s="1054"/>
      <c r="GD84" s="1054"/>
      <c r="GE84" s="1054"/>
      <c r="GF84" s="1054"/>
      <c r="GG84" s="1054"/>
      <c r="GH84" s="1054"/>
      <c r="GI84" s="1054"/>
      <c r="GJ84" s="1054"/>
      <c r="GK84" s="1054"/>
      <c r="GL84" s="1054"/>
      <c r="GM84" s="1054"/>
      <c r="GN84" s="1054"/>
      <c r="GO84" s="1054"/>
      <c r="GP84" s="1054"/>
      <c r="GQ84" s="1054"/>
      <c r="GR84" s="1054"/>
      <c r="GS84" s="1054"/>
      <c r="GT84" s="1054"/>
      <c r="GU84" s="1054"/>
      <c r="GV84" s="1054"/>
      <c r="GW84" s="1054"/>
      <c r="GX84" s="1054"/>
      <c r="GY84" s="1054"/>
      <c r="GZ84" s="1054"/>
      <c r="HA84" s="1054"/>
      <c r="HB84" s="1054"/>
      <c r="HC84" s="1054"/>
      <c r="HD84" s="1054"/>
      <c r="HE84" s="1054"/>
      <c r="HF84" s="1054"/>
      <c r="HG84" s="1054"/>
      <c r="HH84" s="1054"/>
      <c r="HI84" s="1054"/>
      <c r="HJ84" s="1054"/>
      <c r="HK84" s="1054"/>
      <c r="HL84" s="1054"/>
      <c r="HM84" s="1054"/>
      <c r="HN84" s="1054"/>
      <c r="HO84" s="1054"/>
      <c r="HP84" s="1054"/>
      <c r="HQ84" s="1054"/>
      <c r="HR84" s="1054"/>
      <c r="HS84" s="1054"/>
      <c r="HT84" s="1054"/>
      <c r="HU84" s="1054"/>
      <c r="HV84" s="1054"/>
      <c r="HW84" s="1054"/>
      <c r="HX84" s="1054"/>
      <c r="HY84" s="1054"/>
      <c r="HZ84" s="1054"/>
      <c r="IA84" s="1054"/>
      <c r="IB84" s="1054"/>
      <c r="IC84" s="1054"/>
      <c r="ID84" s="1054"/>
      <c r="IE84" s="1054"/>
      <c r="IF84" s="1054"/>
      <c r="IG84" s="1054"/>
      <c r="IH84" s="1054"/>
      <c r="II84" s="1054"/>
      <c r="IJ84" s="1054"/>
      <c r="IK84" s="1054"/>
      <c r="IL84" s="1054"/>
      <c r="IM84" s="1054"/>
    </row>
  </sheetData>
  <sheetProtection/>
  <mergeCells count="14">
    <mergeCell ref="I6:I7"/>
    <mergeCell ref="B73:D73"/>
    <mergeCell ref="B79:D79"/>
    <mergeCell ref="B80:D80"/>
    <mergeCell ref="B1:D1"/>
    <mergeCell ref="B2:I2"/>
    <mergeCell ref="B3:I3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600" verticalDpi="600" orientation="portrait" paperSize="9" scale="73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1"/>
  <sheetViews>
    <sheetView view="pageBreakPreview" zoomScaleNormal="75" zoomScaleSheetLayoutView="100" zoomScalePageLayoutView="0" workbookViewId="0" topLeftCell="A1">
      <selection activeCell="B1" sqref="B1:D1"/>
    </sheetView>
  </sheetViews>
  <sheetFormatPr defaultColWidth="9.125" defaultRowHeight="12.75"/>
  <cols>
    <col min="1" max="1" width="3.75390625" style="658" customWidth="1"/>
    <col min="2" max="2" width="5.75390625" style="3" customWidth="1"/>
    <col min="3" max="3" width="5.75390625" style="7" customWidth="1"/>
    <col min="4" max="4" width="87.75390625" style="16" customWidth="1"/>
    <col min="5" max="7" width="11.75390625" style="4" customWidth="1"/>
    <col min="8" max="8" width="6.75390625" style="3" customWidth="1"/>
    <col min="9" max="9" width="12.75390625" style="13" customWidth="1"/>
    <col min="10" max="14" width="12.75390625" style="411" customWidth="1"/>
    <col min="15" max="15" width="9.25390625" style="4" bestFit="1" customWidth="1"/>
    <col min="16" max="16384" width="9.125" style="4" customWidth="1"/>
  </cols>
  <sheetData>
    <row r="1" spans="1:14" ht="16.5">
      <c r="A1" s="1088"/>
      <c r="B1" s="1652" t="s">
        <v>1010</v>
      </c>
      <c r="C1" s="1652"/>
      <c r="D1" s="1652"/>
      <c r="G1" s="1653"/>
      <c r="H1" s="1653"/>
      <c r="I1" s="1653"/>
      <c r="J1" s="1089"/>
      <c r="K1" s="1089"/>
      <c r="L1" s="1089"/>
      <c r="M1" s="1089"/>
      <c r="N1" s="1089"/>
    </row>
    <row r="2" spans="1:14" ht="24.75" customHeight="1">
      <c r="A2" s="1088"/>
      <c r="B2" s="1654" t="s">
        <v>14</v>
      </c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</row>
    <row r="3" spans="1:14" s="6" customFormat="1" ht="24.75" customHeight="1">
      <c r="A3" s="1088"/>
      <c r="B3" s="1655" t="s">
        <v>650</v>
      </c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</row>
    <row r="4" spans="1:14" s="409" customFormat="1" ht="15">
      <c r="A4" s="1087"/>
      <c r="B4" s="1090"/>
      <c r="C4" s="1091"/>
      <c r="D4" s="1092"/>
      <c r="G4" s="1093"/>
      <c r="H4" s="1094"/>
      <c r="I4" s="1095"/>
      <c r="J4" s="1041"/>
      <c r="K4" s="1041"/>
      <c r="L4" s="1041"/>
      <c r="M4" s="1656" t="s">
        <v>0</v>
      </c>
      <c r="N4" s="1656"/>
    </row>
    <row r="5" spans="1:14" s="117" customFormat="1" ht="15" thickBot="1">
      <c r="A5" s="1096"/>
      <c r="B5" s="117" t="s">
        <v>1</v>
      </c>
      <c r="C5" s="1097" t="s">
        <v>3</v>
      </c>
      <c r="D5" s="1098" t="s">
        <v>2</v>
      </c>
      <c r="E5" s="117" t="s">
        <v>4</v>
      </c>
      <c r="F5" s="117" t="s">
        <v>5</v>
      </c>
      <c r="G5" s="117" t="s">
        <v>15</v>
      </c>
      <c r="H5" s="1099" t="s">
        <v>16</v>
      </c>
      <c r="I5" s="1097" t="s">
        <v>17</v>
      </c>
      <c r="J5" s="1097" t="s">
        <v>36</v>
      </c>
      <c r="K5" s="1097" t="s">
        <v>30</v>
      </c>
      <c r="L5" s="1097" t="s">
        <v>23</v>
      </c>
      <c r="M5" s="1097" t="s">
        <v>37</v>
      </c>
      <c r="N5" s="1097" t="s">
        <v>38</v>
      </c>
    </row>
    <row r="6" spans="1:14" s="646" customFormat="1" ht="34.5" customHeight="1">
      <c r="A6" s="658"/>
      <c r="B6" s="1632" t="s">
        <v>18</v>
      </c>
      <c r="C6" s="1634" t="s">
        <v>19</v>
      </c>
      <c r="D6" s="1638" t="s">
        <v>6</v>
      </c>
      <c r="E6" s="1630" t="s">
        <v>644</v>
      </c>
      <c r="F6" s="1630" t="s">
        <v>640</v>
      </c>
      <c r="G6" s="1636" t="s">
        <v>641</v>
      </c>
      <c r="H6" s="1640" t="s">
        <v>20</v>
      </c>
      <c r="I6" s="1626" t="s">
        <v>645</v>
      </c>
      <c r="J6" s="1628" t="s">
        <v>39</v>
      </c>
      <c r="K6" s="1628"/>
      <c r="L6" s="1628"/>
      <c r="M6" s="1628"/>
      <c r="N6" s="1629"/>
    </row>
    <row r="7" spans="1:14" s="646" customFormat="1" ht="45.75" thickBot="1">
      <c r="A7" s="658"/>
      <c r="B7" s="1633"/>
      <c r="C7" s="1635"/>
      <c r="D7" s="1639"/>
      <c r="E7" s="1631"/>
      <c r="F7" s="1631"/>
      <c r="G7" s="1637"/>
      <c r="H7" s="1641"/>
      <c r="I7" s="1627"/>
      <c r="J7" s="1306" t="s">
        <v>40</v>
      </c>
      <c r="K7" s="1306" t="s">
        <v>41</v>
      </c>
      <c r="L7" s="1306" t="s">
        <v>42</v>
      </c>
      <c r="M7" s="1306" t="s">
        <v>223</v>
      </c>
      <c r="N7" s="1086" t="s">
        <v>43</v>
      </c>
    </row>
    <row r="8" spans="1:14" s="1042" customFormat="1" ht="23.25" customHeight="1">
      <c r="A8" s="658">
        <v>1</v>
      </c>
      <c r="B8" s="1100">
        <v>18</v>
      </c>
      <c r="C8" s="1101" t="s">
        <v>682</v>
      </c>
      <c r="D8" s="1102"/>
      <c r="E8" s="1103"/>
      <c r="F8" s="1103"/>
      <c r="G8" s="1108"/>
      <c r="H8" s="1107"/>
      <c r="I8" s="1104"/>
      <c r="J8" s="1105"/>
      <c r="K8" s="1105"/>
      <c r="L8" s="1105"/>
      <c r="M8" s="1105"/>
      <c r="N8" s="1106"/>
    </row>
    <row r="9" spans="1:14" s="3" customFormat="1" ht="22.5" customHeight="1" hidden="1">
      <c r="A9" s="658">
        <v>2</v>
      </c>
      <c r="B9" s="195"/>
      <c r="C9" s="1085">
        <v>1</v>
      </c>
      <c r="D9" s="650" t="s">
        <v>44</v>
      </c>
      <c r="E9" s="201">
        <v>6918</v>
      </c>
      <c r="F9" s="201">
        <v>7000</v>
      </c>
      <c r="G9" s="202">
        <v>2375</v>
      </c>
      <c r="H9" s="675" t="s">
        <v>23</v>
      </c>
      <c r="I9" s="637"/>
      <c r="J9" s="200"/>
      <c r="K9" s="200"/>
      <c r="L9" s="200"/>
      <c r="M9" s="200"/>
      <c r="N9" s="207"/>
    </row>
    <row r="10" spans="1:14" s="8" customFormat="1" ht="18" customHeight="1" hidden="1">
      <c r="A10" s="658">
        <v>3</v>
      </c>
      <c r="B10" s="167"/>
      <c r="C10" s="168"/>
      <c r="D10" s="1416" t="s">
        <v>312</v>
      </c>
      <c r="E10" s="165"/>
      <c r="F10" s="165"/>
      <c r="G10" s="166"/>
      <c r="H10" s="673"/>
      <c r="I10" s="1409">
        <f>SUM(J10:N10)</f>
        <v>0</v>
      </c>
      <c r="J10" s="170"/>
      <c r="K10" s="170"/>
      <c r="L10" s="1410"/>
      <c r="M10" s="170"/>
      <c r="N10" s="171"/>
    </row>
    <row r="11" spans="1:16" s="3" customFormat="1" ht="22.5" customHeight="1" hidden="1">
      <c r="A11" s="658">
        <v>4</v>
      </c>
      <c r="B11" s="162"/>
      <c r="C11" s="163">
        <v>2</v>
      </c>
      <c r="D11" s="651" t="s">
        <v>45</v>
      </c>
      <c r="E11" s="165">
        <v>4298</v>
      </c>
      <c r="F11" s="165">
        <v>5000</v>
      </c>
      <c r="G11" s="166">
        <v>5672</v>
      </c>
      <c r="H11" s="673" t="s">
        <v>24</v>
      </c>
      <c r="I11" s="637"/>
      <c r="J11" s="200"/>
      <c r="K11" s="200"/>
      <c r="L11" s="200"/>
      <c r="M11" s="200"/>
      <c r="N11" s="207"/>
      <c r="P11" s="8"/>
    </row>
    <row r="12" spans="1:14" s="8" customFormat="1" ht="18" customHeight="1" hidden="1">
      <c r="A12" s="658">
        <v>5</v>
      </c>
      <c r="B12" s="167"/>
      <c r="C12" s="168"/>
      <c r="D12" s="169" t="s">
        <v>312</v>
      </c>
      <c r="E12" s="165"/>
      <c r="F12" s="165"/>
      <c r="G12" s="166"/>
      <c r="H12" s="673"/>
      <c r="I12" s="638">
        <f>SUM(J12:N12)</f>
        <v>0</v>
      </c>
      <c r="J12" s="170"/>
      <c r="K12" s="170"/>
      <c r="L12" s="170"/>
      <c r="M12" s="170"/>
      <c r="N12" s="171"/>
    </row>
    <row r="13" spans="1:16" s="3" customFormat="1" ht="22.5" customHeight="1">
      <c r="A13" s="658">
        <v>2</v>
      </c>
      <c r="B13" s="162"/>
      <c r="C13" s="163">
        <v>3</v>
      </c>
      <c r="D13" s="651" t="s">
        <v>46</v>
      </c>
      <c r="E13" s="165">
        <v>15651</v>
      </c>
      <c r="F13" s="165">
        <v>10000</v>
      </c>
      <c r="G13" s="166">
        <v>7825</v>
      </c>
      <c r="H13" s="673" t="s">
        <v>24</v>
      </c>
      <c r="I13" s="639"/>
      <c r="J13" s="174"/>
      <c r="K13" s="174"/>
      <c r="L13" s="174"/>
      <c r="M13" s="174"/>
      <c r="N13" s="175"/>
      <c r="P13" s="8"/>
    </row>
    <row r="14" spans="1:14" s="8" customFormat="1" ht="18" customHeight="1">
      <c r="A14" s="658">
        <v>3</v>
      </c>
      <c r="B14" s="167"/>
      <c r="C14" s="168"/>
      <c r="D14" s="1416" t="s">
        <v>312</v>
      </c>
      <c r="E14" s="165"/>
      <c r="F14" s="165"/>
      <c r="G14" s="166"/>
      <c r="H14" s="673"/>
      <c r="I14" s="1409">
        <f>SUM(J14:N14)</f>
        <v>3000</v>
      </c>
      <c r="J14" s="170"/>
      <c r="K14" s="170"/>
      <c r="L14" s="1410">
        <v>3000</v>
      </c>
      <c r="M14" s="170"/>
      <c r="N14" s="171"/>
    </row>
    <row r="15" spans="1:16" s="3" customFormat="1" ht="22.5" customHeight="1" hidden="1">
      <c r="A15" s="658">
        <v>8</v>
      </c>
      <c r="B15" s="162"/>
      <c r="C15" s="163">
        <v>4</v>
      </c>
      <c r="D15" s="651" t="s">
        <v>47</v>
      </c>
      <c r="E15" s="165">
        <v>12950</v>
      </c>
      <c r="F15" s="165">
        <v>11000</v>
      </c>
      <c r="G15" s="166">
        <v>16014</v>
      </c>
      <c r="H15" s="673" t="s">
        <v>24</v>
      </c>
      <c r="I15" s="638"/>
      <c r="J15" s="170"/>
      <c r="K15" s="170"/>
      <c r="L15" s="170"/>
      <c r="M15" s="170"/>
      <c r="N15" s="171"/>
      <c r="P15" s="8"/>
    </row>
    <row r="16" spans="1:14" s="8" customFormat="1" ht="18" customHeight="1" hidden="1">
      <c r="A16" s="658">
        <v>9</v>
      </c>
      <c r="B16" s="167"/>
      <c r="C16" s="168"/>
      <c r="D16" s="169" t="s">
        <v>312</v>
      </c>
      <c r="E16" s="1309"/>
      <c r="F16" s="1309"/>
      <c r="G16" s="1309"/>
      <c r="H16" s="673"/>
      <c r="I16" s="638">
        <f>SUM(J16:N16)</f>
        <v>0</v>
      </c>
      <c r="J16" s="170"/>
      <c r="K16" s="170"/>
      <c r="L16" s="170"/>
      <c r="M16" s="170"/>
      <c r="N16" s="171"/>
    </row>
    <row r="17" spans="1:16" s="3" customFormat="1" ht="22.5" customHeight="1">
      <c r="A17" s="658">
        <v>4</v>
      </c>
      <c r="B17" s="162"/>
      <c r="C17" s="163">
        <v>5</v>
      </c>
      <c r="D17" s="651" t="s">
        <v>12</v>
      </c>
      <c r="E17" s="165">
        <v>8243</v>
      </c>
      <c r="F17" s="165">
        <v>10167</v>
      </c>
      <c r="G17" s="166">
        <v>11467</v>
      </c>
      <c r="H17" s="673" t="s">
        <v>24</v>
      </c>
      <c r="I17" s="639"/>
      <c r="J17" s="174"/>
      <c r="K17" s="174"/>
      <c r="L17" s="174"/>
      <c r="M17" s="174"/>
      <c r="N17" s="175"/>
      <c r="O17" s="8"/>
      <c r="P17" s="8"/>
    </row>
    <row r="18" spans="1:14" s="1420" customFormat="1" ht="18" customHeight="1">
      <c r="A18" s="658">
        <v>5</v>
      </c>
      <c r="B18" s="1414"/>
      <c r="C18" s="1415"/>
      <c r="D18" s="1416" t="s">
        <v>312</v>
      </c>
      <c r="E18" s="1417"/>
      <c r="F18" s="1417"/>
      <c r="G18" s="1418"/>
      <c r="H18" s="1419"/>
      <c r="I18" s="1409">
        <f>SUM(J18:N18)</f>
        <v>9601</v>
      </c>
      <c r="J18" s="1410">
        <v>3800</v>
      </c>
      <c r="K18" s="1410">
        <v>1100</v>
      </c>
      <c r="L18" s="1410">
        <v>4701</v>
      </c>
      <c r="M18" s="1410"/>
      <c r="N18" s="1411"/>
    </row>
    <row r="19" spans="1:16" s="3" customFormat="1" ht="22.5" customHeight="1" hidden="1">
      <c r="A19" s="658">
        <v>6</v>
      </c>
      <c r="B19" s="162"/>
      <c r="C19" s="163">
        <v>6</v>
      </c>
      <c r="D19" s="651" t="s">
        <v>441</v>
      </c>
      <c r="E19" s="165">
        <v>1000</v>
      </c>
      <c r="F19" s="165">
        <v>1000</v>
      </c>
      <c r="G19" s="166"/>
      <c r="H19" s="673" t="s">
        <v>24</v>
      </c>
      <c r="I19" s="639"/>
      <c r="J19" s="174"/>
      <c r="K19" s="174"/>
      <c r="L19" s="174"/>
      <c r="M19" s="174"/>
      <c r="N19" s="175"/>
      <c r="O19" s="8"/>
      <c r="P19" s="8"/>
    </row>
    <row r="20" spans="1:14" s="8" customFormat="1" ht="18" customHeight="1" hidden="1">
      <c r="A20" s="658">
        <v>7</v>
      </c>
      <c r="B20" s="167"/>
      <c r="C20" s="168"/>
      <c r="D20" s="169" t="s">
        <v>312</v>
      </c>
      <c r="E20" s="165"/>
      <c r="F20" s="165"/>
      <c r="G20" s="166"/>
      <c r="H20" s="673"/>
      <c r="I20" s="638">
        <f>SUM(J20:N20)</f>
        <v>0</v>
      </c>
      <c r="J20" s="170"/>
      <c r="K20" s="170"/>
      <c r="L20" s="170"/>
      <c r="M20" s="170"/>
      <c r="N20" s="171"/>
    </row>
    <row r="21" spans="1:16" s="3" customFormat="1" ht="22.5" customHeight="1" hidden="1">
      <c r="A21" s="658">
        <v>8</v>
      </c>
      <c r="B21" s="162"/>
      <c r="C21" s="163">
        <v>7</v>
      </c>
      <c r="D21" s="651" t="s">
        <v>10</v>
      </c>
      <c r="E21" s="165">
        <f>SUM(E23,E25,E27,E29,E33,E31)</f>
        <v>72000</v>
      </c>
      <c r="F21" s="165">
        <f>SUM(F23,F25,F27,F29,F33,F31)</f>
        <v>74000</v>
      </c>
      <c r="G21" s="166">
        <f>SUM(G23,G25,G27,G29,G33,G31)</f>
        <v>74000</v>
      </c>
      <c r="H21" s="673" t="s">
        <v>24</v>
      </c>
      <c r="I21" s="639"/>
      <c r="J21" s="174"/>
      <c r="K21" s="174"/>
      <c r="L21" s="174"/>
      <c r="M21" s="174"/>
      <c r="N21" s="175"/>
      <c r="O21" s="8"/>
      <c r="P21" s="8"/>
    </row>
    <row r="22" spans="1:14" s="8" customFormat="1" ht="18" customHeight="1" hidden="1">
      <c r="A22" s="658">
        <v>9</v>
      </c>
      <c r="B22" s="167"/>
      <c r="C22" s="168"/>
      <c r="D22" s="169" t="s">
        <v>312</v>
      </c>
      <c r="E22" s="165"/>
      <c r="F22" s="165"/>
      <c r="G22" s="166"/>
      <c r="H22" s="673"/>
      <c r="I22" s="638">
        <f>SUM(J22:N22)</f>
        <v>0</v>
      </c>
      <c r="J22" s="489">
        <f>SUM(J24,J26,J28,J30,J32)</f>
        <v>0</v>
      </c>
      <c r="K22" s="489">
        <f>SUM(K24,K26,K28,K30,K32)</f>
        <v>0</v>
      </c>
      <c r="L22" s="489">
        <f>SUM(L24,L26,L28,L30,L32)</f>
        <v>0</v>
      </c>
      <c r="M22" s="489">
        <f>SUM(M24,M26,M28,M30,M32)</f>
        <v>0</v>
      </c>
      <c r="N22" s="484">
        <f>SUM(N24,N26,N28,N30,N32)</f>
        <v>0</v>
      </c>
    </row>
    <row r="23" spans="1:16" s="9" customFormat="1" ht="18" customHeight="1" hidden="1">
      <c r="A23" s="658">
        <v>10</v>
      </c>
      <c r="B23" s="176"/>
      <c r="C23" s="626"/>
      <c r="D23" s="485" t="s">
        <v>48</v>
      </c>
      <c r="E23" s="177">
        <v>30000</v>
      </c>
      <c r="F23" s="177">
        <v>30000</v>
      </c>
      <c r="G23" s="178">
        <v>30000</v>
      </c>
      <c r="H23" s="674"/>
      <c r="I23" s="640"/>
      <c r="J23" s="190"/>
      <c r="K23" s="190"/>
      <c r="L23" s="190"/>
      <c r="M23" s="190"/>
      <c r="N23" s="191"/>
      <c r="P23" s="8"/>
    </row>
    <row r="24" spans="1:16" s="9" customFormat="1" ht="18" customHeight="1" hidden="1">
      <c r="A24" s="658">
        <v>11</v>
      </c>
      <c r="B24" s="176"/>
      <c r="C24" s="168"/>
      <c r="D24" s="486" t="s">
        <v>312</v>
      </c>
      <c r="E24" s="177"/>
      <c r="F24" s="177"/>
      <c r="G24" s="178"/>
      <c r="H24" s="674"/>
      <c r="I24" s="640">
        <f>SUM(J24:N24)</f>
        <v>0</v>
      </c>
      <c r="J24" s="190"/>
      <c r="K24" s="190"/>
      <c r="L24" s="190"/>
      <c r="M24" s="190"/>
      <c r="N24" s="191"/>
      <c r="P24" s="8"/>
    </row>
    <row r="25" spans="1:16" s="9" customFormat="1" ht="18" customHeight="1" hidden="1">
      <c r="A25" s="658">
        <v>12</v>
      </c>
      <c r="B25" s="176"/>
      <c r="C25" s="626"/>
      <c r="D25" s="485" t="s">
        <v>49</v>
      </c>
      <c r="E25" s="177">
        <v>15000</v>
      </c>
      <c r="F25" s="177">
        <v>15000</v>
      </c>
      <c r="G25" s="178">
        <v>15000</v>
      </c>
      <c r="H25" s="674"/>
      <c r="I25" s="641"/>
      <c r="J25" s="179"/>
      <c r="K25" s="179"/>
      <c r="L25" s="179"/>
      <c r="M25" s="179"/>
      <c r="N25" s="180"/>
      <c r="P25" s="8"/>
    </row>
    <row r="26" spans="1:16" s="9" customFormat="1" ht="18" customHeight="1" hidden="1">
      <c r="A26" s="658">
        <v>13</v>
      </c>
      <c r="B26" s="176"/>
      <c r="C26" s="168"/>
      <c r="D26" s="486" t="s">
        <v>312</v>
      </c>
      <c r="E26" s="177"/>
      <c r="F26" s="177"/>
      <c r="G26" s="178"/>
      <c r="H26" s="674"/>
      <c r="I26" s="640">
        <f>SUM(J26:N26)</f>
        <v>0</v>
      </c>
      <c r="J26" s="190"/>
      <c r="K26" s="190"/>
      <c r="L26" s="190"/>
      <c r="M26" s="190"/>
      <c r="N26" s="191"/>
      <c r="P26" s="8"/>
    </row>
    <row r="27" spans="1:16" s="9" customFormat="1" ht="18" customHeight="1" hidden="1">
      <c r="A27" s="658">
        <v>14</v>
      </c>
      <c r="B27" s="176"/>
      <c r="C27" s="626"/>
      <c r="D27" s="485" t="s">
        <v>50</v>
      </c>
      <c r="E27" s="177">
        <v>5000</v>
      </c>
      <c r="F27" s="177">
        <v>2000</v>
      </c>
      <c r="G27" s="178">
        <v>2000</v>
      </c>
      <c r="H27" s="674"/>
      <c r="I27" s="641"/>
      <c r="J27" s="179"/>
      <c r="K27" s="179"/>
      <c r="L27" s="179"/>
      <c r="M27" s="179"/>
      <c r="N27" s="180"/>
      <c r="P27" s="8"/>
    </row>
    <row r="28" spans="1:16" s="9" customFormat="1" ht="18" customHeight="1" hidden="1">
      <c r="A28" s="658">
        <v>15</v>
      </c>
      <c r="B28" s="176"/>
      <c r="C28" s="168"/>
      <c r="D28" s="486" t="s">
        <v>312</v>
      </c>
      <c r="E28" s="177"/>
      <c r="F28" s="177"/>
      <c r="G28" s="178"/>
      <c r="H28" s="674"/>
      <c r="I28" s="640">
        <f>SUM(J28:N28)</f>
        <v>0</v>
      </c>
      <c r="J28" s="190"/>
      <c r="K28" s="190"/>
      <c r="L28" s="190"/>
      <c r="M28" s="190"/>
      <c r="N28" s="191"/>
      <c r="P28" s="8"/>
    </row>
    <row r="29" spans="1:16" s="9" customFormat="1" ht="18" customHeight="1" hidden="1">
      <c r="A29" s="658">
        <v>16</v>
      </c>
      <c r="B29" s="176"/>
      <c r="C29" s="626"/>
      <c r="D29" s="485" t="s">
        <v>51</v>
      </c>
      <c r="E29" s="177">
        <v>15000</v>
      </c>
      <c r="F29" s="177">
        <v>15000</v>
      </c>
      <c r="G29" s="178">
        <v>15000</v>
      </c>
      <c r="H29" s="674"/>
      <c r="I29" s="641"/>
      <c r="J29" s="179"/>
      <c r="K29" s="179"/>
      <c r="L29" s="179"/>
      <c r="M29" s="179"/>
      <c r="N29" s="180"/>
      <c r="P29" s="8"/>
    </row>
    <row r="30" spans="1:16" s="9" customFormat="1" ht="18" customHeight="1" hidden="1">
      <c r="A30" s="658">
        <v>17</v>
      </c>
      <c r="B30" s="176"/>
      <c r="C30" s="168"/>
      <c r="D30" s="486" t="s">
        <v>312</v>
      </c>
      <c r="E30" s="177"/>
      <c r="F30" s="177"/>
      <c r="G30" s="178"/>
      <c r="H30" s="674"/>
      <c r="I30" s="640">
        <f>SUM(J30:N30)</f>
        <v>0</v>
      </c>
      <c r="J30" s="190"/>
      <c r="K30" s="190"/>
      <c r="L30" s="190"/>
      <c r="M30" s="190"/>
      <c r="N30" s="191"/>
      <c r="P30" s="8"/>
    </row>
    <row r="31" spans="1:14" s="9" customFormat="1" ht="18" customHeight="1" hidden="1">
      <c r="A31" s="658">
        <v>18</v>
      </c>
      <c r="B31" s="176"/>
      <c r="C31" s="168"/>
      <c r="D31" s="485" t="s">
        <v>52</v>
      </c>
      <c r="E31" s="177">
        <v>5000</v>
      </c>
      <c r="F31" s="177">
        <v>10000</v>
      </c>
      <c r="G31" s="178">
        <v>10000</v>
      </c>
      <c r="H31" s="674"/>
      <c r="I31" s="641"/>
      <c r="J31" s="179"/>
      <c r="K31" s="179"/>
      <c r="L31" s="179"/>
      <c r="M31" s="179"/>
      <c r="N31" s="180"/>
    </row>
    <row r="32" spans="1:14" s="9" customFormat="1" ht="18" customHeight="1" hidden="1">
      <c r="A32" s="658">
        <v>19</v>
      </c>
      <c r="B32" s="176"/>
      <c r="C32" s="168"/>
      <c r="D32" s="486" t="s">
        <v>312</v>
      </c>
      <c r="E32" s="177"/>
      <c r="F32" s="177"/>
      <c r="G32" s="178"/>
      <c r="H32" s="674"/>
      <c r="I32" s="640">
        <f>SUM(J32:N32)</f>
        <v>0</v>
      </c>
      <c r="J32" s="190"/>
      <c r="K32" s="190"/>
      <c r="L32" s="190"/>
      <c r="M32" s="190"/>
      <c r="N32" s="191"/>
    </row>
    <row r="33" spans="1:16" s="9" customFormat="1" ht="18" customHeight="1" hidden="1">
      <c r="A33" s="658">
        <v>20</v>
      </c>
      <c r="B33" s="176"/>
      <c r="C33" s="168">
        <v>8</v>
      </c>
      <c r="D33" s="651" t="s">
        <v>806</v>
      </c>
      <c r="E33" s="165">
        <v>2000</v>
      </c>
      <c r="F33" s="177">
        <v>2000</v>
      </c>
      <c r="G33" s="178">
        <v>2000</v>
      </c>
      <c r="H33" s="673" t="s">
        <v>24</v>
      </c>
      <c r="I33" s="640"/>
      <c r="J33" s="190"/>
      <c r="K33" s="190"/>
      <c r="L33" s="190"/>
      <c r="M33" s="190"/>
      <c r="N33" s="191"/>
      <c r="P33" s="8"/>
    </row>
    <row r="34" spans="1:16" s="9" customFormat="1" ht="18" customHeight="1" hidden="1">
      <c r="A34" s="658">
        <v>21</v>
      </c>
      <c r="B34" s="176"/>
      <c r="C34" s="168"/>
      <c r="D34" s="164" t="s">
        <v>312</v>
      </c>
      <c r="E34" s="165"/>
      <c r="F34" s="177"/>
      <c r="G34" s="178"/>
      <c r="H34" s="674"/>
      <c r="I34" s="640">
        <f>SUM(J34:N34)</f>
        <v>0</v>
      </c>
      <c r="J34" s="190"/>
      <c r="K34" s="190"/>
      <c r="L34" s="190"/>
      <c r="M34" s="190"/>
      <c r="N34" s="191"/>
      <c r="P34" s="8"/>
    </row>
    <row r="35" spans="1:16" s="3" customFormat="1" ht="22.5" customHeight="1" hidden="1">
      <c r="A35" s="658">
        <v>22</v>
      </c>
      <c r="B35" s="162"/>
      <c r="C35" s="163">
        <v>9</v>
      </c>
      <c r="D35" s="651" t="s">
        <v>281</v>
      </c>
      <c r="E35" s="165">
        <v>7817</v>
      </c>
      <c r="F35" s="165">
        <v>10000</v>
      </c>
      <c r="G35" s="166">
        <v>22864</v>
      </c>
      <c r="H35" s="673" t="s">
        <v>24</v>
      </c>
      <c r="I35" s="638"/>
      <c r="J35" s="170"/>
      <c r="K35" s="170"/>
      <c r="L35" s="170"/>
      <c r="M35" s="170"/>
      <c r="N35" s="171"/>
      <c r="P35" s="8"/>
    </row>
    <row r="36" spans="1:14" s="8" customFormat="1" ht="18" customHeight="1" hidden="1">
      <c r="A36" s="658">
        <v>23</v>
      </c>
      <c r="B36" s="167"/>
      <c r="C36" s="168"/>
      <c r="D36" s="169" t="s">
        <v>312</v>
      </c>
      <c r="E36" s="1309"/>
      <c r="F36" s="1298"/>
      <c r="G36" s="1309"/>
      <c r="H36" s="673"/>
      <c r="I36" s="638">
        <f>SUM(J36:N36)</f>
        <v>0</v>
      </c>
      <c r="J36" s="170"/>
      <c r="K36" s="170"/>
      <c r="L36" s="170"/>
      <c r="M36" s="170"/>
      <c r="N36" s="171"/>
    </row>
    <row r="37" spans="1:16" s="3" customFormat="1" ht="22.5" customHeight="1" hidden="1">
      <c r="A37" s="658">
        <v>24</v>
      </c>
      <c r="B37" s="162"/>
      <c r="C37" s="163">
        <v>10</v>
      </c>
      <c r="D37" s="651" t="s">
        <v>53</v>
      </c>
      <c r="E37" s="165">
        <v>6008</v>
      </c>
      <c r="F37" s="165">
        <v>4500</v>
      </c>
      <c r="G37" s="166">
        <v>24388</v>
      </c>
      <c r="H37" s="673" t="s">
        <v>24</v>
      </c>
      <c r="I37" s="638"/>
      <c r="J37" s="170"/>
      <c r="K37" s="170"/>
      <c r="L37" s="170"/>
      <c r="M37" s="170"/>
      <c r="N37" s="171"/>
      <c r="P37" s="8"/>
    </row>
    <row r="38" spans="1:14" s="8" customFormat="1" ht="18" customHeight="1" hidden="1">
      <c r="A38" s="658">
        <v>25</v>
      </c>
      <c r="B38" s="167"/>
      <c r="C38" s="168"/>
      <c r="D38" s="169" t="s">
        <v>312</v>
      </c>
      <c r="E38" s="165"/>
      <c r="F38" s="165"/>
      <c r="G38" s="166"/>
      <c r="H38" s="673"/>
      <c r="I38" s="638">
        <f>SUM(J38:N38)</f>
        <v>0</v>
      </c>
      <c r="J38" s="170"/>
      <c r="K38" s="170"/>
      <c r="L38" s="170"/>
      <c r="M38" s="170"/>
      <c r="N38" s="171"/>
    </row>
    <row r="39" spans="1:16" s="3" customFormat="1" ht="22.5" customHeight="1">
      <c r="A39" s="658">
        <v>6</v>
      </c>
      <c r="B39" s="162"/>
      <c r="C39" s="163">
        <v>11</v>
      </c>
      <c r="D39" s="651" t="s">
        <v>54</v>
      </c>
      <c r="E39" s="165">
        <v>21</v>
      </c>
      <c r="F39" s="165">
        <v>2000</v>
      </c>
      <c r="G39" s="166">
        <v>1200</v>
      </c>
      <c r="H39" s="675" t="s">
        <v>24</v>
      </c>
      <c r="I39" s="638"/>
      <c r="J39" s="170"/>
      <c r="K39" s="170"/>
      <c r="L39" s="170"/>
      <c r="M39" s="170"/>
      <c r="N39" s="171"/>
      <c r="P39" s="8"/>
    </row>
    <row r="40" spans="1:16" s="1427" customFormat="1" ht="18" customHeight="1">
      <c r="A40" s="658">
        <v>7</v>
      </c>
      <c r="B40" s="1421"/>
      <c r="C40" s="1415"/>
      <c r="D40" s="1416" t="s">
        <v>312</v>
      </c>
      <c r="E40" s="1422"/>
      <c r="F40" s="1422"/>
      <c r="G40" s="1423"/>
      <c r="H40" s="1424"/>
      <c r="I40" s="1409">
        <f>SUM(J40:N40)</f>
        <v>1000</v>
      </c>
      <c r="J40" s="1425"/>
      <c r="K40" s="1425"/>
      <c r="L40" s="1425">
        <v>1000</v>
      </c>
      <c r="M40" s="1425"/>
      <c r="N40" s="1426"/>
      <c r="P40" s="1420"/>
    </row>
    <row r="41" spans="1:16" s="3" customFormat="1" ht="22.5" customHeight="1">
      <c r="A41" s="658">
        <v>8</v>
      </c>
      <c r="B41" s="162"/>
      <c r="C41" s="163">
        <v>12</v>
      </c>
      <c r="D41" s="651" t="s">
        <v>55</v>
      </c>
      <c r="E41" s="165">
        <v>2657</v>
      </c>
      <c r="F41" s="165">
        <v>4000</v>
      </c>
      <c r="G41" s="166">
        <v>3361</v>
      </c>
      <c r="H41" s="673" t="s">
        <v>24</v>
      </c>
      <c r="I41" s="638"/>
      <c r="J41" s="170"/>
      <c r="K41" s="170"/>
      <c r="L41" s="170"/>
      <c r="M41" s="170"/>
      <c r="N41" s="171"/>
      <c r="P41" s="8"/>
    </row>
    <row r="42" spans="1:14" s="1420" customFormat="1" ht="18" customHeight="1">
      <c r="A42" s="658">
        <v>9</v>
      </c>
      <c r="B42" s="1414"/>
      <c r="C42" s="1415"/>
      <c r="D42" s="1416" t="s">
        <v>312</v>
      </c>
      <c r="E42" s="1417"/>
      <c r="F42" s="1417"/>
      <c r="G42" s="1418"/>
      <c r="H42" s="1419"/>
      <c r="I42" s="1409">
        <f>SUM(J42:N42)</f>
        <v>2000</v>
      </c>
      <c r="J42" s="1410"/>
      <c r="K42" s="1410"/>
      <c r="L42" s="1410">
        <v>2000</v>
      </c>
      <c r="M42" s="1410"/>
      <c r="N42" s="1411"/>
    </row>
    <row r="43" spans="1:16" s="3" customFormat="1" ht="22.5" customHeight="1">
      <c r="A43" s="658">
        <v>10</v>
      </c>
      <c r="B43" s="162"/>
      <c r="C43" s="163">
        <v>13</v>
      </c>
      <c r="D43" s="651" t="s">
        <v>56</v>
      </c>
      <c r="E43" s="165">
        <f>SUM(E45,E47,E49,E51)</f>
        <v>3998</v>
      </c>
      <c r="F43" s="165">
        <f>SUM(F45,F47,F49,F51)</f>
        <v>4500</v>
      </c>
      <c r="G43" s="166">
        <f>SUM(G45,G47,G49,G51)</f>
        <v>3960</v>
      </c>
      <c r="H43" s="673" t="s">
        <v>24</v>
      </c>
      <c r="I43" s="638"/>
      <c r="J43" s="170"/>
      <c r="K43" s="170"/>
      <c r="L43" s="170"/>
      <c r="M43" s="170"/>
      <c r="N43" s="171"/>
      <c r="P43" s="8"/>
    </row>
    <row r="44" spans="1:14" s="1420" customFormat="1" ht="18" customHeight="1">
      <c r="A44" s="658">
        <v>11</v>
      </c>
      <c r="B44" s="1414"/>
      <c r="C44" s="1415"/>
      <c r="D44" s="1416" t="s">
        <v>312</v>
      </c>
      <c r="E44" s="1417"/>
      <c r="F44" s="1417"/>
      <c r="G44" s="1418"/>
      <c r="H44" s="1419"/>
      <c r="I44" s="1409">
        <f>SUM(J44:N44)</f>
        <v>2925</v>
      </c>
      <c r="J44" s="1410">
        <f>SUM(J46,J48,J50,J52)</f>
        <v>0</v>
      </c>
      <c r="K44" s="1410">
        <f>SUM(K46,K48,K50,K52)</f>
        <v>0</v>
      </c>
      <c r="L44" s="1410">
        <f>SUM(L46,L48,L50,L52)</f>
        <v>0</v>
      </c>
      <c r="M44" s="1410">
        <f>SUM(M46,M48,M50,M52)</f>
        <v>0</v>
      </c>
      <c r="N44" s="1411">
        <f>SUM(N46,N48,N50,N52)</f>
        <v>2925</v>
      </c>
    </row>
    <row r="45" spans="1:14" s="9" customFormat="1" ht="18" customHeight="1">
      <c r="A45" s="658">
        <v>12</v>
      </c>
      <c r="B45" s="176"/>
      <c r="C45" s="168"/>
      <c r="D45" s="181" t="s">
        <v>290</v>
      </c>
      <c r="E45" s="177"/>
      <c r="F45" s="177">
        <v>1500</v>
      </c>
      <c r="G45" s="178"/>
      <c r="H45" s="674"/>
      <c r="I45" s="640"/>
      <c r="J45" s="190"/>
      <c r="K45" s="190"/>
      <c r="L45" s="190"/>
      <c r="M45" s="190"/>
      <c r="N45" s="191"/>
    </row>
    <row r="46" spans="1:14" s="1435" customFormat="1" ht="18" customHeight="1">
      <c r="A46" s="658">
        <v>13</v>
      </c>
      <c r="B46" s="1428"/>
      <c r="C46" s="1415"/>
      <c r="D46" s="1429" t="s">
        <v>312</v>
      </c>
      <c r="E46" s="1430"/>
      <c r="F46" s="1430"/>
      <c r="G46" s="1431"/>
      <c r="H46" s="1432"/>
      <c r="I46" s="1412">
        <f>SUM(J46:N46)</f>
        <v>1000</v>
      </c>
      <c r="J46" s="1433"/>
      <c r="K46" s="1433"/>
      <c r="L46" s="1433"/>
      <c r="M46" s="1433"/>
      <c r="N46" s="1434">
        <v>1000</v>
      </c>
    </row>
    <row r="47" spans="1:14" s="9" customFormat="1" ht="18" customHeight="1">
      <c r="A47" s="658">
        <v>14</v>
      </c>
      <c r="B47" s="176"/>
      <c r="C47" s="168"/>
      <c r="D47" s="181" t="s">
        <v>291</v>
      </c>
      <c r="E47" s="177">
        <v>2998</v>
      </c>
      <c r="F47" s="177">
        <v>2000</v>
      </c>
      <c r="G47" s="178">
        <v>2960</v>
      </c>
      <c r="H47" s="674"/>
      <c r="I47" s="641"/>
      <c r="J47" s="179"/>
      <c r="K47" s="179"/>
      <c r="L47" s="179"/>
      <c r="M47" s="179"/>
      <c r="N47" s="180"/>
    </row>
    <row r="48" spans="1:14" s="1435" customFormat="1" ht="18" customHeight="1">
      <c r="A48" s="658">
        <v>15</v>
      </c>
      <c r="B48" s="1428"/>
      <c r="C48" s="1415"/>
      <c r="D48" s="1429" t="s">
        <v>312</v>
      </c>
      <c r="E48" s="1430"/>
      <c r="F48" s="1430"/>
      <c r="G48" s="1431"/>
      <c r="H48" s="1432"/>
      <c r="I48" s="1412">
        <f>SUM(J48:N48)</f>
        <v>1500</v>
      </c>
      <c r="J48" s="1433"/>
      <c r="K48" s="1433"/>
      <c r="L48" s="1433"/>
      <c r="M48" s="1433"/>
      <c r="N48" s="1434">
        <v>1500</v>
      </c>
    </row>
    <row r="49" spans="1:14" s="9" customFormat="1" ht="18" customHeight="1">
      <c r="A49" s="658">
        <v>16</v>
      </c>
      <c r="B49" s="176"/>
      <c r="C49" s="168"/>
      <c r="D49" s="181" t="s">
        <v>996</v>
      </c>
      <c r="E49" s="177">
        <v>500</v>
      </c>
      <c r="F49" s="177">
        <v>500</v>
      </c>
      <c r="G49" s="178">
        <v>500</v>
      </c>
      <c r="H49" s="674"/>
      <c r="I49" s="640"/>
      <c r="J49" s="190"/>
      <c r="K49" s="190"/>
      <c r="L49" s="190"/>
      <c r="M49" s="190"/>
      <c r="N49" s="191"/>
    </row>
    <row r="50" spans="1:14" s="1435" customFormat="1" ht="18" customHeight="1">
      <c r="A50" s="658">
        <v>17</v>
      </c>
      <c r="B50" s="1428"/>
      <c r="C50" s="1415"/>
      <c r="D50" s="1429" t="s">
        <v>312</v>
      </c>
      <c r="E50" s="1430"/>
      <c r="F50" s="1430"/>
      <c r="G50" s="1431"/>
      <c r="H50" s="1432"/>
      <c r="I50" s="1412">
        <f>SUM(J50:N50)</f>
        <v>425</v>
      </c>
      <c r="J50" s="1433"/>
      <c r="K50" s="1433"/>
      <c r="L50" s="1433"/>
      <c r="M50" s="1433"/>
      <c r="N50" s="1434">
        <v>425</v>
      </c>
    </row>
    <row r="51" spans="1:14" s="9" customFormat="1" ht="18" customHeight="1" hidden="1">
      <c r="A51" s="658">
        <v>38</v>
      </c>
      <c r="B51" s="176"/>
      <c r="C51" s="168"/>
      <c r="D51" s="181" t="s">
        <v>468</v>
      </c>
      <c r="E51" s="177">
        <v>500</v>
      </c>
      <c r="F51" s="177">
        <v>500</v>
      </c>
      <c r="G51" s="178">
        <v>500</v>
      </c>
      <c r="H51" s="674"/>
      <c r="I51" s="640"/>
      <c r="J51" s="190"/>
      <c r="K51" s="190"/>
      <c r="L51" s="190"/>
      <c r="M51" s="190"/>
      <c r="N51" s="191"/>
    </row>
    <row r="52" spans="1:14" s="9" customFormat="1" ht="18" customHeight="1" hidden="1">
      <c r="A52" s="658">
        <v>39</v>
      </c>
      <c r="B52" s="176"/>
      <c r="C52" s="168"/>
      <c r="D52" s="619" t="s">
        <v>312</v>
      </c>
      <c r="E52" s="177"/>
      <c r="F52" s="177"/>
      <c r="G52" s="178"/>
      <c r="H52" s="674"/>
      <c r="I52" s="640">
        <f>SUM(J52:N52)</f>
        <v>0</v>
      </c>
      <c r="J52" s="190"/>
      <c r="K52" s="190"/>
      <c r="L52" s="190"/>
      <c r="M52" s="190"/>
      <c r="N52" s="191"/>
    </row>
    <row r="53" spans="1:14" s="9" customFormat="1" ht="18" customHeight="1" hidden="1">
      <c r="A53" s="658">
        <v>40</v>
      </c>
      <c r="B53" s="176"/>
      <c r="C53" s="168"/>
      <c r="D53" s="181" t="s">
        <v>876</v>
      </c>
      <c r="E53" s="177"/>
      <c r="F53" s="177">
        <v>2000</v>
      </c>
      <c r="G53" s="178">
        <v>2000</v>
      </c>
      <c r="H53" s="674"/>
      <c r="I53" s="640"/>
      <c r="J53" s="190"/>
      <c r="K53" s="190"/>
      <c r="L53" s="190"/>
      <c r="M53" s="190"/>
      <c r="N53" s="191"/>
    </row>
    <row r="54" spans="1:14" s="9" customFormat="1" ht="18" customHeight="1" hidden="1">
      <c r="A54" s="658">
        <v>41</v>
      </c>
      <c r="B54" s="176"/>
      <c r="C54" s="168"/>
      <c r="D54" s="619" t="s">
        <v>312</v>
      </c>
      <c r="E54" s="177"/>
      <c r="F54" s="177"/>
      <c r="G54" s="178"/>
      <c r="H54" s="674"/>
      <c r="I54" s="640">
        <f>SUM(J54:N54)</f>
        <v>0</v>
      </c>
      <c r="J54" s="190"/>
      <c r="K54" s="190"/>
      <c r="L54" s="190"/>
      <c r="M54" s="190"/>
      <c r="N54" s="191"/>
    </row>
    <row r="55" spans="1:14" s="9" customFormat="1" ht="18" customHeight="1" hidden="1">
      <c r="A55" s="658">
        <v>42</v>
      </c>
      <c r="B55" s="176"/>
      <c r="C55" s="168"/>
      <c r="D55" s="181" t="s">
        <v>560</v>
      </c>
      <c r="E55" s="177"/>
      <c r="F55" s="177">
        <v>5000</v>
      </c>
      <c r="G55" s="178">
        <v>5000</v>
      </c>
      <c r="H55" s="674"/>
      <c r="I55" s="640"/>
      <c r="J55" s="190"/>
      <c r="K55" s="190"/>
      <c r="L55" s="190"/>
      <c r="M55" s="190"/>
      <c r="N55" s="191"/>
    </row>
    <row r="56" spans="1:14" s="9" customFormat="1" ht="18" customHeight="1" hidden="1">
      <c r="A56" s="658">
        <v>43</v>
      </c>
      <c r="B56" s="176"/>
      <c r="C56" s="168"/>
      <c r="D56" s="619" t="s">
        <v>312</v>
      </c>
      <c r="E56" s="177"/>
      <c r="F56" s="177"/>
      <c r="G56" s="178"/>
      <c r="H56" s="674"/>
      <c r="I56" s="640">
        <f>SUM(J56:N56)</f>
        <v>0</v>
      </c>
      <c r="J56" s="190"/>
      <c r="K56" s="190"/>
      <c r="L56" s="190"/>
      <c r="M56" s="190"/>
      <c r="N56" s="191"/>
    </row>
    <row r="57" spans="1:14" s="9" customFormat="1" ht="18" customHeight="1">
      <c r="A57" s="658">
        <v>18</v>
      </c>
      <c r="B57" s="176"/>
      <c r="C57" s="168">
        <v>14</v>
      </c>
      <c r="D57" s="651" t="s">
        <v>850</v>
      </c>
      <c r="E57" s="177"/>
      <c r="F57" s="177"/>
      <c r="G57" s="178"/>
      <c r="H57" s="673" t="s">
        <v>24</v>
      </c>
      <c r="I57" s="640"/>
      <c r="J57" s="190"/>
      <c r="K57" s="190"/>
      <c r="L57" s="190"/>
      <c r="M57" s="190"/>
      <c r="N57" s="191"/>
    </row>
    <row r="58" spans="1:14" s="1435" customFormat="1" ht="18" customHeight="1">
      <c r="A58" s="658">
        <v>19</v>
      </c>
      <c r="B58" s="1428"/>
      <c r="C58" s="1415"/>
      <c r="D58" s="1416" t="s">
        <v>312</v>
      </c>
      <c r="E58" s="1430"/>
      <c r="F58" s="1430"/>
      <c r="G58" s="1431"/>
      <c r="H58" s="1419"/>
      <c r="I58" s="1409">
        <f>SUM(J58:N58)</f>
        <v>2550</v>
      </c>
      <c r="J58" s="1433"/>
      <c r="K58" s="1433"/>
      <c r="L58" s="1433"/>
      <c r="M58" s="1433"/>
      <c r="N58" s="1411">
        <v>2550</v>
      </c>
    </row>
    <row r="59" spans="1:14" s="9" customFormat="1" ht="18" customHeight="1">
      <c r="A59" s="658">
        <v>20</v>
      </c>
      <c r="B59" s="176"/>
      <c r="C59" s="168">
        <v>15</v>
      </c>
      <c r="D59" s="651" t="s">
        <v>851</v>
      </c>
      <c r="E59" s="177"/>
      <c r="F59" s="177"/>
      <c r="G59" s="178"/>
      <c r="H59" s="673" t="s">
        <v>24</v>
      </c>
      <c r="I59" s="640"/>
      <c r="J59" s="190"/>
      <c r="K59" s="190"/>
      <c r="L59" s="190"/>
      <c r="M59" s="190"/>
      <c r="N59" s="191"/>
    </row>
    <row r="60" spans="1:14" s="1435" customFormat="1" ht="18" customHeight="1">
      <c r="A60" s="658">
        <v>21</v>
      </c>
      <c r="B60" s="1428"/>
      <c r="C60" s="1415"/>
      <c r="D60" s="1416" t="s">
        <v>312</v>
      </c>
      <c r="E60" s="1430"/>
      <c r="F60" s="1430"/>
      <c r="G60" s="1431"/>
      <c r="H60" s="1419"/>
      <c r="I60" s="1409">
        <f>SUM(J60:N60)</f>
        <v>2550</v>
      </c>
      <c r="J60" s="1433"/>
      <c r="K60" s="1433"/>
      <c r="L60" s="1433"/>
      <c r="M60" s="1433"/>
      <c r="N60" s="1411">
        <v>2550</v>
      </c>
    </row>
    <row r="61" spans="1:14" s="9" customFormat="1" ht="18" customHeight="1">
      <c r="A61" s="658">
        <v>22</v>
      </c>
      <c r="B61" s="176"/>
      <c r="C61" s="168">
        <v>16</v>
      </c>
      <c r="D61" s="651" t="s">
        <v>852</v>
      </c>
      <c r="E61" s="177"/>
      <c r="F61" s="177"/>
      <c r="G61" s="178"/>
      <c r="H61" s="673" t="s">
        <v>24</v>
      </c>
      <c r="I61" s="640"/>
      <c r="J61" s="190"/>
      <c r="K61" s="190"/>
      <c r="L61" s="190"/>
      <c r="M61" s="190"/>
      <c r="N61" s="191"/>
    </row>
    <row r="62" spans="1:14" s="1435" customFormat="1" ht="18" customHeight="1">
      <c r="A62" s="658">
        <v>23</v>
      </c>
      <c r="B62" s="1428"/>
      <c r="C62" s="1415"/>
      <c r="D62" s="1416" t="s">
        <v>312</v>
      </c>
      <c r="E62" s="1430"/>
      <c r="F62" s="1430"/>
      <c r="G62" s="1431"/>
      <c r="H62" s="1432"/>
      <c r="I62" s="1409">
        <f>SUM(J62:N62)</f>
        <v>850</v>
      </c>
      <c r="J62" s="1433"/>
      <c r="K62" s="1433"/>
      <c r="L62" s="1433"/>
      <c r="M62" s="1433"/>
      <c r="N62" s="1434">
        <v>850</v>
      </c>
    </row>
    <row r="63" spans="1:14" s="9" customFormat="1" ht="18" customHeight="1">
      <c r="A63" s="658">
        <v>24</v>
      </c>
      <c r="B63" s="176"/>
      <c r="C63" s="163">
        <v>17</v>
      </c>
      <c r="D63" s="651" t="s">
        <v>604</v>
      </c>
      <c r="E63" s="177">
        <v>500</v>
      </c>
      <c r="F63" s="177">
        <v>650</v>
      </c>
      <c r="G63" s="178">
        <v>650</v>
      </c>
      <c r="H63" s="673" t="s">
        <v>24</v>
      </c>
      <c r="I63" s="640"/>
      <c r="J63" s="190"/>
      <c r="K63" s="190"/>
      <c r="L63" s="190"/>
      <c r="M63" s="190"/>
      <c r="N63" s="191"/>
    </row>
    <row r="64" spans="1:14" s="1435" customFormat="1" ht="18" customHeight="1">
      <c r="A64" s="658">
        <v>25</v>
      </c>
      <c r="B64" s="1428"/>
      <c r="C64" s="1415"/>
      <c r="D64" s="1416" t="s">
        <v>312</v>
      </c>
      <c r="E64" s="1436"/>
      <c r="F64" s="1437"/>
      <c r="G64" s="1436"/>
      <c r="H64" s="1432"/>
      <c r="I64" s="1409">
        <f>SUM(J64:N64)</f>
        <v>553</v>
      </c>
      <c r="J64" s="1433"/>
      <c r="K64" s="1433"/>
      <c r="L64" s="1433"/>
      <c r="M64" s="1433"/>
      <c r="N64" s="1434">
        <v>553</v>
      </c>
    </row>
    <row r="65" spans="1:16" s="3" customFormat="1" ht="22.5" customHeight="1">
      <c r="A65" s="658">
        <v>26</v>
      </c>
      <c r="B65" s="162"/>
      <c r="C65" s="163">
        <v>18</v>
      </c>
      <c r="D65" s="651" t="s">
        <v>57</v>
      </c>
      <c r="E65" s="165">
        <v>5000</v>
      </c>
      <c r="F65" s="165">
        <v>5000</v>
      </c>
      <c r="G65" s="166">
        <v>5000</v>
      </c>
      <c r="H65" s="673" t="s">
        <v>24</v>
      </c>
      <c r="I65" s="639"/>
      <c r="J65" s="174"/>
      <c r="K65" s="174"/>
      <c r="L65" s="174"/>
      <c r="M65" s="174"/>
      <c r="N65" s="175"/>
      <c r="O65" s="8"/>
      <c r="P65" s="8"/>
    </row>
    <row r="66" spans="1:14" s="1420" customFormat="1" ht="18" customHeight="1">
      <c r="A66" s="658">
        <v>27</v>
      </c>
      <c r="B66" s="1414"/>
      <c r="C66" s="1415"/>
      <c r="D66" s="1416" t="s">
        <v>312</v>
      </c>
      <c r="E66" s="1417"/>
      <c r="F66" s="1417"/>
      <c r="G66" s="1418"/>
      <c r="H66" s="1419"/>
      <c r="I66" s="1409">
        <f>SUM(J66:N66)</f>
        <v>840</v>
      </c>
      <c r="J66" s="1410"/>
      <c r="K66" s="1410"/>
      <c r="L66" s="1410">
        <v>840</v>
      </c>
      <c r="M66" s="1410"/>
      <c r="N66" s="1411"/>
    </row>
    <row r="67" spans="1:16" s="3" customFormat="1" ht="22.5" customHeight="1" hidden="1">
      <c r="A67" s="658">
        <v>28</v>
      </c>
      <c r="B67" s="162"/>
      <c r="C67" s="163">
        <v>19</v>
      </c>
      <c r="D67" s="651" t="s">
        <v>561</v>
      </c>
      <c r="E67" s="165">
        <v>1000</v>
      </c>
      <c r="F67" s="165">
        <v>1000</v>
      </c>
      <c r="G67" s="166">
        <v>1000</v>
      </c>
      <c r="H67" s="673" t="s">
        <v>24</v>
      </c>
      <c r="I67" s="639"/>
      <c r="J67" s="174"/>
      <c r="K67" s="174"/>
      <c r="L67" s="174"/>
      <c r="M67" s="174"/>
      <c r="N67" s="175"/>
      <c r="O67" s="8"/>
      <c r="P67" s="8"/>
    </row>
    <row r="68" spans="1:14" s="1420" customFormat="1" ht="18" customHeight="1" hidden="1">
      <c r="A68" s="658">
        <v>29</v>
      </c>
      <c r="B68" s="1414"/>
      <c r="C68" s="1415"/>
      <c r="D68" s="1416" t="s">
        <v>312</v>
      </c>
      <c r="E68" s="1417"/>
      <c r="F68" s="1417"/>
      <c r="G68" s="1418"/>
      <c r="H68" s="1419"/>
      <c r="I68" s="1409">
        <f>SUM(J68:N68)</f>
        <v>0</v>
      </c>
      <c r="J68" s="1410"/>
      <c r="K68" s="1410"/>
      <c r="L68" s="1410"/>
      <c r="M68" s="1410"/>
      <c r="N68" s="1411"/>
    </row>
    <row r="69" spans="1:16" s="3" customFormat="1" ht="22.5" customHeight="1">
      <c r="A69" s="658">
        <v>28</v>
      </c>
      <c r="B69" s="162"/>
      <c r="C69" s="163">
        <v>20</v>
      </c>
      <c r="D69" s="651" t="s">
        <v>257</v>
      </c>
      <c r="E69" s="165">
        <f>SUM(E71,E73,E75,E77,E79)</f>
        <v>92300</v>
      </c>
      <c r="F69" s="165">
        <f>SUM(F71,F73,F75,F77,F79)</f>
        <v>97600</v>
      </c>
      <c r="G69" s="166">
        <f>SUM(G71,G73,G75,G77,G79)</f>
        <v>97600</v>
      </c>
      <c r="H69" s="673" t="s">
        <v>24</v>
      </c>
      <c r="I69" s="639"/>
      <c r="J69" s="174"/>
      <c r="K69" s="174"/>
      <c r="L69" s="174"/>
      <c r="M69" s="174"/>
      <c r="N69" s="175"/>
      <c r="O69" s="8"/>
      <c r="P69" s="8"/>
    </row>
    <row r="70" spans="1:14" s="1420" customFormat="1" ht="18" customHeight="1">
      <c r="A70" s="658">
        <v>29</v>
      </c>
      <c r="B70" s="1414"/>
      <c r="C70" s="1415"/>
      <c r="D70" s="1416" t="s">
        <v>312</v>
      </c>
      <c r="E70" s="1417"/>
      <c r="F70" s="1417"/>
      <c r="G70" s="1418"/>
      <c r="H70" s="1419"/>
      <c r="I70" s="1409">
        <f>SUM(J70:N70)</f>
        <v>32435</v>
      </c>
      <c r="J70" s="1413">
        <f>SUM(J72,J74,J76,J78,J80)</f>
        <v>0</v>
      </c>
      <c r="K70" s="1413">
        <f>SUM(K72,K74,K76,K78,K80)</f>
        <v>0</v>
      </c>
      <c r="L70" s="1413">
        <f>SUM(L72,L74,L76,L78,L80)</f>
        <v>0</v>
      </c>
      <c r="M70" s="1413">
        <f>SUM(M72,M74,M76,M78,M80)</f>
        <v>0</v>
      </c>
      <c r="N70" s="1411">
        <f>SUM(N72,N74,N76,N78,N80)</f>
        <v>32435</v>
      </c>
    </row>
    <row r="71" spans="1:16" s="9" customFormat="1" ht="18" customHeight="1">
      <c r="A71" s="658">
        <v>30</v>
      </c>
      <c r="B71" s="176"/>
      <c r="C71" s="626"/>
      <c r="D71" s="487" t="s">
        <v>58</v>
      </c>
      <c r="E71" s="177">
        <v>78200</v>
      </c>
      <c r="F71" s="177">
        <v>83500</v>
      </c>
      <c r="G71" s="178">
        <v>83500</v>
      </c>
      <c r="H71" s="674"/>
      <c r="I71" s="640"/>
      <c r="J71" s="190"/>
      <c r="K71" s="190"/>
      <c r="L71" s="190"/>
      <c r="M71" s="190"/>
      <c r="N71" s="191"/>
      <c r="P71" s="8"/>
    </row>
    <row r="72" spans="1:16" s="1435" customFormat="1" ht="18" customHeight="1">
      <c r="A72" s="658">
        <v>31</v>
      </c>
      <c r="B72" s="1428"/>
      <c r="C72" s="1415"/>
      <c r="D72" s="1438" t="s">
        <v>312</v>
      </c>
      <c r="E72" s="1430"/>
      <c r="F72" s="1430"/>
      <c r="G72" s="1431"/>
      <c r="H72" s="1432"/>
      <c r="I72" s="1412">
        <f>SUM(J72:N72)</f>
        <v>25975</v>
      </c>
      <c r="J72" s="1433"/>
      <c r="K72" s="1433"/>
      <c r="L72" s="1433"/>
      <c r="M72" s="1433"/>
      <c r="N72" s="1434">
        <v>25975</v>
      </c>
      <c r="P72" s="1420"/>
    </row>
    <row r="73" spans="1:16" s="9" customFormat="1" ht="18" customHeight="1">
      <c r="A73" s="658">
        <v>32</v>
      </c>
      <c r="B73" s="176"/>
      <c r="C73" s="626"/>
      <c r="D73" s="488" t="s">
        <v>59</v>
      </c>
      <c r="E73" s="177">
        <v>5600</v>
      </c>
      <c r="F73" s="177">
        <v>5600</v>
      </c>
      <c r="G73" s="178">
        <v>5600</v>
      </c>
      <c r="H73" s="674"/>
      <c r="I73" s="641"/>
      <c r="J73" s="179"/>
      <c r="K73" s="179"/>
      <c r="L73" s="179"/>
      <c r="M73" s="179"/>
      <c r="N73" s="180"/>
      <c r="P73" s="8"/>
    </row>
    <row r="74" spans="1:16" s="1435" customFormat="1" ht="18" customHeight="1">
      <c r="A74" s="658">
        <v>33</v>
      </c>
      <c r="B74" s="1428"/>
      <c r="C74" s="1415"/>
      <c r="D74" s="1438" t="s">
        <v>312</v>
      </c>
      <c r="E74" s="1430"/>
      <c r="F74" s="1430"/>
      <c r="G74" s="1431"/>
      <c r="H74" s="1432"/>
      <c r="I74" s="1412">
        <f>SUM(J74:N74)</f>
        <v>6460</v>
      </c>
      <c r="J74" s="1433"/>
      <c r="K74" s="1433"/>
      <c r="L74" s="1433"/>
      <c r="M74" s="1433"/>
      <c r="N74" s="1434">
        <v>6460</v>
      </c>
      <c r="P74" s="1420"/>
    </row>
    <row r="75" spans="1:16" s="9" customFormat="1" ht="18" customHeight="1" hidden="1">
      <c r="A75" s="658">
        <v>62</v>
      </c>
      <c r="B75" s="176"/>
      <c r="C75" s="168"/>
      <c r="D75" s="488" t="s">
        <v>60</v>
      </c>
      <c r="E75" s="177">
        <v>4500</v>
      </c>
      <c r="F75" s="177">
        <v>4500</v>
      </c>
      <c r="G75" s="178">
        <v>4500</v>
      </c>
      <c r="H75" s="674"/>
      <c r="I75" s="641"/>
      <c r="J75" s="179"/>
      <c r="K75" s="179"/>
      <c r="L75" s="179"/>
      <c r="M75" s="179"/>
      <c r="N75" s="180"/>
      <c r="P75" s="8"/>
    </row>
    <row r="76" spans="1:16" s="9" customFormat="1" ht="18" customHeight="1" hidden="1">
      <c r="A76" s="658">
        <v>63</v>
      </c>
      <c r="B76" s="176"/>
      <c r="C76" s="168"/>
      <c r="D76" s="486" t="s">
        <v>312</v>
      </c>
      <c r="E76" s="177"/>
      <c r="F76" s="177"/>
      <c r="G76" s="178"/>
      <c r="H76" s="674"/>
      <c r="I76" s="640">
        <f>SUM(J76:N76)</f>
        <v>0</v>
      </c>
      <c r="J76" s="190"/>
      <c r="K76" s="190"/>
      <c r="L76" s="190"/>
      <c r="M76" s="190"/>
      <c r="N76" s="191"/>
      <c r="P76" s="8"/>
    </row>
    <row r="77" spans="1:16" s="9" customFormat="1" ht="18" customHeight="1" hidden="1">
      <c r="A77" s="658">
        <v>64</v>
      </c>
      <c r="B77" s="176"/>
      <c r="C77" s="168"/>
      <c r="D77" s="488" t="s">
        <v>61</v>
      </c>
      <c r="E77" s="177">
        <v>3000</v>
      </c>
      <c r="F77" s="177">
        <v>3000</v>
      </c>
      <c r="G77" s="178">
        <v>3000</v>
      </c>
      <c r="H77" s="674"/>
      <c r="I77" s="641"/>
      <c r="J77" s="179"/>
      <c r="K77" s="179"/>
      <c r="L77" s="179"/>
      <c r="M77" s="179"/>
      <c r="N77" s="180"/>
      <c r="P77" s="8"/>
    </row>
    <row r="78" spans="1:16" s="9" customFormat="1" ht="18" customHeight="1" hidden="1">
      <c r="A78" s="658">
        <v>65</v>
      </c>
      <c r="B78" s="176"/>
      <c r="C78" s="168"/>
      <c r="D78" s="486" t="s">
        <v>312</v>
      </c>
      <c r="E78" s="177"/>
      <c r="F78" s="177"/>
      <c r="G78" s="178"/>
      <c r="H78" s="674"/>
      <c r="I78" s="640">
        <f>SUM(J78:N78)</f>
        <v>0</v>
      </c>
      <c r="J78" s="190"/>
      <c r="K78" s="190"/>
      <c r="L78" s="190"/>
      <c r="M78" s="190"/>
      <c r="N78" s="191"/>
      <c r="P78" s="8"/>
    </row>
    <row r="79" spans="1:16" s="9" customFormat="1" ht="18" customHeight="1" hidden="1">
      <c r="A79" s="658">
        <v>66</v>
      </c>
      <c r="B79" s="176"/>
      <c r="C79" s="168"/>
      <c r="D79" s="488" t="s">
        <v>392</v>
      </c>
      <c r="E79" s="177">
        <v>1000</v>
      </c>
      <c r="F79" s="177">
        <v>1000</v>
      </c>
      <c r="G79" s="178">
        <v>1000</v>
      </c>
      <c r="H79" s="674"/>
      <c r="I79" s="641"/>
      <c r="J79" s="179"/>
      <c r="K79" s="179"/>
      <c r="L79" s="179"/>
      <c r="M79" s="179"/>
      <c r="N79" s="180"/>
      <c r="P79" s="8"/>
    </row>
    <row r="80" spans="1:16" s="9" customFormat="1" ht="18" customHeight="1" hidden="1">
      <c r="A80" s="658">
        <v>67</v>
      </c>
      <c r="B80" s="176"/>
      <c r="C80" s="168"/>
      <c r="D80" s="486" t="s">
        <v>312</v>
      </c>
      <c r="E80" s="177"/>
      <c r="F80" s="177"/>
      <c r="G80" s="178"/>
      <c r="H80" s="674"/>
      <c r="I80" s="640">
        <f>SUM(J80:N80)</f>
        <v>0</v>
      </c>
      <c r="J80" s="190"/>
      <c r="K80" s="190"/>
      <c r="L80" s="190"/>
      <c r="M80" s="190"/>
      <c r="N80" s="191"/>
      <c r="P80" s="8"/>
    </row>
    <row r="81" spans="1:16" s="9" customFormat="1" ht="22.5" customHeight="1">
      <c r="A81" s="658">
        <v>34</v>
      </c>
      <c r="B81" s="176"/>
      <c r="C81" s="168">
        <v>21</v>
      </c>
      <c r="D81" s="651" t="s">
        <v>864</v>
      </c>
      <c r="E81" s="177"/>
      <c r="F81" s="177"/>
      <c r="G81" s="178"/>
      <c r="H81" s="673" t="s">
        <v>24</v>
      </c>
      <c r="I81" s="640"/>
      <c r="J81" s="190"/>
      <c r="K81" s="190"/>
      <c r="L81" s="190"/>
      <c r="M81" s="190"/>
      <c r="N81" s="191"/>
      <c r="P81" s="8"/>
    </row>
    <row r="82" spans="1:16" s="1435" customFormat="1" ht="18" customHeight="1">
      <c r="A82" s="658">
        <v>35</v>
      </c>
      <c r="B82" s="1428"/>
      <c r="C82" s="1415"/>
      <c r="D82" s="1416" t="s">
        <v>312</v>
      </c>
      <c r="E82" s="1430"/>
      <c r="F82" s="1430"/>
      <c r="G82" s="1431"/>
      <c r="H82" s="1419"/>
      <c r="I82" s="1409">
        <f>SUM(J82:N82)</f>
        <v>425</v>
      </c>
      <c r="J82" s="1433"/>
      <c r="K82" s="1433"/>
      <c r="L82" s="1433">
        <v>425</v>
      </c>
      <c r="M82" s="1433"/>
      <c r="N82" s="1434"/>
      <c r="P82" s="1420"/>
    </row>
    <row r="83" spans="1:16" s="9" customFormat="1" ht="22.5" customHeight="1">
      <c r="A83" s="658">
        <v>36</v>
      </c>
      <c r="B83" s="176"/>
      <c r="C83" s="168">
        <v>22</v>
      </c>
      <c r="D83" s="651" t="s">
        <v>853</v>
      </c>
      <c r="E83" s="177"/>
      <c r="F83" s="177"/>
      <c r="G83" s="178"/>
      <c r="H83" s="673" t="s">
        <v>24</v>
      </c>
      <c r="I83" s="638"/>
      <c r="J83" s="190"/>
      <c r="K83" s="190"/>
      <c r="L83" s="190"/>
      <c r="M83" s="190"/>
      <c r="N83" s="191"/>
      <c r="P83" s="8"/>
    </row>
    <row r="84" spans="1:16" s="1435" customFormat="1" ht="18" customHeight="1">
      <c r="A84" s="658">
        <v>37</v>
      </c>
      <c r="B84" s="1428"/>
      <c r="C84" s="1415"/>
      <c r="D84" s="1416" t="s">
        <v>312</v>
      </c>
      <c r="E84" s="1430"/>
      <c r="F84" s="1430"/>
      <c r="G84" s="1431"/>
      <c r="H84" s="1419"/>
      <c r="I84" s="1409">
        <f>SUM(J84:N84)</f>
        <v>425</v>
      </c>
      <c r="J84" s="1433"/>
      <c r="K84" s="1433"/>
      <c r="L84" s="1433"/>
      <c r="M84" s="1433"/>
      <c r="N84" s="1434">
        <v>425</v>
      </c>
      <c r="P84" s="1420"/>
    </row>
    <row r="85" spans="1:16" s="9" customFormat="1" ht="22.5" customHeight="1">
      <c r="A85" s="658">
        <v>38</v>
      </c>
      <c r="B85" s="176"/>
      <c r="C85" s="168">
        <v>23</v>
      </c>
      <c r="D85" s="651" t="s">
        <v>863</v>
      </c>
      <c r="E85" s="177"/>
      <c r="F85" s="177"/>
      <c r="G85" s="178"/>
      <c r="H85" s="673" t="s">
        <v>24</v>
      </c>
      <c r="I85" s="638"/>
      <c r="J85" s="190"/>
      <c r="K85" s="190"/>
      <c r="L85" s="190"/>
      <c r="M85" s="190"/>
      <c r="N85" s="191"/>
      <c r="P85" s="8"/>
    </row>
    <row r="86" spans="1:16" s="1435" customFormat="1" ht="18" customHeight="1">
      <c r="A86" s="658">
        <v>39</v>
      </c>
      <c r="B86" s="1428"/>
      <c r="C86" s="1415"/>
      <c r="D86" s="1416" t="s">
        <v>312</v>
      </c>
      <c r="E86" s="1430"/>
      <c r="F86" s="1430"/>
      <c r="G86" s="1431"/>
      <c r="H86" s="1432"/>
      <c r="I86" s="1409">
        <f>SUM(J86:N86)</f>
        <v>850</v>
      </c>
      <c r="J86" s="1433"/>
      <c r="K86" s="1433"/>
      <c r="L86" s="1433">
        <v>850</v>
      </c>
      <c r="M86" s="1433"/>
      <c r="N86" s="1434"/>
      <c r="P86" s="1420"/>
    </row>
    <row r="87" spans="1:16" s="9" customFormat="1" ht="22.5" customHeight="1">
      <c r="A87" s="658">
        <v>40</v>
      </c>
      <c r="B87" s="176"/>
      <c r="C87" s="168">
        <v>24</v>
      </c>
      <c r="D87" s="651" t="s">
        <v>854</v>
      </c>
      <c r="E87" s="177"/>
      <c r="F87" s="177"/>
      <c r="G87" s="178"/>
      <c r="H87" s="673" t="s">
        <v>24</v>
      </c>
      <c r="I87" s="638"/>
      <c r="J87" s="190"/>
      <c r="K87" s="190"/>
      <c r="L87" s="190"/>
      <c r="M87" s="190"/>
      <c r="N87" s="191"/>
      <c r="P87" s="8"/>
    </row>
    <row r="88" spans="1:16" s="1435" customFormat="1" ht="18" customHeight="1">
      <c r="A88" s="658">
        <v>41</v>
      </c>
      <c r="B88" s="1428"/>
      <c r="C88" s="1415"/>
      <c r="D88" s="1416" t="s">
        <v>312</v>
      </c>
      <c r="E88" s="1430"/>
      <c r="F88" s="1430"/>
      <c r="G88" s="1431"/>
      <c r="H88" s="1432"/>
      <c r="I88" s="1409">
        <f>SUM(J88:N88)</f>
        <v>2550</v>
      </c>
      <c r="J88" s="1433"/>
      <c r="K88" s="1433"/>
      <c r="L88" s="1433"/>
      <c r="M88" s="1433"/>
      <c r="N88" s="1434">
        <v>2550</v>
      </c>
      <c r="P88" s="1420"/>
    </row>
    <row r="89" spans="1:16" s="3" customFormat="1" ht="22.5" customHeight="1" hidden="1">
      <c r="A89" s="658">
        <v>64</v>
      </c>
      <c r="B89" s="162"/>
      <c r="C89" s="163">
        <v>25</v>
      </c>
      <c r="D89" s="651" t="s">
        <v>62</v>
      </c>
      <c r="E89" s="165">
        <v>2500</v>
      </c>
      <c r="F89" s="165">
        <v>2500</v>
      </c>
      <c r="G89" s="178">
        <v>2500</v>
      </c>
      <c r="H89" s="673" t="s">
        <v>24</v>
      </c>
      <c r="I89" s="638"/>
      <c r="J89" s="170"/>
      <c r="K89" s="170"/>
      <c r="L89" s="170"/>
      <c r="M89" s="170"/>
      <c r="N89" s="171"/>
      <c r="P89" s="8"/>
    </row>
    <row r="90" spans="1:16" s="3" customFormat="1" ht="18" customHeight="1" hidden="1">
      <c r="A90" s="658">
        <v>65</v>
      </c>
      <c r="B90" s="195"/>
      <c r="C90" s="168"/>
      <c r="D90" s="169" t="s">
        <v>312</v>
      </c>
      <c r="E90" s="201"/>
      <c r="F90" s="201"/>
      <c r="G90" s="202"/>
      <c r="H90" s="675"/>
      <c r="I90" s="638">
        <f>SUM(J90:N90)</f>
        <v>0</v>
      </c>
      <c r="J90" s="200"/>
      <c r="K90" s="200"/>
      <c r="L90" s="200"/>
      <c r="M90" s="200"/>
      <c r="N90" s="207"/>
      <c r="P90" s="8"/>
    </row>
    <row r="91" spans="1:16" s="3" customFormat="1" ht="22.5" customHeight="1" hidden="1">
      <c r="A91" s="658">
        <v>66</v>
      </c>
      <c r="B91" s="162"/>
      <c r="C91" s="163">
        <v>26</v>
      </c>
      <c r="D91" s="651" t="s">
        <v>326</v>
      </c>
      <c r="E91" s="165">
        <v>2500</v>
      </c>
      <c r="F91" s="165">
        <v>2500</v>
      </c>
      <c r="G91" s="166">
        <v>2500</v>
      </c>
      <c r="H91" s="673" t="s">
        <v>24</v>
      </c>
      <c r="I91" s="638"/>
      <c r="J91" s="170"/>
      <c r="K91" s="170"/>
      <c r="L91" s="170"/>
      <c r="M91" s="170"/>
      <c r="N91" s="171"/>
      <c r="P91" s="8"/>
    </row>
    <row r="92" spans="1:16" s="3" customFormat="1" ht="18" customHeight="1" hidden="1">
      <c r="A92" s="658">
        <v>67</v>
      </c>
      <c r="B92" s="195"/>
      <c r="C92" s="168"/>
      <c r="D92" s="169" t="s">
        <v>312</v>
      </c>
      <c r="E92" s="201"/>
      <c r="F92" s="201"/>
      <c r="G92" s="202"/>
      <c r="H92" s="675"/>
      <c r="I92" s="638">
        <f>SUM(J92:N92)</f>
        <v>0</v>
      </c>
      <c r="J92" s="200"/>
      <c r="K92" s="200"/>
      <c r="L92" s="200"/>
      <c r="M92" s="200"/>
      <c r="N92" s="207"/>
      <c r="P92" s="8"/>
    </row>
    <row r="93" spans="1:16" s="3" customFormat="1" ht="22.5" customHeight="1">
      <c r="A93" s="658">
        <v>42</v>
      </c>
      <c r="B93" s="162"/>
      <c r="C93" s="163">
        <v>27</v>
      </c>
      <c r="D93" s="651" t="s">
        <v>63</v>
      </c>
      <c r="E93" s="165">
        <v>1500</v>
      </c>
      <c r="F93" s="165">
        <v>1500</v>
      </c>
      <c r="G93" s="166">
        <v>1500</v>
      </c>
      <c r="H93" s="673" t="s">
        <v>24</v>
      </c>
      <c r="I93" s="638"/>
      <c r="J93" s="170"/>
      <c r="K93" s="170"/>
      <c r="L93" s="170"/>
      <c r="M93" s="170"/>
      <c r="N93" s="171"/>
      <c r="P93" s="8"/>
    </row>
    <row r="94" spans="1:14" s="1420" customFormat="1" ht="18" customHeight="1">
      <c r="A94" s="658">
        <v>43</v>
      </c>
      <c r="B94" s="1414"/>
      <c r="C94" s="1415"/>
      <c r="D94" s="1416" t="s">
        <v>312</v>
      </c>
      <c r="E94" s="1417"/>
      <c r="F94" s="1417"/>
      <c r="G94" s="1418"/>
      <c r="H94" s="1419"/>
      <c r="I94" s="1409">
        <f>SUM(J94:N94)</f>
        <v>1275</v>
      </c>
      <c r="J94" s="1410"/>
      <c r="K94" s="1410"/>
      <c r="L94" s="1410"/>
      <c r="M94" s="1410"/>
      <c r="N94" s="1411">
        <v>1275</v>
      </c>
    </row>
    <row r="95" spans="1:16" s="3" customFormat="1" ht="22.5" customHeight="1">
      <c r="A95" s="658">
        <v>44</v>
      </c>
      <c r="B95" s="162"/>
      <c r="C95" s="163">
        <v>28</v>
      </c>
      <c r="D95" s="651" t="s">
        <v>64</v>
      </c>
      <c r="E95" s="165">
        <v>1000</v>
      </c>
      <c r="F95" s="165">
        <v>1000</v>
      </c>
      <c r="G95" s="166">
        <v>1000</v>
      </c>
      <c r="H95" s="673" t="s">
        <v>24</v>
      </c>
      <c r="I95" s="638"/>
      <c r="J95" s="170"/>
      <c r="K95" s="170"/>
      <c r="L95" s="170"/>
      <c r="M95" s="170"/>
      <c r="N95" s="171"/>
      <c r="P95" s="8"/>
    </row>
    <row r="96" spans="1:14" s="1420" customFormat="1" ht="18" customHeight="1">
      <c r="A96" s="658">
        <v>45</v>
      </c>
      <c r="B96" s="1414"/>
      <c r="C96" s="1415"/>
      <c r="D96" s="1416" t="s">
        <v>312</v>
      </c>
      <c r="E96" s="1417"/>
      <c r="F96" s="1417"/>
      <c r="G96" s="1418"/>
      <c r="H96" s="1419"/>
      <c r="I96" s="1409">
        <f>SUM(J96:N96)</f>
        <v>850</v>
      </c>
      <c r="J96" s="1410"/>
      <c r="K96" s="1410"/>
      <c r="L96" s="1410"/>
      <c r="M96" s="1410"/>
      <c r="N96" s="1411">
        <v>850</v>
      </c>
    </row>
    <row r="97" spans="1:16" s="3" customFormat="1" ht="22.5" customHeight="1">
      <c r="A97" s="658">
        <v>46</v>
      </c>
      <c r="B97" s="162"/>
      <c r="C97" s="163">
        <v>29</v>
      </c>
      <c r="D97" s="651" t="s">
        <v>282</v>
      </c>
      <c r="E97" s="165">
        <v>5000</v>
      </c>
      <c r="F97" s="165">
        <v>5000</v>
      </c>
      <c r="G97" s="166">
        <v>5000</v>
      </c>
      <c r="H97" s="673" t="s">
        <v>24</v>
      </c>
      <c r="I97" s="638"/>
      <c r="J97" s="170"/>
      <c r="K97" s="170"/>
      <c r="L97" s="170"/>
      <c r="M97" s="170"/>
      <c r="N97" s="171"/>
      <c r="P97" s="8"/>
    </row>
    <row r="98" spans="1:14" s="1420" customFormat="1" ht="18" customHeight="1">
      <c r="A98" s="658">
        <v>47</v>
      </c>
      <c r="B98" s="1414"/>
      <c r="C98" s="1415"/>
      <c r="D98" s="1416" t="s">
        <v>312</v>
      </c>
      <c r="E98" s="1417"/>
      <c r="F98" s="1417"/>
      <c r="G98" s="1418"/>
      <c r="H98" s="1419"/>
      <c r="I98" s="1409">
        <f aca="true" t="shared" si="0" ref="I98:I106">SUM(J98:N98)</f>
        <v>4250</v>
      </c>
      <c r="J98" s="1410"/>
      <c r="K98" s="1410"/>
      <c r="L98" s="1410"/>
      <c r="M98" s="1410"/>
      <c r="N98" s="1411">
        <v>4250</v>
      </c>
    </row>
    <row r="99" spans="1:14" s="8" customFormat="1" ht="22.5" customHeight="1" hidden="1">
      <c r="A99" s="658">
        <v>74</v>
      </c>
      <c r="B99" s="167"/>
      <c r="C99" s="163">
        <v>30</v>
      </c>
      <c r="D99" s="650" t="s">
        <v>525</v>
      </c>
      <c r="E99" s="165">
        <v>2500</v>
      </c>
      <c r="F99" s="165">
        <v>5000</v>
      </c>
      <c r="G99" s="166">
        <v>3580</v>
      </c>
      <c r="H99" s="673" t="s">
        <v>24</v>
      </c>
      <c r="I99" s="638"/>
      <c r="J99" s="170"/>
      <c r="K99" s="170"/>
      <c r="L99" s="170"/>
      <c r="M99" s="170"/>
      <c r="N99" s="171"/>
    </row>
    <row r="100" spans="1:14" s="8" customFormat="1" ht="18" customHeight="1" hidden="1">
      <c r="A100" s="658">
        <v>75</v>
      </c>
      <c r="B100" s="167"/>
      <c r="C100" s="168"/>
      <c r="D100" s="169" t="s">
        <v>312</v>
      </c>
      <c r="E100" s="165"/>
      <c r="F100" s="165"/>
      <c r="G100" s="166"/>
      <c r="H100" s="673"/>
      <c r="I100" s="638">
        <f t="shared" si="0"/>
        <v>0</v>
      </c>
      <c r="J100" s="170"/>
      <c r="K100" s="170"/>
      <c r="L100" s="170"/>
      <c r="M100" s="170"/>
      <c r="N100" s="171"/>
    </row>
    <row r="101" spans="1:14" s="8" customFormat="1" ht="22.5" customHeight="1">
      <c r="A101" s="658">
        <v>48</v>
      </c>
      <c r="B101" s="187"/>
      <c r="C101" s="163">
        <v>31</v>
      </c>
      <c r="D101" s="650" t="s">
        <v>562</v>
      </c>
      <c r="E101" s="201"/>
      <c r="F101" s="201">
        <v>20000</v>
      </c>
      <c r="G101" s="202">
        <v>16160</v>
      </c>
      <c r="H101" s="673" t="s">
        <v>24</v>
      </c>
      <c r="I101" s="638"/>
      <c r="J101" s="200"/>
      <c r="K101" s="200"/>
      <c r="L101" s="200"/>
      <c r="M101" s="200"/>
      <c r="N101" s="207"/>
    </row>
    <row r="102" spans="1:14" s="1420" customFormat="1" ht="18" customHeight="1">
      <c r="A102" s="658">
        <v>49</v>
      </c>
      <c r="B102" s="1439"/>
      <c r="C102" s="1415"/>
      <c r="D102" s="1416" t="s">
        <v>312</v>
      </c>
      <c r="E102" s="1422"/>
      <c r="F102" s="1422"/>
      <c r="G102" s="1423"/>
      <c r="H102" s="1419"/>
      <c r="I102" s="1409">
        <f t="shared" si="0"/>
        <v>20000</v>
      </c>
      <c r="J102" s="1425"/>
      <c r="K102" s="1425"/>
      <c r="L102" s="1425"/>
      <c r="M102" s="1425"/>
      <c r="N102" s="1426">
        <v>20000</v>
      </c>
    </row>
    <row r="103" spans="1:16" s="189" customFormat="1" ht="22.5" customHeight="1" hidden="1">
      <c r="A103" s="658">
        <v>50</v>
      </c>
      <c r="B103" s="188"/>
      <c r="C103" s="163">
        <v>32</v>
      </c>
      <c r="D103" s="651" t="s">
        <v>273</v>
      </c>
      <c r="E103" s="201">
        <v>45000</v>
      </c>
      <c r="F103" s="201">
        <v>45000</v>
      </c>
      <c r="G103" s="202">
        <v>45000</v>
      </c>
      <c r="H103" s="673" t="s">
        <v>24</v>
      </c>
      <c r="I103" s="638"/>
      <c r="J103" s="200"/>
      <c r="K103" s="200"/>
      <c r="L103" s="200"/>
      <c r="M103" s="200"/>
      <c r="N103" s="207"/>
      <c r="O103" s="158"/>
      <c r="P103" s="8"/>
    </row>
    <row r="104" spans="1:16" s="189" customFormat="1" ht="18" customHeight="1" hidden="1">
      <c r="A104" s="658">
        <v>51</v>
      </c>
      <c r="B104" s="188"/>
      <c r="C104" s="168"/>
      <c r="D104" s="169" t="s">
        <v>312</v>
      </c>
      <c r="E104" s="201"/>
      <c r="F104" s="172"/>
      <c r="G104" s="173"/>
      <c r="H104" s="673"/>
      <c r="I104" s="638">
        <f>SUM(J104:N104)</f>
        <v>0</v>
      </c>
      <c r="J104" s="200"/>
      <c r="K104" s="200"/>
      <c r="L104" s="200"/>
      <c r="M104" s="200"/>
      <c r="N104" s="207"/>
      <c r="O104" s="158"/>
      <c r="P104" s="8"/>
    </row>
    <row r="105" spans="1:16" s="3" customFormat="1" ht="22.5" customHeight="1">
      <c r="A105" s="658">
        <v>50</v>
      </c>
      <c r="B105" s="162"/>
      <c r="C105" s="163">
        <v>33</v>
      </c>
      <c r="D105" s="651" t="s">
        <v>283</v>
      </c>
      <c r="E105" s="165"/>
      <c r="F105" s="165"/>
      <c r="G105" s="166"/>
      <c r="H105" s="673" t="s">
        <v>24</v>
      </c>
      <c r="I105" s="638"/>
      <c r="J105" s="170"/>
      <c r="K105" s="170"/>
      <c r="L105" s="170"/>
      <c r="M105" s="170"/>
      <c r="N105" s="171"/>
      <c r="P105" s="8"/>
    </row>
    <row r="106" spans="1:14" s="1420" customFormat="1" ht="18" customHeight="1">
      <c r="A106" s="658">
        <v>51</v>
      </c>
      <c r="B106" s="1414"/>
      <c r="C106" s="1415"/>
      <c r="D106" s="1416" t="s">
        <v>312</v>
      </c>
      <c r="E106" s="1417"/>
      <c r="F106" s="1417"/>
      <c r="G106" s="1418"/>
      <c r="H106" s="1419"/>
      <c r="I106" s="1409">
        <f t="shared" si="0"/>
        <v>2500</v>
      </c>
      <c r="J106" s="1410"/>
      <c r="K106" s="1410"/>
      <c r="L106" s="1410"/>
      <c r="M106" s="1410"/>
      <c r="N106" s="1411">
        <v>2500</v>
      </c>
    </row>
    <row r="107" spans="1:16" s="3" customFormat="1" ht="22.5" customHeight="1">
      <c r="A107" s="658">
        <v>52</v>
      </c>
      <c r="B107" s="162"/>
      <c r="C107" s="163">
        <v>34</v>
      </c>
      <c r="D107" s="651" t="s">
        <v>66</v>
      </c>
      <c r="E107" s="165">
        <v>316697</v>
      </c>
      <c r="F107" s="165">
        <v>375300</v>
      </c>
      <c r="G107" s="166">
        <v>379873</v>
      </c>
      <c r="H107" s="673" t="s">
        <v>24</v>
      </c>
      <c r="I107" s="638"/>
      <c r="J107" s="170"/>
      <c r="K107" s="170"/>
      <c r="L107" s="170"/>
      <c r="M107" s="170"/>
      <c r="N107" s="171"/>
      <c r="P107" s="8"/>
    </row>
    <row r="108" spans="1:14" s="1420" customFormat="1" ht="18" customHeight="1">
      <c r="A108" s="658">
        <v>53</v>
      </c>
      <c r="B108" s="1414"/>
      <c r="C108" s="1415"/>
      <c r="D108" s="1416" t="s">
        <v>312</v>
      </c>
      <c r="E108" s="1417"/>
      <c r="F108" s="1417"/>
      <c r="G108" s="1418"/>
      <c r="H108" s="1419"/>
      <c r="I108" s="1409">
        <f>SUM(J108:N108)</f>
        <v>392700</v>
      </c>
      <c r="J108" s="1410"/>
      <c r="K108" s="1410"/>
      <c r="L108" s="1410">
        <v>140000</v>
      </c>
      <c r="M108" s="1410"/>
      <c r="N108" s="1411">
        <f>392700-140000</f>
        <v>252700</v>
      </c>
    </row>
    <row r="109" spans="1:16" s="3" customFormat="1" ht="22.5" customHeight="1">
      <c r="A109" s="658">
        <v>54</v>
      </c>
      <c r="B109" s="162"/>
      <c r="C109" s="163">
        <v>35</v>
      </c>
      <c r="D109" s="651" t="s">
        <v>67</v>
      </c>
      <c r="E109" s="165">
        <v>2000</v>
      </c>
      <c r="F109" s="165">
        <v>2600</v>
      </c>
      <c r="G109" s="166">
        <v>3800</v>
      </c>
      <c r="H109" s="673" t="s">
        <v>23</v>
      </c>
      <c r="I109" s="638"/>
      <c r="J109" s="170"/>
      <c r="K109" s="170"/>
      <c r="L109" s="170"/>
      <c r="M109" s="170"/>
      <c r="N109" s="171"/>
      <c r="P109" s="8"/>
    </row>
    <row r="110" spans="1:14" s="1420" customFormat="1" ht="18" customHeight="1">
      <c r="A110" s="658">
        <v>55</v>
      </c>
      <c r="B110" s="1414"/>
      <c r="C110" s="1415"/>
      <c r="D110" s="1416" t="s">
        <v>312</v>
      </c>
      <c r="E110" s="1417"/>
      <c r="F110" s="1417"/>
      <c r="G110" s="1418"/>
      <c r="H110" s="1419"/>
      <c r="I110" s="1409">
        <f>SUM(J110:N110)</f>
        <v>2210</v>
      </c>
      <c r="J110" s="1410"/>
      <c r="K110" s="1410"/>
      <c r="L110" s="1410">
        <v>2210</v>
      </c>
      <c r="M110" s="1410"/>
      <c r="N110" s="1411"/>
    </row>
    <row r="111" spans="1:16" s="3" customFormat="1" ht="22.5" customHeight="1">
      <c r="A111" s="658">
        <v>56</v>
      </c>
      <c r="B111" s="162"/>
      <c r="C111" s="163">
        <v>36</v>
      </c>
      <c r="D111" s="651" t="s">
        <v>68</v>
      </c>
      <c r="E111" s="165">
        <v>9486</v>
      </c>
      <c r="F111" s="165">
        <v>9000</v>
      </c>
      <c r="G111" s="166">
        <v>9263</v>
      </c>
      <c r="H111" s="673" t="s">
        <v>23</v>
      </c>
      <c r="I111" s="638"/>
      <c r="J111" s="170"/>
      <c r="K111" s="170"/>
      <c r="L111" s="170"/>
      <c r="M111" s="170"/>
      <c r="N111" s="171"/>
      <c r="P111" s="8"/>
    </row>
    <row r="112" spans="1:14" s="1420" customFormat="1" ht="18" customHeight="1">
      <c r="A112" s="658">
        <v>57</v>
      </c>
      <c r="B112" s="1414"/>
      <c r="C112" s="1415"/>
      <c r="D112" s="1416" t="s">
        <v>312</v>
      </c>
      <c r="E112" s="1417"/>
      <c r="F112" s="1417"/>
      <c r="G112" s="1418"/>
      <c r="H112" s="1419"/>
      <c r="I112" s="1409">
        <f>SUM(J112:N112)</f>
        <v>7650</v>
      </c>
      <c r="J112" s="1410"/>
      <c r="K112" s="1410"/>
      <c r="L112" s="1410">
        <v>7650</v>
      </c>
      <c r="M112" s="1410"/>
      <c r="N112" s="1411"/>
    </row>
    <row r="113" spans="1:14" s="8" customFormat="1" ht="22.5" customHeight="1">
      <c r="A113" s="658">
        <v>58</v>
      </c>
      <c r="B113" s="167"/>
      <c r="C113" s="163">
        <v>37</v>
      </c>
      <c r="D113" s="650" t="s">
        <v>442</v>
      </c>
      <c r="E113" s="165">
        <v>41004</v>
      </c>
      <c r="F113" s="165">
        <v>52450</v>
      </c>
      <c r="G113" s="166">
        <v>7602</v>
      </c>
      <c r="H113" s="673" t="s">
        <v>23</v>
      </c>
      <c r="I113" s="638"/>
      <c r="J113" s="170"/>
      <c r="K113" s="170"/>
      <c r="L113" s="170"/>
      <c r="M113" s="170"/>
      <c r="N113" s="171"/>
    </row>
    <row r="114" spans="1:14" s="1420" customFormat="1" ht="18" customHeight="1">
      <c r="A114" s="658">
        <v>59</v>
      </c>
      <c r="B114" s="1414"/>
      <c r="C114" s="1415"/>
      <c r="D114" s="1416" t="s">
        <v>312</v>
      </c>
      <c r="E114" s="1417"/>
      <c r="F114" s="1417"/>
      <c r="G114" s="1418"/>
      <c r="H114" s="1419"/>
      <c r="I114" s="1409">
        <f>SUM(J114:N114)</f>
        <v>46997</v>
      </c>
      <c r="J114" s="1410"/>
      <c r="K114" s="1410"/>
      <c r="L114" s="1410">
        <v>46997</v>
      </c>
      <c r="M114" s="1410"/>
      <c r="N114" s="1411"/>
    </row>
    <row r="115" spans="1:16" s="3" customFormat="1" ht="22.5" customHeight="1">
      <c r="A115" s="658">
        <v>60</v>
      </c>
      <c r="B115" s="162"/>
      <c r="C115" s="163">
        <v>38</v>
      </c>
      <c r="D115" s="651" t="s">
        <v>69</v>
      </c>
      <c r="E115" s="165">
        <v>4781</v>
      </c>
      <c r="F115" s="165">
        <v>2500</v>
      </c>
      <c r="G115" s="166">
        <v>3466</v>
      </c>
      <c r="H115" s="673" t="s">
        <v>23</v>
      </c>
      <c r="I115" s="641"/>
      <c r="J115" s="179"/>
      <c r="K115" s="179"/>
      <c r="L115" s="179"/>
      <c r="M115" s="179"/>
      <c r="N115" s="180"/>
      <c r="O115" s="8"/>
      <c r="P115" s="8"/>
    </row>
    <row r="116" spans="1:14" s="1420" customFormat="1" ht="18" customHeight="1">
      <c r="A116" s="658">
        <v>61</v>
      </c>
      <c r="B116" s="1414"/>
      <c r="C116" s="1415"/>
      <c r="D116" s="1416" t="s">
        <v>312</v>
      </c>
      <c r="E116" s="1417"/>
      <c r="F116" s="1417"/>
      <c r="G116" s="1418"/>
      <c r="H116" s="1419"/>
      <c r="I116" s="1409">
        <f>SUM(J116:N116)</f>
        <v>2125</v>
      </c>
      <c r="J116" s="1410"/>
      <c r="K116" s="1410"/>
      <c r="L116" s="1410">
        <v>2125</v>
      </c>
      <c r="M116" s="1410"/>
      <c r="N116" s="1411"/>
    </row>
    <row r="117" spans="1:16" s="115" customFormat="1" ht="22.5" customHeight="1">
      <c r="A117" s="658">
        <v>62</v>
      </c>
      <c r="B117" s="652"/>
      <c r="C117" s="163">
        <v>39</v>
      </c>
      <c r="D117" s="651" t="s">
        <v>11</v>
      </c>
      <c r="E117" s="165">
        <v>37560</v>
      </c>
      <c r="F117" s="165">
        <v>38100</v>
      </c>
      <c r="G117" s="166">
        <v>38100</v>
      </c>
      <c r="H117" s="673" t="s">
        <v>24</v>
      </c>
      <c r="I117" s="641"/>
      <c r="J117" s="179"/>
      <c r="K117" s="179"/>
      <c r="L117" s="179"/>
      <c r="M117" s="179"/>
      <c r="N117" s="180"/>
      <c r="O117" s="646"/>
      <c r="P117" s="646"/>
    </row>
    <row r="118" spans="1:14" s="1420" customFormat="1" ht="18" customHeight="1">
      <c r="A118" s="658">
        <v>63</v>
      </c>
      <c r="B118" s="1414"/>
      <c r="C118" s="1415"/>
      <c r="D118" s="1416" t="s">
        <v>312</v>
      </c>
      <c r="E118" s="1417"/>
      <c r="F118" s="1417"/>
      <c r="G118" s="1418"/>
      <c r="H118" s="1419"/>
      <c r="I118" s="1409">
        <f>SUM(J118:N118)</f>
        <v>38100</v>
      </c>
      <c r="J118" s="1410"/>
      <c r="K118" s="1410"/>
      <c r="L118" s="1410">
        <v>38100</v>
      </c>
      <c r="M118" s="1410"/>
      <c r="N118" s="1411"/>
    </row>
    <row r="119" spans="1:16" s="115" customFormat="1" ht="22.5" customHeight="1">
      <c r="A119" s="658">
        <v>64</v>
      </c>
      <c r="B119" s="652"/>
      <c r="C119" s="163">
        <v>40</v>
      </c>
      <c r="D119" s="651" t="s">
        <v>70</v>
      </c>
      <c r="E119" s="165">
        <v>4582</v>
      </c>
      <c r="F119" s="165">
        <v>4000</v>
      </c>
      <c r="G119" s="166">
        <v>4367</v>
      </c>
      <c r="H119" s="673" t="s">
        <v>24</v>
      </c>
      <c r="I119" s="641"/>
      <c r="J119" s="179"/>
      <c r="K119" s="179"/>
      <c r="L119" s="179"/>
      <c r="M119" s="179"/>
      <c r="N119" s="180"/>
      <c r="O119" s="646"/>
      <c r="P119" s="646"/>
    </row>
    <row r="120" spans="1:14" s="1420" customFormat="1" ht="18" customHeight="1">
      <c r="A120" s="658">
        <v>65</v>
      </c>
      <c r="B120" s="1414"/>
      <c r="C120" s="1415"/>
      <c r="D120" s="1416" t="s">
        <v>312</v>
      </c>
      <c r="E120" s="1417"/>
      <c r="F120" s="1417"/>
      <c r="G120" s="1418"/>
      <c r="H120" s="1419"/>
      <c r="I120" s="1409">
        <f>SUM(J120:N120)</f>
        <v>4250</v>
      </c>
      <c r="J120" s="1410"/>
      <c r="K120" s="1410"/>
      <c r="L120" s="1410">
        <v>4250</v>
      </c>
      <c r="M120" s="1410"/>
      <c r="N120" s="1411"/>
    </row>
    <row r="121" spans="1:16" s="115" customFormat="1" ht="22.5" customHeight="1">
      <c r="A121" s="658">
        <v>66</v>
      </c>
      <c r="B121" s="652"/>
      <c r="C121" s="163">
        <v>41</v>
      </c>
      <c r="D121" s="651" t="s">
        <v>71</v>
      </c>
      <c r="E121" s="165">
        <f>SUM(E123,E125,E127,E129)</f>
        <v>6198</v>
      </c>
      <c r="F121" s="165">
        <f>SUM(F123,F125,F127,F129)</f>
        <v>6100</v>
      </c>
      <c r="G121" s="166">
        <f>SUM(G123,G125,G127,G129)</f>
        <v>6303</v>
      </c>
      <c r="H121" s="673" t="s">
        <v>24</v>
      </c>
      <c r="I121" s="641"/>
      <c r="J121" s="179"/>
      <c r="K121" s="179"/>
      <c r="L121" s="179"/>
      <c r="M121" s="179"/>
      <c r="N121" s="180"/>
      <c r="O121" s="646"/>
      <c r="P121" s="646"/>
    </row>
    <row r="122" spans="1:14" s="1420" customFormat="1" ht="18" customHeight="1">
      <c r="A122" s="658">
        <v>67</v>
      </c>
      <c r="B122" s="1414"/>
      <c r="C122" s="1415"/>
      <c r="D122" s="1416" t="s">
        <v>312</v>
      </c>
      <c r="E122" s="1417"/>
      <c r="F122" s="1417"/>
      <c r="G122" s="1418"/>
      <c r="H122" s="1419"/>
      <c r="I122" s="1409">
        <f>SUM(J122:N122)</f>
        <v>9435</v>
      </c>
      <c r="J122" s="1413">
        <f>SUM(J124,J126,J128,J130)</f>
        <v>0</v>
      </c>
      <c r="K122" s="1413">
        <f>SUM(K124,K126,K128,K130)</f>
        <v>0</v>
      </c>
      <c r="L122" s="1413">
        <f>SUM(L124,L126,L128,L130)</f>
        <v>425</v>
      </c>
      <c r="M122" s="1413">
        <f>SUM(M124,M126,M128,M130)</f>
        <v>0</v>
      </c>
      <c r="N122" s="1411">
        <f>SUM(N124,N126,N128,N130)</f>
        <v>9010</v>
      </c>
    </row>
    <row r="123" spans="1:16" s="691" customFormat="1" ht="18" customHeight="1">
      <c r="A123" s="658">
        <v>68</v>
      </c>
      <c r="B123" s="176"/>
      <c r="C123" s="168"/>
      <c r="D123" s="485" t="s">
        <v>72</v>
      </c>
      <c r="E123" s="165"/>
      <c r="F123" s="177"/>
      <c r="G123" s="178"/>
      <c r="H123" s="674"/>
      <c r="I123" s="640"/>
      <c r="J123" s="179"/>
      <c r="K123" s="179"/>
      <c r="L123" s="179"/>
      <c r="M123" s="179"/>
      <c r="N123" s="191"/>
      <c r="P123" s="692"/>
    </row>
    <row r="124" spans="1:16" s="1440" customFormat="1" ht="18" customHeight="1">
      <c r="A124" s="658">
        <v>69</v>
      </c>
      <c r="B124" s="1428"/>
      <c r="C124" s="1415"/>
      <c r="D124" s="1438" t="s">
        <v>312</v>
      </c>
      <c r="E124" s="1417"/>
      <c r="F124" s="1430"/>
      <c r="G124" s="1431"/>
      <c r="H124" s="1432"/>
      <c r="I124" s="1412">
        <f>SUM(J124:N124)</f>
        <v>4250</v>
      </c>
      <c r="J124" s="1433"/>
      <c r="K124" s="1433"/>
      <c r="L124" s="1433"/>
      <c r="M124" s="1433"/>
      <c r="N124" s="1434">
        <v>4250</v>
      </c>
      <c r="P124" s="1441"/>
    </row>
    <row r="125" spans="1:16" s="691" customFormat="1" ht="18" customHeight="1">
      <c r="A125" s="658">
        <v>70</v>
      </c>
      <c r="B125" s="176"/>
      <c r="C125" s="168"/>
      <c r="D125" s="485" t="s">
        <v>73</v>
      </c>
      <c r="E125" s="177">
        <v>5098</v>
      </c>
      <c r="F125" s="177">
        <v>5000</v>
      </c>
      <c r="G125" s="178">
        <v>5203</v>
      </c>
      <c r="H125" s="674"/>
      <c r="I125" s="641"/>
      <c r="J125" s="179"/>
      <c r="K125" s="179"/>
      <c r="L125" s="179"/>
      <c r="M125" s="179"/>
      <c r="N125" s="180"/>
      <c r="P125" s="692"/>
    </row>
    <row r="126" spans="1:16" s="1440" customFormat="1" ht="18" customHeight="1">
      <c r="A126" s="658">
        <v>71</v>
      </c>
      <c r="B126" s="1428"/>
      <c r="C126" s="1415"/>
      <c r="D126" s="1438" t="s">
        <v>312</v>
      </c>
      <c r="E126" s="1430"/>
      <c r="F126" s="1430"/>
      <c r="G126" s="1431"/>
      <c r="H126" s="1432"/>
      <c r="I126" s="1412">
        <f>SUM(J126:N126)</f>
        <v>4250</v>
      </c>
      <c r="J126" s="1433"/>
      <c r="K126" s="1433"/>
      <c r="L126" s="1433"/>
      <c r="M126" s="1433"/>
      <c r="N126" s="1434">
        <v>4250</v>
      </c>
      <c r="P126" s="1441"/>
    </row>
    <row r="127" spans="1:16" s="691" customFormat="1" ht="18" customHeight="1">
      <c r="A127" s="658">
        <v>72</v>
      </c>
      <c r="B127" s="176"/>
      <c r="C127" s="168"/>
      <c r="D127" s="485" t="s">
        <v>855</v>
      </c>
      <c r="E127" s="177">
        <v>500</v>
      </c>
      <c r="F127" s="177">
        <v>500</v>
      </c>
      <c r="G127" s="178">
        <v>500</v>
      </c>
      <c r="H127" s="674"/>
      <c r="I127" s="641"/>
      <c r="J127" s="179"/>
      <c r="K127" s="179"/>
      <c r="L127" s="179"/>
      <c r="M127" s="179"/>
      <c r="N127" s="180"/>
      <c r="P127" s="692"/>
    </row>
    <row r="128" spans="1:16" s="1440" customFormat="1" ht="18" customHeight="1">
      <c r="A128" s="658">
        <v>73</v>
      </c>
      <c r="B128" s="1428"/>
      <c r="C128" s="1415"/>
      <c r="D128" s="1438" t="s">
        <v>312</v>
      </c>
      <c r="E128" s="1430"/>
      <c r="F128" s="1430"/>
      <c r="G128" s="1431"/>
      <c r="H128" s="1432"/>
      <c r="I128" s="1412">
        <f>SUM(J128:N128)</f>
        <v>425</v>
      </c>
      <c r="J128" s="1433"/>
      <c r="K128" s="1433"/>
      <c r="L128" s="1433">
        <v>425</v>
      </c>
      <c r="M128" s="1433"/>
      <c r="N128" s="1434"/>
      <c r="P128" s="1441"/>
    </row>
    <row r="129" spans="1:16" s="691" customFormat="1" ht="18" customHeight="1">
      <c r="A129" s="658">
        <v>74</v>
      </c>
      <c r="B129" s="176"/>
      <c r="C129" s="168"/>
      <c r="D129" s="485" t="s">
        <v>856</v>
      </c>
      <c r="E129" s="177">
        <v>600</v>
      </c>
      <c r="F129" s="177">
        <v>600</v>
      </c>
      <c r="G129" s="178">
        <v>600</v>
      </c>
      <c r="H129" s="674"/>
      <c r="I129" s="641"/>
      <c r="J129" s="179"/>
      <c r="K129" s="179"/>
      <c r="L129" s="179"/>
      <c r="M129" s="179"/>
      <c r="N129" s="180"/>
      <c r="P129" s="692"/>
    </row>
    <row r="130" spans="1:16" s="1440" customFormat="1" ht="18" customHeight="1">
      <c r="A130" s="658">
        <v>75</v>
      </c>
      <c r="B130" s="1428"/>
      <c r="C130" s="1415"/>
      <c r="D130" s="1438" t="s">
        <v>312</v>
      </c>
      <c r="E130" s="1417"/>
      <c r="F130" s="1430"/>
      <c r="G130" s="1431"/>
      <c r="H130" s="1432"/>
      <c r="I130" s="1412">
        <f>SUM(J130:N130)</f>
        <v>510</v>
      </c>
      <c r="J130" s="1433"/>
      <c r="K130" s="1433"/>
      <c r="L130" s="1433"/>
      <c r="M130" s="1433"/>
      <c r="N130" s="1434">
        <v>510</v>
      </c>
      <c r="P130" s="1441"/>
    </row>
    <row r="131" spans="1:16" s="115" customFormat="1" ht="22.5" customHeight="1">
      <c r="A131" s="658">
        <v>76</v>
      </c>
      <c r="B131" s="652"/>
      <c r="C131" s="163">
        <v>42</v>
      </c>
      <c r="D131" s="651" t="s">
        <v>443</v>
      </c>
      <c r="E131" s="165">
        <f>SUM(E133,E135,E137,E139)</f>
        <v>15620</v>
      </c>
      <c r="F131" s="165">
        <f>SUM(F133,F135,F137,F139)</f>
        <v>23600</v>
      </c>
      <c r="G131" s="166">
        <f>SUM(G133,G135,G137,G139)</f>
        <v>13759</v>
      </c>
      <c r="H131" s="673" t="s">
        <v>24</v>
      </c>
      <c r="I131" s="641"/>
      <c r="J131" s="179"/>
      <c r="K131" s="179"/>
      <c r="L131" s="179"/>
      <c r="M131" s="179"/>
      <c r="N131" s="180"/>
      <c r="O131" s="646"/>
      <c r="P131" s="646"/>
    </row>
    <row r="132" spans="1:14" s="1420" customFormat="1" ht="18" customHeight="1">
      <c r="A132" s="658">
        <v>77</v>
      </c>
      <c r="B132" s="1414"/>
      <c r="C132" s="1415"/>
      <c r="D132" s="1416" t="s">
        <v>312</v>
      </c>
      <c r="E132" s="1417"/>
      <c r="F132" s="1417"/>
      <c r="G132" s="1418"/>
      <c r="H132" s="1419"/>
      <c r="I132" s="1409">
        <f>SUM(J132:N132)</f>
        <v>20060</v>
      </c>
      <c r="J132" s="1413">
        <f>SUM(J134,J136,J138,J140)</f>
        <v>0</v>
      </c>
      <c r="K132" s="1413">
        <f>SUM(K134,K136,K138,K140)</f>
        <v>0</v>
      </c>
      <c r="L132" s="1413">
        <f>SUM(L134,L136,L138,L140)</f>
        <v>3400</v>
      </c>
      <c r="M132" s="1413">
        <f>SUM(M134,M136,M138,M140)</f>
        <v>0</v>
      </c>
      <c r="N132" s="1411">
        <f>SUM(N134,N136,N138,N140)</f>
        <v>16660</v>
      </c>
    </row>
    <row r="133" spans="1:16" s="691" customFormat="1" ht="18" customHeight="1">
      <c r="A133" s="658">
        <v>78</v>
      </c>
      <c r="B133" s="176"/>
      <c r="C133" s="168"/>
      <c r="D133" s="485" t="s">
        <v>284</v>
      </c>
      <c r="E133" s="177">
        <v>4000</v>
      </c>
      <c r="F133" s="177">
        <v>4000</v>
      </c>
      <c r="G133" s="178">
        <v>4000</v>
      </c>
      <c r="H133" s="674"/>
      <c r="I133" s="640"/>
      <c r="J133" s="190"/>
      <c r="K133" s="190"/>
      <c r="L133" s="190"/>
      <c r="M133" s="190"/>
      <c r="N133" s="191"/>
      <c r="P133" s="692"/>
    </row>
    <row r="134" spans="1:16" s="1440" customFormat="1" ht="18" customHeight="1">
      <c r="A134" s="658">
        <v>79</v>
      </c>
      <c r="B134" s="1428"/>
      <c r="C134" s="1415"/>
      <c r="D134" s="1438" t="s">
        <v>312</v>
      </c>
      <c r="E134" s="1430"/>
      <c r="F134" s="1430"/>
      <c r="G134" s="1431"/>
      <c r="H134" s="1432"/>
      <c r="I134" s="1412">
        <f>SUM(J134:N134)</f>
        <v>3400</v>
      </c>
      <c r="J134" s="1433"/>
      <c r="K134" s="1433"/>
      <c r="L134" s="1433"/>
      <c r="M134" s="1433"/>
      <c r="N134" s="1434">
        <v>3400</v>
      </c>
      <c r="P134" s="1441"/>
    </row>
    <row r="135" spans="1:16" s="691" customFormat="1" ht="18" customHeight="1">
      <c r="A135" s="658">
        <v>80</v>
      </c>
      <c r="B135" s="176"/>
      <c r="C135" s="168"/>
      <c r="D135" s="485" t="s">
        <v>399</v>
      </c>
      <c r="E135" s="177">
        <v>7500</v>
      </c>
      <c r="F135" s="177">
        <v>14000</v>
      </c>
      <c r="G135" s="178">
        <v>5100</v>
      </c>
      <c r="H135" s="674"/>
      <c r="I135" s="640"/>
      <c r="J135" s="179"/>
      <c r="K135" s="179"/>
      <c r="L135" s="179"/>
      <c r="M135" s="179"/>
      <c r="N135" s="180"/>
      <c r="P135" s="692"/>
    </row>
    <row r="136" spans="1:16" s="1440" customFormat="1" ht="18" customHeight="1">
      <c r="A136" s="658">
        <v>81</v>
      </c>
      <c r="B136" s="1428"/>
      <c r="C136" s="1415"/>
      <c r="D136" s="1438" t="s">
        <v>312</v>
      </c>
      <c r="E136" s="1430"/>
      <c r="F136" s="1430"/>
      <c r="G136" s="1431"/>
      <c r="H136" s="1432"/>
      <c r="I136" s="1412">
        <f>SUM(J136:N136)</f>
        <v>11900</v>
      </c>
      <c r="J136" s="1433"/>
      <c r="K136" s="1433"/>
      <c r="L136" s="1433"/>
      <c r="M136" s="1433"/>
      <c r="N136" s="1434">
        <v>11900</v>
      </c>
      <c r="P136" s="1441"/>
    </row>
    <row r="137" spans="1:16" s="691" customFormat="1" ht="18" customHeight="1">
      <c r="A137" s="658">
        <v>82</v>
      </c>
      <c r="B137" s="176"/>
      <c r="C137" s="168"/>
      <c r="D137" s="485" t="s">
        <v>286</v>
      </c>
      <c r="E137" s="177">
        <v>2520</v>
      </c>
      <c r="F137" s="177">
        <v>4000</v>
      </c>
      <c r="G137" s="178">
        <v>3059</v>
      </c>
      <c r="H137" s="674"/>
      <c r="I137" s="640"/>
      <c r="J137" s="179"/>
      <c r="K137" s="179"/>
      <c r="L137" s="179"/>
      <c r="M137" s="179"/>
      <c r="N137" s="180"/>
      <c r="P137" s="692"/>
    </row>
    <row r="138" spans="1:16" s="1440" customFormat="1" ht="18" customHeight="1">
      <c r="A138" s="658">
        <v>83</v>
      </c>
      <c r="B138" s="1428"/>
      <c r="C138" s="1415"/>
      <c r="D138" s="1438" t="s">
        <v>312</v>
      </c>
      <c r="E138" s="1430"/>
      <c r="F138" s="1430"/>
      <c r="G138" s="1431"/>
      <c r="H138" s="1432"/>
      <c r="I138" s="1412">
        <f>SUM(J138:N138)</f>
        <v>3400</v>
      </c>
      <c r="J138" s="1433"/>
      <c r="K138" s="1433"/>
      <c r="L138" s="1433">
        <v>3400</v>
      </c>
      <c r="M138" s="1433"/>
      <c r="N138" s="1434"/>
      <c r="P138" s="1441"/>
    </row>
    <row r="139" spans="1:16" s="691" customFormat="1" ht="18" customHeight="1">
      <c r="A139" s="658">
        <v>84</v>
      </c>
      <c r="B139" s="176"/>
      <c r="C139" s="168"/>
      <c r="D139" s="485" t="s">
        <v>285</v>
      </c>
      <c r="E139" s="177">
        <v>1600</v>
      </c>
      <c r="F139" s="177">
        <v>1600</v>
      </c>
      <c r="G139" s="178">
        <v>1600</v>
      </c>
      <c r="H139" s="674"/>
      <c r="I139" s="640"/>
      <c r="J139" s="179"/>
      <c r="K139" s="179"/>
      <c r="L139" s="179"/>
      <c r="M139" s="179"/>
      <c r="N139" s="180"/>
      <c r="P139" s="692"/>
    </row>
    <row r="140" spans="1:16" s="1440" customFormat="1" ht="18" customHeight="1">
      <c r="A140" s="658">
        <v>85</v>
      </c>
      <c r="B140" s="1428"/>
      <c r="C140" s="1415"/>
      <c r="D140" s="1438" t="s">
        <v>312</v>
      </c>
      <c r="E140" s="1417"/>
      <c r="F140" s="1430"/>
      <c r="G140" s="1431"/>
      <c r="H140" s="1432"/>
      <c r="I140" s="1412">
        <f>SUM(J140:N140)</f>
        <v>1360</v>
      </c>
      <c r="J140" s="1433"/>
      <c r="K140" s="1433"/>
      <c r="L140" s="1433"/>
      <c r="M140" s="1433"/>
      <c r="N140" s="1434">
        <v>1360</v>
      </c>
      <c r="P140" s="1441"/>
    </row>
    <row r="141" spans="1:16" s="158" customFormat="1" ht="22.5" customHeight="1">
      <c r="A141" s="658">
        <v>86</v>
      </c>
      <c r="B141" s="653"/>
      <c r="C141" s="163">
        <v>43</v>
      </c>
      <c r="D141" s="651" t="s">
        <v>488</v>
      </c>
      <c r="E141" s="165">
        <v>4400</v>
      </c>
      <c r="F141" s="177">
        <v>5000</v>
      </c>
      <c r="G141" s="178">
        <v>5400</v>
      </c>
      <c r="H141" s="673" t="s">
        <v>24</v>
      </c>
      <c r="I141" s="640"/>
      <c r="J141" s="190"/>
      <c r="K141" s="190"/>
      <c r="L141" s="190"/>
      <c r="M141" s="190"/>
      <c r="N141" s="191"/>
      <c r="P141" s="646"/>
    </row>
    <row r="142" spans="1:16" s="1435" customFormat="1" ht="18" customHeight="1">
      <c r="A142" s="658">
        <v>87</v>
      </c>
      <c r="B142" s="1428"/>
      <c r="C142" s="1415"/>
      <c r="D142" s="1416" t="s">
        <v>312</v>
      </c>
      <c r="E142" s="1417"/>
      <c r="F142" s="1430"/>
      <c r="G142" s="1431"/>
      <c r="H142" s="1432"/>
      <c r="I142" s="1409">
        <f>SUM(J142:N142)</f>
        <v>4250</v>
      </c>
      <c r="J142" s="1433"/>
      <c r="K142" s="1433"/>
      <c r="L142" s="1433"/>
      <c r="M142" s="1433"/>
      <c r="N142" s="1434">
        <v>4250</v>
      </c>
      <c r="P142" s="1420"/>
    </row>
    <row r="143" spans="1:16" s="115" customFormat="1" ht="22.5" customHeight="1">
      <c r="A143" s="658">
        <v>88</v>
      </c>
      <c r="B143" s="652"/>
      <c r="C143" s="163">
        <v>44</v>
      </c>
      <c r="D143" s="651" t="s">
        <v>444</v>
      </c>
      <c r="E143" s="165">
        <v>1323</v>
      </c>
      <c r="F143" s="165">
        <v>2000</v>
      </c>
      <c r="G143" s="166">
        <v>2000</v>
      </c>
      <c r="H143" s="673" t="s">
        <v>23</v>
      </c>
      <c r="I143" s="640"/>
      <c r="J143" s="179"/>
      <c r="K143" s="179"/>
      <c r="L143" s="179"/>
      <c r="M143" s="179"/>
      <c r="N143" s="180"/>
      <c r="O143" s="646"/>
      <c r="P143" s="646"/>
    </row>
    <row r="144" spans="1:14" s="1420" customFormat="1" ht="18" customHeight="1">
      <c r="A144" s="658">
        <v>89</v>
      </c>
      <c r="B144" s="1414"/>
      <c r="C144" s="1415"/>
      <c r="D144" s="1416" t="s">
        <v>312</v>
      </c>
      <c r="E144" s="1417"/>
      <c r="F144" s="1417"/>
      <c r="G144" s="1418"/>
      <c r="H144" s="1419"/>
      <c r="I144" s="1409">
        <f>SUM(J144:N144)</f>
        <v>1700</v>
      </c>
      <c r="J144" s="1410"/>
      <c r="K144" s="1410"/>
      <c r="L144" s="1410"/>
      <c r="M144" s="1410">
        <v>1700</v>
      </c>
      <c r="N144" s="1411"/>
    </row>
    <row r="145" spans="1:16" s="115" customFormat="1" ht="22.5" customHeight="1">
      <c r="A145" s="658">
        <v>90</v>
      </c>
      <c r="B145" s="652"/>
      <c r="C145" s="163">
        <v>45</v>
      </c>
      <c r="D145" s="651" t="s">
        <v>287</v>
      </c>
      <c r="E145" s="165"/>
      <c r="F145" s="165">
        <v>100</v>
      </c>
      <c r="G145" s="166">
        <v>100</v>
      </c>
      <c r="H145" s="673" t="s">
        <v>23</v>
      </c>
      <c r="I145" s="638"/>
      <c r="J145" s="170"/>
      <c r="K145" s="170"/>
      <c r="L145" s="170"/>
      <c r="M145" s="170"/>
      <c r="N145" s="171"/>
      <c r="P145" s="646"/>
    </row>
    <row r="146" spans="1:14" s="1420" customFormat="1" ht="18" customHeight="1">
      <c r="A146" s="658">
        <v>91</v>
      </c>
      <c r="B146" s="1414"/>
      <c r="C146" s="1415"/>
      <c r="D146" s="1416" t="s">
        <v>312</v>
      </c>
      <c r="E146" s="1417"/>
      <c r="F146" s="1417"/>
      <c r="G146" s="1418"/>
      <c r="H146" s="1419"/>
      <c r="I146" s="1409">
        <f>SUM(J146:N146)</f>
        <v>85</v>
      </c>
      <c r="J146" s="1410"/>
      <c r="K146" s="1410"/>
      <c r="L146" s="1410"/>
      <c r="M146" s="1410">
        <v>85</v>
      </c>
      <c r="N146" s="1411"/>
    </row>
    <row r="147" spans="1:14" s="646" customFormat="1" ht="22.5" customHeight="1">
      <c r="A147" s="658">
        <v>92</v>
      </c>
      <c r="B147" s="649"/>
      <c r="C147" s="163">
        <v>46</v>
      </c>
      <c r="D147" s="650" t="s">
        <v>445</v>
      </c>
      <c r="E147" s="165"/>
      <c r="F147" s="165">
        <v>100</v>
      </c>
      <c r="G147" s="166">
        <v>1000</v>
      </c>
      <c r="H147" s="675" t="s">
        <v>23</v>
      </c>
      <c r="I147" s="638"/>
      <c r="J147" s="170"/>
      <c r="K147" s="170"/>
      <c r="L147" s="170"/>
      <c r="M147" s="170"/>
      <c r="N147" s="171"/>
    </row>
    <row r="148" spans="1:14" s="1420" customFormat="1" ht="18" customHeight="1">
      <c r="A148" s="658">
        <v>93</v>
      </c>
      <c r="B148" s="1414"/>
      <c r="C148" s="1415"/>
      <c r="D148" s="1416" t="s">
        <v>312</v>
      </c>
      <c r="E148" s="1417"/>
      <c r="F148" s="1417"/>
      <c r="G148" s="1418"/>
      <c r="H148" s="1424"/>
      <c r="I148" s="1409">
        <f>SUM(J148:N148)</f>
        <v>85</v>
      </c>
      <c r="J148" s="1410"/>
      <c r="K148" s="1410"/>
      <c r="L148" s="1410">
        <v>85</v>
      </c>
      <c r="M148" s="1410"/>
      <c r="N148" s="1411"/>
    </row>
    <row r="149" spans="1:16" s="115" customFormat="1" ht="22.5" customHeight="1">
      <c r="A149" s="658">
        <v>94</v>
      </c>
      <c r="B149" s="652"/>
      <c r="C149" s="163">
        <v>47</v>
      </c>
      <c r="D149" s="651" t="s">
        <v>288</v>
      </c>
      <c r="E149" s="165">
        <f>SUM(E151,E155,E157,E159,E161,E163,E165,E167)</f>
        <v>10952</v>
      </c>
      <c r="F149" s="165">
        <f>SUM(F151,F155,F157,F159,F161,F163,F165,F167)+F153</f>
        <v>27650</v>
      </c>
      <c r="G149" s="166">
        <f>SUM(G151,G155,G157,G159,G161,G163,G165,G167)+G153</f>
        <v>27650</v>
      </c>
      <c r="H149" s="673"/>
      <c r="I149" s="639"/>
      <c r="J149" s="174"/>
      <c r="K149" s="174"/>
      <c r="L149" s="174"/>
      <c r="M149" s="174"/>
      <c r="N149" s="175"/>
      <c r="O149" s="646"/>
      <c r="P149" s="646"/>
    </row>
    <row r="150" spans="1:14" s="1420" customFormat="1" ht="18" customHeight="1">
      <c r="A150" s="658">
        <v>95</v>
      </c>
      <c r="B150" s="1414"/>
      <c r="C150" s="1415"/>
      <c r="D150" s="1416" t="s">
        <v>312</v>
      </c>
      <c r="E150" s="1417"/>
      <c r="F150" s="1417"/>
      <c r="G150" s="1418"/>
      <c r="H150" s="1419"/>
      <c r="I150" s="1409">
        <f>SUM(J150:N150)</f>
        <v>17553</v>
      </c>
      <c r="J150" s="1410">
        <f>SUM(J152,J156,J158,J160,J162,J164,J166,J168)</f>
        <v>0</v>
      </c>
      <c r="K150" s="1410">
        <f>SUM(K152,K156,K158,K160,K162,K164,K166,K168)</f>
        <v>0</v>
      </c>
      <c r="L150" s="1410">
        <f>SUM(L152,L156,L158,L160,L162,L164,L166,L168)</f>
        <v>0</v>
      </c>
      <c r="M150" s="1410">
        <f>SUM(M152,M156,M158,M160,M162,M164,M166,M168)+M154</f>
        <v>17553</v>
      </c>
      <c r="N150" s="1411">
        <f>SUM(N152,N156,N158,N160,N162,N164,N166,N168)</f>
        <v>0</v>
      </c>
    </row>
    <row r="151" spans="1:16" s="691" customFormat="1" ht="18" customHeight="1">
      <c r="A151" s="658">
        <v>96</v>
      </c>
      <c r="B151" s="176"/>
      <c r="C151" s="168"/>
      <c r="D151" s="485" t="s">
        <v>293</v>
      </c>
      <c r="E151" s="177">
        <v>2100</v>
      </c>
      <c r="F151" s="177">
        <v>2500</v>
      </c>
      <c r="G151" s="178">
        <v>2500</v>
      </c>
      <c r="H151" s="674" t="s">
        <v>23</v>
      </c>
      <c r="I151" s="640"/>
      <c r="J151" s="190"/>
      <c r="K151" s="190"/>
      <c r="L151" s="190"/>
      <c r="M151" s="190"/>
      <c r="N151" s="191"/>
      <c r="P151" s="692"/>
    </row>
    <row r="152" spans="1:16" s="1440" customFormat="1" ht="18" customHeight="1">
      <c r="A152" s="658">
        <v>97</v>
      </c>
      <c r="B152" s="1428"/>
      <c r="C152" s="1415"/>
      <c r="D152" s="1438" t="s">
        <v>312</v>
      </c>
      <c r="E152" s="1430"/>
      <c r="F152" s="1430"/>
      <c r="G152" s="1431"/>
      <c r="H152" s="1432"/>
      <c r="I152" s="1412">
        <f>SUM(J152:N152)</f>
        <v>2125</v>
      </c>
      <c r="J152" s="1433"/>
      <c r="K152" s="1433"/>
      <c r="L152" s="1433"/>
      <c r="M152" s="1433">
        <v>2125</v>
      </c>
      <c r="N152" s="1434"/>
      <c r="P152" s="1441"/>
    </row>
    <row r="153" spans="1:16" s="691" customFormat="1" ht="18" customHeight="1">
      <c r="A153" s="658">
        <v>98</v>
      </c>
      <c r="B153" s="176"/>
      <c r="C153" s="168"/>
      <c r="D153" s="487" t="s">
        <v>628</v>
      </c>
      <c r="E153" s="177"/>
      <c r="F153" s="177">
        <v>12500</v>
      </c>
      <c r="G153" s="178">
        <v>12500</v>
      </c>
      <c r="H153" s="674" t="s">
        <v>24</v>
      </c>
      <c r="I153" s="640"/>
      <c r="J153" s="190"/>
      <c r="K153" s="190"/>
      <c r="L153" s="190"/>
      <c r="M153" s="190"/>
      <c r="N153" s="191"/>
      <c r="P153" s="692"/>
    </row>
    <row r="154" spans="1:16" s="1440" customFormat="1" ht="18" customHeight="1">
      <c r="A154" s="658">
        <v>99</v>
      </c>
      <c r="B154" s="1428"/>
      <c r="C154" s="1415"/>
      <c r="D154" s="1438" t="s">
        <v>312</v>
      </c>
      <c r="E154" s="1430"/>
      <c r="F154" s="1430"/>
      <c r="G154" s="1431"/>
      <c r="H154" s="1432"/>
      <c r="I154" s="1412">
        <f>SUM(J154:N154)</f>
        <v>4675</v>
      </c>
      <c r="J154" s="1433"/>
      <c r="K154" s="1433"/>
      <c r="L154" s="1433"/>
      <c r="M154" s="1433">
        <v>4675</v>
      </c>
      <c r="N154" s="1434"/>
      <c r="P154" s="1441"/>
    </row>
    <row r="155" spans="1:16" s="691" customFormat="1" ht="18" customHeight="1">
      <c r="A155" s="658">
        <v>100</v>
      </c>
      <c r="B155" s="176"/>
      <c r="C155" s="168"/>
      <c r="D155" s="487" t="s">
        <v>446</v>
      </c>
      <c r="E155" s="177">
        <v>6360</v>
      </c>
      <c r="F155" s="177">
        <v>8000</v>
      </c>
      <c r="G155" s="178">
        <v>8000</v>
      </c>
      <c r="H155" s="674" t="s">
        <v>24</v>
      </c>
      <c r="I155" s="641"/>
      <c r="J155" s="179"/>
      <c r="K155" s="179"/>
      <c r="L155" s="179"/>
      <c r="M155" s="179"/>
      <c r="N155" s="180"/>
      <c r="P155" s="692"/>
    </row>
    <row r="156" spans="1:16" s="1440" customFormat="1" ht="18" customHeight="1">
      <c r="A156" s="658">
        <v>101</v>
      </c>
      <c r="B156" s="1428"/>
      <c r="C156" s="1415"/>
      <c r="D156" s="1438" t="s">
        <v>312</v>
      </c>
      <c r="E156" s="1430"/>
      <c r="F156" s="1430"/>
      <c r="G156" s="1431"/>
      <c r="H156" s="1432"/>
      <c r="I156" s="1412">
        <f>SUM(J156:N156)</f>
        <v>6800</v>
      </c>
      <c r="J156" s="1433"/>
      <c r="K156" s="1433"/>
      <c r="L156" s="1433"/>
      <c r="M156" s="1433">
        <v>6800</v>
      </c>
      <c r="N156" s="1434"/>
      <c r="P156" s="1441"/>
    </row>
    <row r="157" spans="1:16" s="691" customFormat="1" ht="18" customHeight="1">
      <c r="A157" s="658">
        <v>102</v>
      </c>
      <c r="B157" s="176"/>
      <c r="C157" s="168"/>
      <c r="D157" s="487" t="s">
        <v>447</v>
      </c>
      <c r="E157" s="177"/>
      <c r="F157" s="177">
        <v>100</v>
      </c>
      <c r="G157" s="178">
        <v>100</v>
      </c>
      <c r="H157" s="674" t="s">
        <v>24</v>
      </c>
      <c r="I157" s="641"/>
      <c r="J157" s="179"/>
      <c r="K157" s="179"/>
      <c r="L157" s="179"/>
      <c r="M157" s="179"/>
      <c r="N157" s="180"/>
      <c r="P157" s="692"/>
    </row>
    <row r="158" spans="1:16" s="1440" customFormat="1" ht="18" customHeight="1">
      <c r="A158" s="658">
        <v>103</v>
      </c>
      <c r="B158" s="1428"/>
      <c r="C158" s="1415"/>
      <c r="D158" s="1438" t="s">
        <v>312</v>
      </c>
      <c r="E158" s="1430"/>
      <c r="F158" s="1430"/>
      <c r="G158" s="1431"/>
      <c r="H158" s="1432"/>
      <c r="I158" s="1412">
        <f>SUM(J158:N158)</f>
        <v>85</v>
      </c>
      <c r="J158" s="1433"/>
      <c r="K158" s="1433"/>
      <c r="L158" s="1433"/>
      <c r="M158" s="1433">
        <v>85</v>
      </c>
      <c r="N158" s="1434"/>
      <c r="P158" s="1441"/>
    </row>
    <row r="159" spans="1:16" s="691" customFormat="1" ht="18" customHeight="1">
      <c r="A159" s="658">
        <v>104</v>
      </c>
      <c r="B159" s="176"/>
      <c r="C159" s="168"/>
      <c r="D159" s="487" t="s">
        <v>448</v>
      </c>
      <c r="E159" s="177">
        <v>1215</v>
      </c>
      <c r="F159" s="177">
        <v>2000</v>
      </c>
      <c r="G159" s="178">
        <v>2000</v>
      </c>
      <c r="H159" s="674" t="s">
        <v>24</v>
      </c>
      <c r="I159" s="641"/>
      <c r="J159" s="179"/>
      <c r="K159" s="179"/>
      <c r="L159" s="179"/>
      <c r="M159" s="179"/>
      <c r="N159" s="180"/>
      <c r="P159" s="692"/>
    </row>
    <row r="160" spans="1:16" s="1440" customFormat="1" ht="18" customHeight="1">
      <c r="A160" s="658">
        <v>105</v>
      </c>
      <c r="B160" s="1428"/>
      <c r="C160" s="1415"/>
      <c r="D160" s="1438" t="s">
        <v>312</v>
      </c>
      <c r="E160" s="1430"/>
      <c r="F160" s="1430"/>
      <c r="G160" s="1431"/>
      <c r="H160" s="1432"/>
      <c r="I160" s="1412">
        <f>SUM(J160:N160)</f>
        <v>1700</v>
      </c>
      <c r="J160" s="1433"/>
      <c r="K160" s="1433"/>
      <c r="L160" s="1433"/>
      <c r="M160" s="1433">
        <v>1700</v>
      </c>
      <c r="N160" s="1434"/>
      <c r="P160" s="1441"/>
    </row>
    <row r="161" spans="1:16" s="691" customFormat="1" ht="18" customHeight="1">
      <c r="A161" s="658">
        <v>106</v>
      </c>
      <c r="B161" s="176"/>
      <c r="C161" s="168"/>
      <c r="D161" s="487" t="s">
        <v>449</v>
      </c>
      <c r="E161" s="177"/>
      <c r="F161" s="177">
        <v>50</v>
      </c>
      <c r="G161" s="178">
        <v>50</v>
      </c>
      <c r="H161" s="674" t="s">
        <v>24</v>
      </c>
      <c r="I161" s="641"/>
      <c r="J161" s="179"/>
      <c r="K161" s="179"/>
      <c r="L161" s="179"/>
      <c r="M161" s="179"/>
      <c r="N161" s="180"/>
      <c r="P161" s="692"/>
    </row>
    <row r="162" spans="1:16" s="1440" customFormat="1" ht="18" customHeight="1">
      <c r="A162" s="658">
        <v>107</v>
      </c>
      <c r="B162" s="1428"/>
      <c r="C162" s="1415"/>
      <c r="D162" s="1438" t="s">
        <v>312</v>
      </c>
      <c r="E162" s="1430"/>
      <c r="F162" s="1430"/>
      <c r="G162" s="1431"/>
      <c r="H162" s="1432"/>
      <c r="I162" s="1412">
        <f>SUM(J162:N162)</f>
        <v>43</v>
      </c>
      <c r="J162" s="1433"/>
      <c r="K162" s="1433"/>
      <c r="L162" s="1433"/>
      <c r="M162" s="1433">
        <v>43</v>
      </c>
      <c r="N162" s="1434"/>
      <c r="P162" s="1441"/>
    </row>
    <row r="163" spans="1:16" s="691" customFormat="1" ht="18" customHeight="1">
      <c r="A163" s="658">
        <v>108</v>
      </c>
      <c r="B163" s="176"/>
      <c r="C163" s="168"/>
      <c r="D163" s="487" t="s">
        <v>450</v>
      </c>
      <c r="E163" s="177">
        <v>1080</v>
      </c>
      <c r="F163" s="177">
        <v>1500</v>
      </c>
      <c r="G163" s="178">
        <v>1500</v>
      </c>
      <c r="H163" s="674" t="s">
        <v>24</v>
      </c>
      <c r="I163" s="641"/>
      <c r="J163" s="179"/>
      <c r="K163" s="179"/>
      <c r="L163" s="179"/>
      <c r="M163" s="179"/>
      <c r="N163" s="180"/>
      <c r="P163" s="692"/>
    </row>
    <row r="164" spans="1:16" s="1440" customFormat="1" ht="18" customHeight="1">
      <c r="A164" s="658">
        <v>109</v>
      </c>
      <c r="B164" s="1428"/>
      <c r="C164" s="1415"/>
      <c r="D164" s="1438" t="s">
        <v>312</v>
      </c>
      <c r="E164" s="1430"/>
      <c r="F164" s="1430"/>
      <c r="G164" s="1431"/>
      <c r="H164" s="1432"/>
      <c r="I164" s="1412">
        <f>SUM(J164:N164)</f>
        <v>1275</v>
      </c>
      <c r="J164" s="1433"/>
      <c r="K164" s="1433"/>
      <c r="L164" s="1433"/>
      <c r="M164" s="1433">
        <v>1275</v>
      </c>
      <c r="N164" s="1434"/>
      <c r="P164" s="1441"/>
    </row>
    <row r="165" spans="1:16" s="691" customFormat="1" ht="18" customHeight="1">
      <c r="A165" s="658">
        <v>110</v>
      </c>
      <c r="B165" s="176"/>
      <c r="C165" s="168"/>
      <c r="D165" s="487" t="s">
        <v>451</v>
      </c>
      <c r="E165" s="177"/>
      <c r="F165" s="177">
        <v>400</v>
      </c>
      <c r="G165" s="178">
        <v>400</v>
      </c>
      <c r="H165" s="674" t="s">
        <v>24</v>
      </c>
      <c r="I165" s="641"/>
      <c r="J165" s="179"/>
      <c r="K165" s="179"/>
      <c r="L165" s="179"/>
      <c r="M165" s="179"/>
      <c r="N165" s="180"/>
      <c r="P165" s="692"/>
    </row>
    <row r="166" spans="1:16" s="1440" customFormat="1" ht="18" customHeight="1">
      <c r="A166" s="658">
        <v>111</v>
      </c>
      <c r="B166" s="1428"/>
      <c r="C166" s="1415"/>
      <c r="D166" s="1438" t="s">
        <v>312</v>
      </c>
      <c r="E166" s="1417"/>
      <c r="F166" s="1430"/>
      <c r="G166" s="1431"/>
      <c r="H166" s="1432"/>
      <c r="I166" s="1412">
        <f>SUM(J166:N166)</f>
        <v>340</v>
      </c>
      <c r="J166" s="1433"/>
      <c r="K166" s="1433"/>
      <c r="L166" s="1433"/>
      <c r="M166" s="1433">
        <v>340</v>
      </c>
      <c r="N166" s="1434"/>
      <c r="P166" s="1441"/>
    </row>
    <row r="167" spans="1:16" s="691" customFormat="1" ht="18" customHeight="1">
      <c r="A167" s="658">
        <v>112</v>
      </c>
      <c r="B167" s="176"/>
      <c r="C167" s="168"/>
      <c r="D167" s="487" t="s">
        <v>452</v>
      </c>
      <c r="E167" s="165">
        <v>197</v>
      </c>
      <c r="F167" s="177">
        <v>600</v>
      </c>
      <c r="G167" s="178">
        <v>600</v>
      </c>
      <c r="H167" s="674" t="s">
        <v>24</v>
      </c>
      <c r="I167" s="640"/>
      <c r="J167" s="190"/>
      <c r="K167" s="190"/>
      <c r="L167" s="190"/>
      <c r="M167" s="190"/>
      <c r="N167" s="191"/>
      <c r="P167" s="692"/>
    </row>
    <row r="168" spans="1:16" s="1440" customFormat="1" ht="18" customHeight="1">
      <c r="A168" s="658">
        <v>113</v>
      </c>
      <c r="B168" s="1428"/>
      <c r="C168" s="1415"/>
      <c r="D168" s="1438" t="s">
        <v>312</v>
      </c>
      <c r="E168" s="1417"/>
      <c r="F168" s="1430"/>
      <c r="G168" s="1431"/>
      <c r="H168" s="1432"/>
      <c r="I168" s="1412">
        <f>SUM(J168:N168)</f>
        <v>510</v>
      </c>
      <c r="J168" s="1433"/>
      <c r="K168" s="1433"/>
      <c r="L168" s="1433"/>
      <c r="M168" s="1433">
        <v>510</v>
      </c>
      <c r="N168" s="1434"/>
      <c r="P168" s="1441"/>
    </row>
    <row r="169" spans="1:16" s="3" customFormat="1" ht="22.5" customHeight="1">
      <c r="A169" s="658">
        <v>114</v>
      </c>
      <c r="B169" s="162"/>
      <c r="C169" s="163">
        <v>48</v>
      </c>
      <c r="D169" s="651" t="s">
        <v>74</v>
      </c>
      <c r="E169" s="165">
        <v>4045</v>
      </c>
      <c r="F169" s="165">
        <v>4500</v>
      </c>
      <c r="G169" s="166">
        <v>4678</v>
      </c>
      <c r="H169" s="673" t="s">
        <v>23</v>
      </c>
      <c r="I169" s="638"/>
      <c r="J169" s="170"/>
      <c r="K169" s="170"/>
      <c r="L169" s="170"/>
      <c r="M169" s="170"/>
      <c r="N169" s="171"/>
      <c r="P169" s="8"/>
    </row>
    <row r="170" spans="1:14" s="1420" customFormat="1" ht="18" customHeight="1">
      <c r="A170" s="658">
        <v>115</v>
      </c>
      <c r="B170" s="1414"/>
      <c r="C170" s="1415"/>
      <c r="D170" s="1416" t="s">
        <v>312</v>
      </c>
      <c r="E170" s="1417"/>
      <c r="F170" s="1417"/>
      <c r="G170" s="1418"/>
      <c r="H170" s="1419"/>
      <c r="I170" s="1409">
        <f>SUM(J170:N170)</f>
        <v>3825</v>
      </c>
      <c r="J170" s="1410"/>
      <c r="K170" s="1410"/>
      <c r="L170" s="1410"/>
      <c r="M170" s="1410">
        <v>3825</v>
      </c>
      <c r="N170" s="1411"/>
    </row>
    <row r="171" spans="1:16" s="115" customFormat="1" ht="22.5" customHeight="1">
      <c r="A171" s="658">
        <v>116</v>
      </c>
      <c r="B171" s="652"/>
      <c r="C171" s="163">
        <v>49</v>
      </c>
      <c r="D171" s="651" t="s">
        <v>75</v>
      </c>
      <c r="E171" s="165">
        <v>8951</v>
      </c>
      <c r="F171" s="165">
        <v>11447</v>
      </c>
      <c r="G171" s="166">
        <v>12318</v>
      </c>
      <c r="H171" s="673" t="s">
        <v>24</v>
      </c>
      <c r="I171" s="638"/>
      <c r="J171" s="170"/>
      <c r="K171" s="170"/>
      <c r="L171" s="170"/>
      <c r="M171" s="170"/>
      <c r="N171" s="171"/>
      <c r="P171" s="646"/>
    </row>
    <row r="172" spans="1:14" s="1420" customFormat="1" ht="18" customHeight="1">
      <c r="A172" s="658">
        <v>117</v>
      </c>
      <c r="B172" s="1414"/>
      <c r="C172" s="1415"/>
      <c r="D172" s="1416" t="s">
        <v>312</v>
      </c>
      <c r="E172" s="1417"/>
      <c r="F172" s="1417"/>
      <c r="G172" s="1418"/>
      <c r="H172" s="1419"/>
      <c r="I172" s="1409">
        <f>SUM(J172:N172)</f>
        <v>7650</v>
      </c>
      <c r="J172" s="1410">
        <v>6565</v>
      </c>
      <c r="K172" s="1410">
        <v>938</v>
      </c>
      <c r="L172" s="1410">
        <v>147</v>
      </c>
      <c r="M172" s="1410"/>
      <c r="N172" s="1411"/>
    </row>
    <row r="173" spans="1:16" s="115" customFormat="1" ht="22.5" customHeight="1">
      <c r="A173" s="658">
        <v>118</v>
      </c>
      <c r="B173" s="652"/>
      <c r="C173" s="163">
        <v>50</v>
      </c>
      <c r="D173" s="651" t="s">
        <v>272</v>
      </c>
      <c r="E173" s="165">
        <v>1129</v>
      </c>
      <c r="F173" s="165">
        <v>1560</v>
      </c>
      <c r="G173" s="166">
        <v>2031</v>
      </c>
      <c r="H173" s="673" t="s">
        <v>24</v>
      </c>
      <c r="I173" s="638"/>
      <c r="J173" s="170"/>
      <c r="K173" s="170"/>
      <c r="L173" s="170"/>
      <c r="M173" s="170"/>
      <c r="N173" s="171"/>
      <c r="P173" s="646"/>
    </row>
    <row r="174" spans="1:14" s="1420" customFormat="1" ht="18" customHeight="1">
      <c r="A174" s="658">
        <v>119</v>
      </c>
      <c r="B174" s="1414"/>
      <c r="C174" s="1415"/>
      <c r="D174" s="1416" t="s">
        <v>312</v>
      </c>
      <c r="E174" s="1417"/>
      <c r="F174" s="1417"/>
      <c r="G174" s="1418"/>
      <c r="H174" s="1419"/>
      <c r="I174" s="1409">
        <f>SUM(J174:N174)</f>
        <v>1560</v>
      </c>
      <c r="J174" s="1410">
        <v>1365</v>
      </c>
      <c r="K174" s="1410">
        <v>195</v>
      </c>
      <c r="L174" s="1410"/>
      <c r="M174" s="1410"/>
      <c r="N174" s="1411"/>
    </row>
    <row r="175" spans="1:16" s="115" customFormat="1" ht="22.5" customHeight="1">
      <c r="A175" s="658">
        <v>120</v>
      </c>
      <c r="B175" s="652"/>
      <c r="C175" s="163">
        <v>51</v>
      </c>
      <c r="D175" s="651" t="s">
        <v>76</v>
      </c>
      <c r="E175" s="165">
        <v>2</v>
      </c>
      <c r="F175" s="165">
        <v>100</v>
      </c>
      <c r="G175" s="166">
        <v>100</v>
      </c>
      <c r="H175" s="673" t="s">
        <v>24</v>
      </c>
      <c r="I175" s="638"/>
      <c r="J175" s="170"/>
      <c r="K175" s="170"/>
      <c r="L175" s="170"/>
      <c r="M175" s="170"/>
      <c r="N175" s="171"/>
      <c r="P175" s="646"/>
    </row>
    <row r="176" spans="1:14" s="1420" customFormat="1" ht="18" customHeight="1">
      <c r="A176" s="658">
        <v>121</v>
      </c>
      <c r="B176" s="1414"/>
      <c r="C176" s="1415"/>
      <c r="D176" s="1416" t="s">
        <v>312</v>
      </c>
      <c r="E176" s="1417"/>
      <c r="F176" s="1417"/>
      <c r="G176" s="1418"/>
      <c r="H176" s="1419"/>
      <c r="I176" s="1409">
        <f>SUM(J176:N176)</f>
        <v>85</v>
      </c>
      <c r="J176" s="1410"/>
      <c r="K176" s="1410"/>
      <c r="L176" s="1410"/>
      <c r="M176" s="1410">
        <v>85</v>
      </c>
      <c r="N176" s="1411"/>
    </row>
    <row r="177" spans="1:16" s="115" customFormat="1" ht="22.5" customHeight="1">
      <c r="A177" s="658">
        <v>122</v>
      </c>
      <c r="B177" s="652"/>
      <c r="C177" s="163">
        <v>52</v>
      </c>
      <c r="D177" s="651" t="s">
        <v>295</v>
      </c>
      <c r="E177" s="165">
        <v>6000</v>
      </c>
      <c r="F177" s="165">
        <v>6000</v>
      </c>
      <c r="G177" s="166">
        <v>6000</v>
      </c>
      <c r="H177" s="673" t="s">
        <v>23</v>
      </c>
      <c r="I177" s="638"/>
      <c r="J177" s="170"/>
      <c r="K177" s="170"/>
      <c r="L177" s="170"/>
      <c r="M177" s="170"/>
      <c r="N177" s="171"/>
      <c r="P177" s="646"/>
    </row>
    <row r="178" spans="1:14" s="1420" customFormat="1" ht="18" customHeight="1">
      <c r="A178" s="658">
        <v>123</v>
      </c>
      <c r="B178" s="1414"/>
      <c r="C178" s="1415"/>
      <c r="D178" s="1416" t="s">
        <v>312</v>
      </c>
      <c r="E178" s="1417"/>
      <c r="F178" s="1417"/>
      <c r="G178" s="1418"/>
      <c r="H178" s="1419"/>
      <c r="I178" s="1409">
        <f>SUM(J178:N178)</f>
        <v>5100</v>
      </c>
      <c r="J178" s="1410"/>
      <c r="K178" s="1410"/>
      <c r="L178" s="1410">
        <v>5100</v>
      </c>
      <c r="M178" s="1410"/>
      <c r="N178" s="1411"/>
    </row>
    <row r="179" spans="1:16" s="115" customFormat="1" ht="22.5" customHeight="1">
      <c r="A179" s="658">
        <v>124</v>
      </c>
      <c r="B179" s="652"/>
      <c r="C179" s="163">
        <v>53</v>
      </c>
      <c r="D179" s="651" t="s">
        <v>310</v>
      </c>
      <c r="E179" s="165">
        <v>12000</v>
      </c>
      <c r="F179" s="165">
        <v>12000</v>
      </c>
      <c r="G179" s="166">
        <v>12000</v>
      </c>
      <c r="H179" s="673" t="s">
        <v>23</v>
      </c>
      <c r="I179" s="638"/>
      <c r="J179" s="170"/>
      <c r="K179" s="170"/>
      <c r="L179" s="170"/>
      <c r="M179" s="170"/>
      <c r="N179" s="171"/>
      <c r="P179" s="646"/>
    </row>
    <row r="180" spans="1:14" s="1420" customFormat="1" ht="18" customHeight="1">
      <c r="A180" s="658">
        <v>125</v>
      </c>
      <c r="B180" s="1414"/>
      <c r="C180" s="1415"/>
      <c r="D180" s="1416" t="s">
        <v>312</v>
      </c>
      <c r="E180" s="1417"/>
      <c r="F180" s="1417"/>
      <c r="G180" s="1418"/>
      <c r="H180" s="1419"/>
      <c r="I180" s="1409">
        <f>SUM(J180:N180)</f>
        <v>10200</v>
      </c>
      <c r="J180" s="1410"/>
      <c r="K180" s="1410"/>
      <c r="L180" s="1410"/>
      <c r="M180" s="1410"/>
      <c r="N180" s="1411">
        <v>10200</v>
      </c>
    </row>
    <row r="181" spans="1:16" s="115" customFormat="1" ht="22.5" customHeight="1">
      <c r="A181" s="658">
        <v>126</v>
      </c>
      <c r="B181" s="652"/>
      <c r="C181" s="163">
        <v>54</v>
      </c>
      <c r="D181" s="651" t="s">
        <v>78</v>
      </c>
      <c r="E181" s="165">
        <v>60000</v>
      </c>
      <c r="F181" s="165">
        <v>60000</v>
      </c>
      <c r="G181" s="166">
        <v>60000</v>
      </c>
      <c r="H181" s="673" t="s">
        <v>23</v>
      </c>
      <c r="I181" s="638"/>
      <c r="J181" s="170"/>
      <c r="K181" s="170"/>
      <c r="L181" s="170"/>
      <c r="M181" s="170"/>
      <c r="N181" s="171"/>
      <c r="P181" s="646"/>
    </row>
    <row r="182" spans="1:14" s="1420" customFormat="1" ht="18" customHeight="1">
      <c r="A182" s="658">
        <v>127</v>
      </c>
      <c r="B182" s="1414"/>
      <c r="C182" s="1415"/>
      <c r="D182" s="1416" t="s">
        <v>312</v>
      </c>
      <c r="E182" s="1417"/>
      <c r="F182" s="1417"/>
      <c r="G182" s="1418"/>
      <c r="H182" s="1419"/>
      <c r="I182" s="1409">
        <f>SUM(J182:N182)</f>
        <v>60000</v>
      </c>
      <c r="J182" s="1410"/>
      <c r="K182" s="1410"/>
      <c r="L182" s="1410"/>
      <c r="M182" s="1410"/>
      <c r="N182" s="1411">
        <v>60000</v>
      </c>
    </row>
    <row r="183" spans="1:16" s="115" customFormat="1" ht="22.5" customHeight="1">
      <c r="A183" s="658">
        <v>128</v>
      </c>
      <c r="B183" s="652"/>
      <c r="C183" s="163">
        <v>55</v>
      </c>
      <c r="D183" s="651" t="s">
        <v>529</v>
      </c>
      <c r="E183" s="165">
        <v>411191</v>
      </c>
      <c r="F183" s="165">
        <v>401644</v>
      </c>
      <c r="G183" s="166">
        <v>458590</v>
      </c>
      <c r="H183" s="673" t="s">
        <v>23</v>
      </c>
      <c r="I183" s="638"/>
      <c r="J183" s="170"/>
      <c r="K183" s="170"/>
      <c r="L183" s="170"/>
      <c r="M183" s="170"/>
      <c r="N183" s="171"/>
      <c r="P183" s="646"/>
    </row>
    <row r="184" spans="1:14" s="1420" customFormat="1" ht="18" customHeight="1">
      <c r="A184" s="658">
        <v>129</v>
      </c>
      <c r="B184" s="1414"/>
      <c r="C184" s="1415"/>
      <c r="D184" s="1416" t="s">
        <v>312</v>
      </c>
      <c r="E184" s="1417"/>
      <c r="F184" s="1417"/>
      <c r="G184" s="1418"/>
      <c r="H184" s="1419"/>
      <c r="I184" s="1409">
        <f>SUM(J184:N184)</f>
        <v>454892</v>
      </c>
      <c r="J184" s="1410"/>
      <c r="K184" s="1410"/>
      <c r="L184" s="1410"/>
      <c r="M184" s="1410"/>
      <c r="N184" s="1411">
        <v>454892</v>
      </c>
    </row>
    <row r="185" spans="1:16" s="115" customFormat="1" ht="22.5" customHeight="1">
      <c r="A185" s="658">
        <v>130</v>
      </c>
      <c r="B185" s="652"/>
      <c r="C185" s="163">
        <v>56</v>
      </c>
      <c r="D185" s="651" t="s">
        <v>393</v>
      </c>
      <c r="E185" s="165">
        <v>47940</v>
      </c>
      <c r="F185" s="165">
        <v>68578</v>
      </c>
      <c r="G185" s="166">
        <v>70279</v>
      </c>
      <c r="H185" s="673" t="s">
        <v>23</v>
      </c>
      <c r="I185" s="638"/>
      <c r="J185" s="170"/>
      <c r="K185" s="170"/>
      <c r="L185" s="170"/>
      <c r="M185" s="170"/>
      <c r="N185" s="171"/>
      <c r="P185" s="646"/>
    </row>
    <row r="186" spans="1:14" s="1420" customFormat="1" ht="18" customHeight="1">
      <c r="A186" s="658">
        <v>131</v>
      </c>
      <c r="B186" s="1414"/>
      <c r="C186" s="1415"/>
      <c r="D186" s="1416" t="s">
        <v>312</v>
      </c>
      <c r="E186" s="1417"/>
      <c r="F186" s="1417"/>
      <c r="G186" s="1418"/>
      <c r="H186" s="1419"/>
      <c r="I186" s="1409">
        <f>SUM(J186:N186)</f>
        <v>80578</v>
      </c>
      <c r="J186" s="1410"/>
      <c r="K186" s="1410"/>
      <c r="L186" s="1410">
        <v>80578</v>
      </c>
      <c r="M186" s="1410"/>
      <c r="N186" s="1411"/>
    </row>
    <row r="187" spans="1:14" s="8" customFormat="1" ht="22.5" customHeight="1">
      <c r="A187" s="658">
        <v>132</v>
      </c>
      <c r="B187" s="167"/>
      <c r="C187" s="163">
        <v>57</v>
      </c>
      <c r="D187" s="650" t="s">
        <v>484</v>
      </c>
      <c r="E187" s="165">
        <v>937</v>
      </c>
      <c r="F187" s="165">
        <v>3840</v>
      </c>
      <c r="G187" s="166">
        <v>6743</v>
      </c>
      <c r="H187" s="673" t="s">
        <v>24</v>
      </c>
      <c r="I187" s="638"/>
      <c r="J187" s="170"/>
      <c r="K187" s="170"/>
      <c r="L187" s="170"/>
      <c r="M187" s="170"/>
      <c r="N187" s="171"/>
    </row>
    <row r="188" spans="1:14" s="1420" customFormat="1" ht="18" customHeight="1">
      <c r="A188" s="658">
        <v>133</v>
      </c>
      <c r="B188" s="1414"/>
      <c r="C188" s="1415"/>
      <c r="D188" s="1416" t="s">
        <v>312</v>
      </c>
      <c r="E188" s="1417"/>
      <c r="F188" s="1417"/>
      <c r="G188" s="1418"/>
      <c r="H188" s="1419"/>
      <c r="I188" s="1409">
        <f>SUM(J188:N188)</f>
        <v>3264</v>
      </c>
      <c r="J188" s="1410"/>
      <c r="K188" s="1410"/>
      <c r="L188" s="1410"/>
      <c r="M188" s="1410"/>
      <c r="N188" s="1411">
        <v>3264</v>
      </c>
    </row>
    <row r="189" spans="1:14" s="8" customFormat="1" ht="22.5" customHeight="1">
      <c r="A189" s="658">
        <v>134</v>
      </c>
      <c r="B189" s="167"/>
      <c r="C189" s="163">
        <v>58</v>
      </c>
      <c r="D189" s="650" t="s">
        <v>485</v>
      </c>
      <c r="E189" s="165">
        <v>2448</v>
      </c>
      <c r="F189" s="165">
        <v>4000</v>
      </c>
      <c r="G189" s="166">
        <v>4000</v>
      </c>
      <c r="H189" s="673" t="s">
        <v>24</v>
      </c>
      <c r="I189" s="638"/>
      <c r="J189" s="170"/>
      <c r="K189" s="170"/>
      <c r="L189" s="170"/>
      <c r="M189" s="170"/>
      <c r="N189" s="171"/>
    </row>
    <row r="190" spans="1:14" s="1420" customFormat="1" ht="18" customHeight="1">
      <c r="A190" s="658">
        <v>135</v>
      </c>
      <c r="B190" s="1414"/>
      <c r="C190" s="1415"/>
      <c r="D190" s="1416" t="s">
        <v>312</v>
      </c>
      <c r="E190" s="1417"/>
      <c r="F190" s="1417"/>
      <c r="G190" s="1418"/>
      <c r="H190" s="1419"/>
      <c r="I190" s="1409">
        <f>SUM(J190:N190)</f>
        <v>3400</v>
      </c>
      <c r="J190" s="1410"/>
      <c r="K190" s="1410"/>
      <c r="L190" s="1410"/>
      <c r="M190" s="1410"/>
      <c r="N190" s="1411">
        <v>3400</v>
      </c>
    </row>
    <row r="191" spans="1:16" s="3" customFormat="1" ht="22.5" customHeight="1">
      <c r="A191" s="658">
        <v>136</v>
      </c>
      <c r="B191" s="162"/>
      <c r="C191" s="163">
        <v>59</v>
      </c>
      <c r="D191" s="651" t="s">
        <v>80</v>
      </c>
      <c r="E191" s="165">
        <v>1700</v>
      </c>
      <c r="F191" s="165">
        <v>1700</v>
      </c>
      <c r="G191" s="166">
        <v>1700</v>
      </c>
      <c r="H191" s="673" t="s">
        <v>24</v>
      </c>
      <c r="I191" s="638"/>
      <c r="J191" s="170"/>
      <c r="K191" s="170"/>
      <c r="L191" s="170"/>
      <c r="M191" s="170"/>
      <c r="N191" s="171"/>
      <c r="P191" s="8"/>
    </row>
    <row r="192" spans="1:14" s="1420" customFormat="1" ht="18" customHeight="1">
      <c r="A192" s="658">
        <v>137</v>
      </c>
      <c r="B192" s="1414"/>
      <c r="C192" s="1415"/>
      <c r="D192" s="1416" t="s">
        <v>312</v>
      </c>
      <c r="E192" s="1417"/>
      <c r="F192" s="1417"/>
      <c r="G192" s="1418"/>
      <c r="H192" s="1419"/>
      <c r="I192" s="1409">
        <f>SUM(J192:N192)</f>
        <v>1445</v>
      </c>
      <c r="J192" s="1410"/>
      <c r="K192" s="1410"/>
      <c r="L192" s="1410">
        <v>1445</v>
      </c>
      <c r="M192" s="1410"/>
      <c r="N192" s="1411"/>
    </row>
    <row r="193" spans="1:16" s="3" customFormat="1" ht="22.5" customHeight="1">
      <c r="A193" s="658">
        <v>138</v>
      </c>
      <c r="B193" s="162"/>
      <c r="C193" s="163">
        <v>60</v>
      </c>
      <c r="D193" s="651" t="s">
        <v>453</v>
      </c>
      <c r="E193" s="165"/>
      <c r="F193" s="165">
        <v>1000</v>
      </c>
      <c r="G193" s="166">
        <v>2519</v>
      </c>
      <c r="H193" s="673" t="s">
        <v>24</v>
      </c>
      <c r="I193" s="638"/>
      <c r="J193" s="170"/>
      <c r="K193" s="170"/>
      <c r="L193" s="170"/>
      <c r="M193" s="170"/>
      <c r="N193" s="171"/>
      <c r="P193" s="8"/>
    </row>
    <row r="194" spans="1:14" s="1420" customFormat="1" ht="18" customHeight="1">
      <c r="A194" s="658">
        <v>139</v>
      </c>
      <c r="B194" s="1414"/>
      <c r="C194" s="1415"/>
      <c r="D194" s="1416" t="s">
        <v>312</v>
      </c>
      <c r="E194" s="1417"/>
      <c r="F194" s="1417"/>
      <c r="G194" s="1418"/>
      <c r="H194" s="1419"/>
      <c r="I194" s="1409">
        <f>SUM(J194:N194)</f>
        <v>850</v>
      </c>
      <c r="J194" s="1410"/>
      <c r="K194" s="1410"/>
      <c r="L194" s="1410">
        <v>850</v>
      </c>
      <c r="M194" s="1410"/>
      <c r="N194" s="1411"/>
    </row>
    <row r="195" spans="1:16" s="3" customFormat="1" ht="22.5" customHeight="1">
      <c r="A195" s="658">
        <v>140</v>
      </c>
      <c r="B195" s="162"/>
      <c r="C195" s="163">
        <v>61</v>
      </c>
      <c r="D195" s="651" t="s">
        <v>81</v>
      </c>
      <c r="E195" s="165">
        <v>1000</v>
      </c>
      <c r="F195" s="165">
        <v>1000</v>
      </c>
      <c r="G195" s="166">
        <v>1000</v>
      </c>
      <c r="H195" s="673" t="s">
        <v>24</v>
      </c>
      <c r="I195" s="638"/>
      <c r="J195" s="170"/>
      <c r="K195" s="170"/>
      <c r="L195" s="170"/>
      <c r="M195" s="170"/>
      <c r="N195" s="171"/>
      <c r="P195" s="8"/>
    </row>
    <row r="196" spans="1:14" s="1420" customFormat="1" ht="18" customHeight="1">
      <c r="A196" s="658">
        <v>141</v>
      </c>
      <c r="B196" s="1414"/>
      <c r="C196" s="1415"/>
      <c r="D196" s="1416" t="s">
        <v>312</v>
      </c>
      <c r="E196" s="1417"/>
      <c r="F196" s="1417"/>
      <c r="G196" s="1418"/>
      <c r="H196" s="1419"/>
      <c r="I196" s="1409">
        <f>SUM(J196:N196)</f>
        <v>850</v>
      </c>
      <c r="J196" s="1410"/>
      <c r="K196" s="1410"/>
      <c r="L196" s="1410">
        <v>850</v>
      </c>
      <c r="M196" s="1410"/>
      <c r="N196" s="1411"/>
    </row>
    <row r="197" spans="1:14" s="8" customFormat="1" ht="18" customHeight="1">
      <c r="A197" s="658">
        <v>142</v>
      </c>
      <c r="B197" s="167"/>
      <c r="C197" s="168">
        <v>62</v>
      </c>
      <c r="D197" s="651" t="s">
        <v>857</v>
      </c>
      <c r="E197" s="165"/>
      <c r="F197" s="165"/>
      <c r="G197" s="166"/>
      <c r="H197" s="673" t="s">
        <v>24</v>
      </c>
      <c r="I197" s="638"/>
      <c r="J197" s="170"/>
      <c r="K197" s="170"/>
      <c r="L197" s="170"/>
      <c r="M197" s="170"/>
      <c r="N197" s="171"/>
    </row>
    <row r="198" spans="1:14" s="1420" customFormat="1" ht="18" customHeight="1">
      <c r="A198" s="658">
        <v>143</v>
      </c>
      <c r="B198" s="1414"/>
      <c r="C198" s="1415"/>
      <c r="D198" s="1416" t="s">
        <v>312</v>
      </c>
      <c r="E198" s="1417"/>
      <c r="F198" s="1417"/>
      <c r="G198" s="1418"/>
      <c r="H198" s="1419"/>
      <c r="I198" s="1409">
        <f>SUM(J198:N198)</f>
        <v>1275</v>
      </c>
      <c r="J198" s="1410"/>
      <c r="K198" s="1410"/>
      <c r="L198" s="1410"/>
      <c r="M198" s="1410"/>
      <c r="N198" s="1411">
        <v>1275</v>
      </c>
    </row>
    <row r="199" spans="1:16" s="3" customFormat="1" ht="22.5" customHeight="1">
      <c r="A199" s="658">
        <v>144</v>
      </c>
      <c r="B199" s="162"/>
      <c r="C199" s="163">
        <v>63</v>
      </c>
      <c r="D199" s="651" t="s">
        <v>82</v>
      </c>
      <c r="E199" s="165">
        <v>4958</v>
      </c>
      <c r="F199" s="165">
        <v>5500</v>
      </c>
      <c r="G199" s="166">
        <v>6042</v>
      </c>
      <c r="H199" s="673" t="s">
        <v>23</v>
      </c>
      <c r="I199" s="638"/>
      <c r="J199" s="170"/>
      <c r="K199" s="170"/>
      <c r="L199" s="170"/>
      <c r="M199" s="170"/>
      <c r="N199" s="171"/>
      <c r="P199" s="8"/>
    </row>
    <row r="200" spans="1:14" s="1420" customFormat="1" ht="18" customHeight="1">
      <c r="A200" s="658">
        <v>145</v>
      </c>
      <c r="B200" s="1414"/>
      <c r="C200" s="1415"/>
      <c r="D200" s="1416" t="s">
        <v>312</v>
      </c>
      <c r="E200" s="1417"/>
      <c r="F200" s="1417"/>
      <c r="G200" s="1418"/>
      <c r="H200" s="1419"/>
      <c r="I200" s="1409">
        <f>SUM(J200:N200)</f>
        <v>5500</v>
      </c>
      <c r="J200" s="1410"/>
      <c r="K200" s="1410"/>
      <c r="L200" s="1410">
        <v>5500</v>
      </c>
      <c r="M200" s="1410"/>
      <c r="N200" s="1411"/>
    </row>
    <row r="201" spans="1:16" s="3" customFormat="1" ht="22.5" customHeight="1">
      <c r="A201" s="658">
        <v>146</v>
      </c>
      <c r="B201" s="162"/>
      <c r="C201" s="163">
        <v>64</v>
      </c>
      <c r="D201" s="651" t="s">
        <v>83</v>
      </c>
      <c r="E201" s="165">
        <v>4500</v>
      </c>
      <c r="F201" s="165">
        <v>4800</v>
      </c>
      <c r="G201" s="166">
        <v>5400</v>
      </c>
      <c r="H201" s="673" t="s">
        <v>23</v>
      </c>
      <c r="I201" s="638"/>
      <c r="J201" s="170"/>
      <c r="K201" s="170"/>
      <c r="L201" s="170"/>
      <c r="M201" s="170"/>
      <c r="N201" s="171"/>
      <c r="P201" s="8"/>
    </row>
    <row r="202" spans="1:14" s="1420" customFormat="1" ht="18" customHeight="1">
      <c r="A202" s="658">
        <v>147</v>
      </c>
      <c r="B202" s="1414"/>
      <c r="C202" s="1415"/>
      <c r="D202" s="1416" t="s">
        <v>312</v>
      </c>
      <c r="E202" s="1417"/>
      <c r="F202" s="1417"/>
      <c r="G202" s="1418"/>
      <c r="H202" s="1419"/>
      <c r="I202" s="1409">
        <f>SUM(J202:N202)</f>
        <v>5200</v>
      </c>
      <c r="J202" s="1410"/>
      <c r="K202" s="1410"/>
      <c r="L202" s="1410">
        <v>5200</v>
      </c>
      <c r="M202" s="1410"/>
      <c r="N202" s="1411"/>
    </row>
    <row r="203" spans="1:16" s="3" customFormat="1" ht="22.5" customHeight="1">
      <c r="A203" s="658">
        <v>148</v>
      </c>
      <c r="B203" s="162"/>
      <c r="C203" s="163">
        <v>65</v>
      </c>
      <c r="D203" s="651" t="s">
        <v>84</v>
      </c>
      <c r="E203" s="165">
        <v>1391</v>
      </c>
      <c r="F203" s="165">
        <v>2845</v>
      </c>
      <c r="G203" s="166">
        <v>8642</v>
      </c>
      <c r="H203" s="673" t="s">
        <v>24</v>
      </c>
      <c r="I203" s="638"/>
      <c r="J203" s="170"/>
      <c r="K203" s="170"/>
      <c r="L203" s="170"/>
      <c r="M203" s="170"/>
      <c r="N203" s="171"/>
      <c r="P203" s="8"/>
    </row>
    <row r="204" spans="1:14" s="1420" customFormat="1" ht="18" customHeight="1">
      <c r="A204" s="658">
        <v>149</v>
      </c>
      <c r="B204" s="1414"/>
      <c r="C204" s="1415"/>
      <c r="D204" s="1416" t="s">
        <v>312</v>
      </c>
      <c r="E204" s="1417"/>
      <c r="F204" s="1417"/>
      <c r="G204" s="1418"/>
      <c r="H204" s="1419"/>
      <c r="I204" s="1409">
        <f>SUM(J204:N204)</f>
        <v>2418</v>
      </c>
      <c r="J204" s="1410"/>
      <c r="K204" s="1410"/>
      <c r="L204" s="1410">
        <v>2418</v>
      </c>
      <c r="M204" s="1410"/>
      <c r="N204" s="1411"/>
    </row>
    <row r="205" spans="1:16" s="3" customFormat="1" ht="22.5" customHeight="1">
      <c r="A205" s="658">
        <v>150</v>
      </c>
      <c r="B205" s="162"/>
      <c r="C205" s="163">
        <v>66</v>
      </c>
      <c r="D205" s="651" t="s">
        <v>85</v>
      </c>
      <c r="E205" s="165">
        <v>189681</v>
      </c>
      <c r="F205" s="165">
        <v>218519</v>
      </c>
      <c r="G205" s="166">
        <v>250366</v>
      </c>
      <c r="H205" s="673" t="s">
        <v>23</v>
      </c>
      <c r="I205" s="638"/>
      <c r="J205" s="170"/>
      <c r="K205" s="170"/>
      <c r="L205" s="170"/>
      <c r="M205" s="170"/>
      <c r="N205" s="171"/>
      <c r="P205" s="8"/>
    </row>
    <row r="206" spans="1:14" s="1420" customFormat="1" ht="18" customHeight="1">
      <c r="A206" s="658">
        <v>151</v>
      </c>
      <c r="B206" s="1414"/>
      <c r="C206" s="1415"/>
      <c r="D206" s="1416" t="s">
        <v>312</v>
      </c>
      <c r="E206" s="1417"/>
      <c r="F206" s="1417"/>
      <c r="G206" s="1418"/>
      <c r="H206" s="1419"/>
      <c r="I206" s="1409">
        <f>SUM(J206:N206)</f>
        <v>255180</v>
      </c>
      <c r="J206" s="1410">
        <v>153862</v>
      </c>
      <c r="K206" s="1410">
        <v>26611</v>
      </c>
      <c r="L206" s="1410">
        <f>77707-3000</f>
        <v>74707</v>
      </c>
      <c r="M206" s="1410"/>
      <c r="N206" s="1411"/>
    </row>
    <row r="207" spans="1:14" s="8" customFormat="1" ht="22.5" customHeight="1">
      <c r="A207" s="658">
        <v>152</v>
      </c>
      <c r="B207" s="167"/>
      <c r="C207" s="163">
        <v>67</v>
      </c>
      <c r="D207" s="650" t="s">
        <v>454</v>
      </c>
      <c r="E207" s="165">
        <v>180</v>
      </c>
      <c r="F207" s="165">
        <v>180</v>
      </c>
      <c r="G207" s="166">
        <v>180</v>
      </c>
      <c r="H207" s="673" t="s">
        <v>23</v>
      </c>
      <c r="I207" s="638"/>
      <c r="J207" s="170"/>
      <c r="K207" s="170"/>
      <c r="L207" s="170"/>
      <c r="M207" s="170"/>
      <c r="N207" s="171"/>
    </row>
    <row r="208" spans="1:14" s="1420" customFormat="1" ht="18" customHeight="1">
      <c r="A208" s="658">
        <v>153</v>
      </c>
      <c r="B208" s="1414"/>
      <c r="C208" s="1415"/>
      <c r="D208" s="1416" t="s">
        <v>312</v>
      </c>
      <c r="E208" s="1417"/>
      <c r="F208" s="1417"/>
      <c r="G208" s="1418"/>
      <c r="H208" s="1419"/>
      <c r="I208" s="1409">
        <f>SUM(J208:N208)</f>
        <v>180</v>
      </c>
      <c r="J208" s="1410"/>
      <c r="K208" s="1410"/>
      <c r="L208" s="1410">
        <v>180</v>
      </c>
      <c r="M208" s="1410"/>
      <c r="N208" s="1411"/>
    </row>
    <row r="209" spans="1:16" s="3" customFormat="1" ht="22.5" customHeight="1">
      <c r="A209" s="658">
        <v>154</v>
      </c>
      <c r="B209" s="162"/>
      <c r="C209" s="163">
        <v>68</v>
      </c>
      <c r="D209" s="651" t="s">
        <v>86</v>
      </c>
      <c r="E209" s="165">
        <v>7276</v>
      </c>
      <c r="F209" s="165">
        <v>25000</v>
      </c>
      <c r="G209" s="166">
        <v>206052</v>
      </c>
      <c r="H209" s="673" t="s">
        <v>23</v>
      </c>
      <c r="I209" s="638"/>
      <c r="J209" s="170"/>
      <c r="K209" s="170"/>
      <c r="L209" s="170"/>
      <c r="M209" s="170"/>
      <c r="N209" s="171"/>
      <c r="P209" s="8"/>
    </row>
    <row r="210" spans="1:14" s="1420" customFormat="1" ht="18" customHeight="1">
      <c r="A210" s="658">
        <v>155</v>
      </c>
      <c r="B210" s="1439"/>
      <c r="C210" s="1415"/>
      <c r="D210" s="1416" t="s">
        <v>312</v>
      </c>
      <c r="E210" s="1422"/>
      <c r="F210" s="1422"/>
      <c r="G210" s="1423"/>
      <c r="H210" s="1424"/>
      <c r="I210" s="1409">
        <f>SUM(J210:N210)</f>
        <v>54536</v>
      </c>
      <c r="J210" s="1425"/>
      <c r="K210" s="1425"/>
      <c r="L210" s="1425"/>
      <c r="M210" s="1425"/>
      <c r="N210" s="1426">
        <f>54541-5</f>
        <v>54536</v>
      </c>
    </row>
    <row r="211" spans="1:16" s="3" customFormat="1" ht="22.5" customHeight="1">
      <c r="A211" s="658">
        <v>156</v>
      </c>
      <c r="B211" s="162"/>
      <c r="C211" s="163">
        <v>69</v>
      </c>
      <c r="D211" s="651" t="s">
        <v>87</v>
      </c>
      <c r="E211" s="165">
        <v>121137</v>
      </c>
      <c r="F211" s="165">
        <v>136877</v>
      </c>
      <c r="G211" s="166">
        <v>249811</v>
      </c>
      <c r="H211" s="673" t="s">
        <v>23</v>
      </c>
      <c r="I211" s="638"/>
      <c r="J211" s="170"/>
      <c r="K211" s="170"/>
      <c r="L211" s="170"/>
      <c r="M211" s="170"/>
      <c r="N211" s="171"/>
      <c r="P211" s="8"/>
    </row>
    <row r="212" spans="1:14" s="1420" customFormat="1" ht="18" customHeight="1">
      <c r="A212" s="658">
        <v>157</v>
      </c>
      <c r="B212" s="1414"/>
      <c r="C212" s="1415"/>
      <c r="D212" s="1416" t="s">
        <v>312</v>
      </c>
      <c r="E212" s="1417"/>
      <c r="F212" s="1417"/>
      <c r="G212" s="1418"/>
      <c r="H212" s="1419"/>
      <c r="I212" s="1409">
        <f>SUM(J212:N212)</f>
        <v>158489</v>
      </c>
      <c r="J212" s="1410"/>
      <c r="K212" s="1410"/>
      <c r="L212" s="1410">
        <v>158489</v>
      </c>
      <c r="M212" s="1410"/>
      <c r="N212" s="1411"/>
    </row>
    <row r="213" spans="1:16" s="3" customFormat="1" ht="22.5" customHeight="1">
      <c r="A213" s="658">
        <v>158</v>
      </c>
      <c r="B213" s="162"/>
      <c r="C213" s="163">
        <v>70</v>
      </c>
      <c r="D213" s="651" t="s">
        <v>88</v>
      </c>
      <c r="E213" s="165">
        <v>15166</v>
      </c>
      <c r="F213" s="165">
        <v>16687</v>
      </c>
      <c r="G213" s="166">
        <v>18073</v>
      </c>
      <c r="H213" s="673" t="s">
        <v>24</v>
      </c>
      <c r="I213" s="638"/>
      <c r="J213" s="170"/>
      <c r="K213" s="170"/>
      <c r="L213" s="170"/>
      <c r="M213" s="170"/>
      <c r="N213" s="171"/>
      <c r="P213" s="8"/>
    </row>
    <row r="214" spans="1:14" s="1420" customFormat="1" ht="18" customHeight="1">
      <c r="A214" s="658">
        <v>159</v>
      </c>
      <c r="B214" s="1414"/>
      <c r="C214" s="1415"/>
      <c r="D214" s="1416" t="s">
        <v>312</v>
      </c>
      <c r="E214" s="1417"/>
      <c r="F214" s="1417"/>
      <c r="G214" s="1418"/>
      <c r="H214" s="1419"/>
      <c r="I214" s="1409">
        <f>SUM(J214:N214)</f>
        <v>40583</v>
      </c>
      <c r="J214" s="1410"/>
      <c r="K214" s="1410"/>
      <c r="L214" s="1410">
        <v>40583</v>
      </c>
      <c r="M214" s="1410"/>
      <c r="N214" s="1411"/>
    </row>
    <row r="215" spans="1:14" s="8" customFormat="1" ht="22.5" customHeight="1">
      <c r="A215" s="658">
        <v>160</v>
      </c>
      <c r="B215" s="167"/>
      <c r="C215" s="163">
        <v>71</v>
      </c>
      <c r="D215" s="650" t="s">
        <v>455</v>
      </c>
      <c r="E215" s="165">
        <v>244205</v>
      </c>
      <c r="F215" s="165">
        <v>306766</v>
      </c>
      <c r="G215" s="166">
        <v>306766</v>
      </c>
      <c r="H215" s="673" t="s">
        <v>23</v>
      </c>
      <c r="I215" s="638"/>
      <c r="J215" s="170"/>
      <c r="K215" s="170"/>
      <c r="L215" s="170"/>
      <c r="M215" s="170"/>
      <c r="N215" s="171"/>
    </row>
    <row r="216" spans="1:14" s="1420" customFormat="1" ht="18" customHeight="1">
      <c r="A216" s="658">
        <v>161</v>
      </c>
      <c r="B216" s="1414"/>
      <c r="C216" s="1415"/>
      <c r="D216" s="1416" t="s">
        <v>312</v>
      </c>
      <c r="E216" s="1417"/>
      <c r="F216" s="1417"/>
      <c r="G216" s="1418"/>
      <c r="H216" s="1419"/>
      <c r="I216" s="1409">
        <f>SUM(J216:N216)</f>
        <v>394879</v>
      </c>
      <c r="J216" s="1410"/>
      <c r="K216" s="1410"/>
      <c r="L216" s="1410"/>
      <c r="M216" s="1410"/>
      <c r="N216" s="1411">
        <v>394879</v>
      </c>
    </row>
    <row r="217" spans="1:16" s="3" customFormat="1" ht="22.5" customHeight="1">
      <c r="A217" s="658">
        <v>162</v>
      </c>
      <c r="B217" s="162"/>
      <c r="C217" s="163">
        <v>72</v>
      </c>
      <c r="D217" s="651" t="s">
        <v>90</v>
      </c>
      <c r="E217" s="165">
        <v>5300</v>
      </c>
      <c r="F217" s="165">
        <v>15000</v>
      </c>
      <c r="G217" s="166">
        <v>15000</v>
      </c>
      <c r="H217" s="673" t="s">
        <v>24</v>
      </c>
      <c r="I217" s="638"/>
      <c r="J217" s="170"/>
      <c r="K217" s="170"/>
      <c r="L217" s="170"/>
      <c r="M217" s="170"/>
      <c r="N217" s="171"/>
      <c r="P217" s="8"/>
    </row>
    <row r="218" spans="1:14" s="1420" customFormat="1" ht="18" customHeight="1">
      <c r="A218" s="658">
        <v>163</v>
      </c>
      <c r="B218" s="1414"/>
      <c r="C218" s="1415"/>
      <c r="D218" s="1416" t="s">
        <v>312</v>
      </c>
      <c r="E218" s="1417"/>
      <c r="F218" s="1417"/>
      <c r="G218" s="1418"/>
      <c r="H218" s="1419"/>
      <c r="I218" s="1409">
        <f>SUM(J218:N218)</f>
        <v>12750</v>
      </c>
      <c r="J218" s="1410"/>
      <c r="K218" s="1410"/>
      <c r="L218" s="1410"/>
      <c r="M218" s="1410"/>
      <c r="N218" s="1411">
        <v>12750</v>
      </c>
    </row>
    <row r="219" spans="1:16" s="3" customFormat="1" ht="22.5" customHeight="1">
      <c r="A219" s="658">
        <v>164</v>
      </c>
      <c r="B219" s="162"/>
      <c r="C219" s="163">
        <v>73</v>
      </c>
      <c r="D219" s="654" t="s">
        <v>456</v>
      </c>
      <c r="E219" s="165">
        <v>305180</v>
      </c>
      <c r="F219" s="165">
        <v>160000</v>
      </c>
      <c r="G219" s="166">
        <v>135941</v>
      </c>
      <c r="H219" s="673" t="s">
        <v>23</v>
      </c>
      <c r="I219" s="638"/>
      <c r="J219" s="170"/>
      <c r="K219" s="170"/>
      <c r="L219" s="170"/>
      <c r="M219" s="170"/>
      <c r="N219" s="171"/>
      <c r="P219" s="8"/>
    </row>
    <row r="220" spans="1:14" s="1420" customFormat="1" ht="18" customHeight="1">
      <c r="A220" s="658">
        <v>165</v>
      </c>
      <c r="B220" s="1414"/>
      <c r="C220" s="1415"/>
      <c r="D220" s="1416" t="s">
        <v>312</v>
      </c>
      <c r="E220" s="1417"/>
      <c r="F220" s="1417"/>
      <c r="G220" s="1418"/>
      <c r="H220" s="1419"/>
      <c r="I220" s="1409">
        <f>SUM(J220:N220)</f>
        <v>70760</v>
      </c>
      <c r="J220" s="1410"/>
      <c r="K220" s="1410"/>
      <c r="L220" s="1410"/>
      <c r="M220" s="1410"/>
      <c r="N220" s="1411">
        <v>70760</v>
      </c>
    </row>
    <row r="221" spans="1:16" s="3" customFormat="1" ht="22.5" customHeight="1">
      <c r="A221" s="658">
        <v>166</v>
      </c>
      <c r="B221" s="162"/>
      <c r="C221" s="163">
        <v>74</v>
      </c>
      <c r="D221" s="651" t="s">
        <v>93</v>
      </c>
      <c r="E221" s="165">
        <v>74000</v>
      </c>
      <c r="F221" s="165">
        <v>70000</v>
      </c>
      <c r="G221" s="166">
        <v>70500</v>
      </c>
      <c r="H221" s="673" t="s">
        <v>24</v>
      </c>
      <c r="I221" s="638"/>
      <c r="J221" s="170"/>
      <c r="K221" s="170"/>
      <c r="L221" s="170"/>
      <c r="M221" s="170"/>
      <c r="N221" s="171"/>
      <c r="P221" s="8"/>
    </row>
    <row r="222" spans="1:14" s="1420" customFormat="1" ht="18" customHeight="1">
      <c r="A222" s="658">
        <v>167</v>
      </c>
      <c r="B222" s="1414"/>
      <c r="C222" s="1415"/>
      <c r="D222" s="1416" t="s">
        <v>312</v>
      </c>
      <c r="E222" s="1417"/>
      <c r="F222" s="1417"/>
      <c r="G222" s="1418"/>
      <c r="H222" s="1419"/>
      <c r="I222" s="1409">
        <f>SUM(J222:N222)</f>
        <v>29500</v>
      </c>
      <c r="J222" s="1410"/>
      <c r="K222" s="1410"/>
      <c r="L222" s="1410"/>
      <c r="M222" s="1410"/>
      <c r="N222" s="1411">
        <v>29500</v>
      </c>
    </row>
    <row r="223" spans="1:16" s="3" customFormat="1" ht="22.5" customHeight="1">
      <c r="A223" s="658">
        <v>168</v>
      </c>
      <c r="B223" s="162"/>
      <c r="C223" s="163">
        <v>75</v>
      </c>
      <c r="D223" s="651" t="s">
        <v>94</v>
      </c>
      <c r="E223" s="165">
        <v>100000</v>
      </c>
      <c r="F223" s="165">
        <v>128000</v>
      </c>
      <c r="G223" s="166">
        <v>128000</v>
      </c>
      <c r="H223" s="673" t="s">
        <v>24</v>
      </c>
      <c r="I223" s="638"/>
      <c r="J223" s="170"/>
      <c r="K223" s="170"/>
      <c r="L223" s="170"/>
      <c r="M223" s="170"/>
      <c r="N223" s="171"/>
      <c r="P223" s="8"/>
    </row>
    <row r="224" spans="1:14" s="1420" customFormat="1" ht="18" customHeight="1">
      <c r="A224" s="658">
        <v>169</v>
      </c>
      <c r="B224" s="1414"/>
      <c r="C224" s="1415"/>
      <c r="D224" s="1416" t="s">
        <v>312</v>
      </c>
      <c r="E224" s="1417"/>
      <c r="F224" s="1417"/>
      <c r="G224" s="1418"/>
      <c r="H224" s="1419"/>
      <c r="I224" s="1409">
        <f>SUM(J224:N224)</f>
        <v>103000</v>
      </c>
      <c r="J224" s="1410"/>
      <c r="K224" s="1410"/>
      <c r="L224" s="1410"/>
      <c r="M224" s="1410"/>
      <c r="N224" s="1411">
        <v>103000</v>
      </c>
    </row>
    <row r="225" spans="1:16" s="3" customFormat="1" ht="22.5" customHeight="1">
      <c r="A225" s="658">
        <v>170</v>
      </c>
      <c r="B225" s="162"/>
      <c r="C225" s="163">
        <v>76</v>
      </c>
      <c r="D225" s="651" t="s">
        <v>95</v>
      </c>
      <c r="E225" s="165"/>
      <c r="F225" s="165"/>
      <c r="G225" s="166">
        <v>1697</v>
      </c>
      <c r="H225" s="673" t="s">
        <v>24</v>
      </c>
      <c r="I225" s="638"/>
      <c r="J225" s="170"/>
      <c r="K225" s="170"/>
      <c r="L225" s="170"/>
      <c r="M225" s="170"/>
      <c r="N225" s="171"/>
      <c r="P225" s="8"/>
    </row>
    <row r="226" spans="1:14" s="1420" customFormat="1" ht="18" customHeight="1">
      <c r="A226" s="658">
        <v>171</v>
      </c>
      <c r="B226" s="1414"/>
      <c r="C226" s="1415"/>
      <c r="D226" s="1416" t="s">
        <v>312</v>
      </c>
      <c r="E226" s="1417"/>
      <c r="F226" s="1417"/>
      <c r="G226" s="1418"/>
      <c r="H226" s="1419"/>
      <c r="I226" s="1409">
        <f>SUM(J226:N226)</f>
        <v>224944</v>
      </c>
      <c r="J226" s="1410"/>
      <c r="K226" s="1410"/>
      <c r="L226" s="1410">
        <v>224944</v>
      </c>
      <c r="M226" s="1410"/>
      <c r="N226" s="1411"/>
    </row>
    <row r="227" spans="1:16" s="3" customFormat="1" ht="22.5" customHeight="1">
      <c r="A227" s="658">
        <v>172</v>
      </c>
      <c r="B227" s="162"/>
      <c r="C227" s="163">
        <v>77</v>
      </c>
      <c r="D227" s="651" t="s">
        <v>96</v>
      </c>
      <c r="E227" s="165">
        <v>22339</v>
      </c>
      <c r="F227" s="165">
        <v>22000</v>
      </c>
      <c r="G227" s="166">
        <v>22922</v>
      </c>
      <c r="H227" s="673" t="s">
        <v>24</v>
      </c>
      <c r="I227" s="638"/>
      <c r="J227" s="170"/>
      <c r="K227" s="170"/>
      <c r="L227" s="170"/>
      <c r="M227" s="170"/>
      <c r="N227" s="171"/>
      <c r="P227" s="8"/>
    </row>
    <row r="228" spans="1:14" s="1420" customFormat="1" ht="18" customHeight="1">
      <c r="A228" s="658">
        <v>173</v>
      </c>
      <c r="B228" s="1414"/>
      <c r="C228" s="1415"/>
      <c r="D228" s="1416" t="s">
        <v>312</v>
      </c>
      <c r="E228" s="1417"/>
      <c r="F228" s="1417"/>
      <c r="G228" s="1418"/>
      <c r="H228" s="1419"/>
      <c r="I228" s="1409">
        <f>SUM(J228:N228)</f>
        <v>22000</v>
      </c>
      <c r="J228" s="1410"/>
      <c r="K228" s="1410"/>
      <c r="L228" s="1410">
        <v>22000</v>
      </c>
      <c r="M228" s="1410"/>
      <c r="N228" s="1411"/>
    </row>
    <row r="229" spans="1:16" s="3" customFormat="1" ht="22.5" customHeight="1" hidden="1">
      <c r="A229" s="658">
        <v>176</v>
      </c>
      <c r="B229" s="162"/>
      <c r="C229" s="163">
        <v>78</v>
      </c>
      <c r="D229" s="651" t="s">
        <v>97</v>
      </c>
      <c r="E229" s="165">
        <v>38110</v>
      </c>
      <c r="F229" s="165">
        <v>19000</v>
      </c>
      <c r="G229" s="166">
        <v>22225</v>
      </c>
      <c r="H229" s="673" t="s">
        <v>24</v>
      </c>
      <c r="I229" s="638"/>
      <c r="J229" s="170"/>
      <c r="K229" s="170"/>
      <c r="L229" s="170"/>
      <c r="M229" s="170"/>
      <c r="N229" s="171"/>
      <c r="P229" s="8"/>
    </row>
    <row r="230" spans="1:14" s="8" customFormat="1" ht="18" customHeight="1" hidden="1">
      <c r="A230" s="658">
        <v>177</v>
      </c>
      <c r="B230" s="167"/>
      <c r="C230" s="168"/>
      <c r="D230" s="169" t="s">
        <v>312</v>
      </c>
      <c r="E230" s="165"/>
      <c r="F230" s="165"/>
      <c r="G230" s="166"/>
      <c r="H230" s="673"/>
      <c r="I230" s="638">
        <f>SUM(J230:N230)</f>
        <v>0</v>
      </c>
      <c r="J230" s="170"/>
      <c r="K230" s="170"/>
      <c r="L230" s="170"/>
      <c r="M230" s="170"/>
      <c r="N230" s="171"/>
    </row>
    <row r="231" spans="1:14" s="8" customFormat="1" ht="22.5" customHeight="1" hidden="1">
      <c r="A231" s="658">
        <v>178</v>
      </c>
      <c r="B231" s="167"/>
      <c r="C231" s="163">
        <v>79</v>
      </c>
      <c r="D231" s="650" t="s">
        <v>486</v>
      </c>
      <c r="E231" s="165"/>
      <c r="F231" s="165"/>
      <c r="G231" s="166">
        <v>2000</v>
      </c>
      <c r="H231" s="673" t="s">
        <v>24</v>
      </c>
      <c r="I231" s="638"/>
      <c r="J231" s="170"/>
      <c r="K231" s="170"/>
      <c r="L231" s="170"/>
      <c r="M231" s="170"/>
      <c r="N231" s="171"/>
    </row>
    <row r="232" spans="1:14" s="8" customFormat="1" ht="18" customHeight="1" hidden="1">
      <c r="A232" s="658">
        <v>179</v>
      </c>
      <c r="B232" s="167"/>
      <c r="C232" s="168"/>
      <c r="D232" s="169" t="s">
        <v>312</v>
      </c>
      <c r="E232" s="165"/>
      <c r="F232" s="165"/>
      <c r="G232" s="166"/>
      <c r="H232" s="673"/>
      <c r="I232" s="638">
        <f>SUM(J232:N232)</f>
        <v>0</v>
      </c>
      <c r="J232" s="170"/>
      <c r="K232" s="170"/>
      <c r="L232" s="170"/>
      <c r="M232" s="170"/>
      <c r="N232" s="171"/>
    </row>
    <row r="233" spans="1:16" s="3" customFormat="1" ht="22.5" customHeight="1">
      <c r="A233" s="658">
        <v>174</v>
      </c>
      <c r="B233" s="162"/>
      <c r="C233" s="163">
        <v>80</v>
      </c>
      <c r="D233" s="651" t="s">
        <v>258</v>
      </c>
      <c r="E233" s="165">
        <v>38100</v>
      </c>
      <c r="F233" s="165">
        <v>38100</v>
      </c>
      <c r="G233" s="166">
        <v>38100</v>
      </c>
      <c r="H233" s="673" t="s">
        <v>24</v>
      </c>
      <c r="I233" s="638"/>
      <c r="J233" s="170"/>
      <c r="K233" s="170"/>
      <c r="L233" s="170"/>
      <c r="M233" s="170"/>
      <c r="N233" s="171"/>
      <c r="P233" s="8"/>
    </row>
    <row r="234" spans="1:14" s="1420" customFormat="1" ht="18" customHeight="1">
      <c r="A234" s="658">
        <v>175</v>
      </c>
      <c r="B234" s="1414"/>
      <c r="C234" s="1415"/>
      <c r="D234" s="1416" t="s">
        <v>312</v>
      </c>
      <c r="E234" s="1417"/>
      <c r="F234" s="1417"/>
      <c r="G234" s="1418"/>
      <c r="H234" s="1419"/>
      <c r="I234" s="1409">
        <f>SUM(J234:N234)</f>
        <v>38100</v>
      </c>
      <c r="J234" s="1410"/>
      <c r="K234" s="1410"/>
      <c r="L234" s="1410">
        <v>38100</v>
      </c>
      <c r="M234" s="1410"/>
      <c r="N234" s="1411"/>
    </row>
    <row r="235" spans="1:16" s="3" customFormat="1" ht="22.5" customHeight="1" hidden="1">
      <c r="A235" s="658">
        <v>178</v>
      </c>
      <c r="B235" s="162"/>
      <c r="C235" s="163">
        <v>81</v>
      </c>
      <c r="D235" s="651" t="s">
        <v>98</v>
      </c>
      <c r="E235" s="165">
        <v>61200</v>
      </c>
      <c r="F235" s="165">
        <v>78055</v>
      </c>
      <c r="G235" s="166">
        <v>41055</v>
      </c>
      <c r="H235" s="673" t="s">
        <v>24</v>
      </c>
      <c r="I235" s="638"/>
      <c r="J235" s="170"/>
      <c r="K235" s="170"/>
      <c r="L235" s="170"/>
      <c r="M235" s="170"/>
      <c r="N235" s="171"/>
      <c r="P235" s="8"/>
    </row>
    <row r="236" spans="1:14" s="8" customFormat="1" ht="18" customHeight="1" hidden="1">
      <c r="A236" s="658">
        <v>179</v>
      </c>
      <c r="B236" s="167"/>
      <c r="C236" s="168"/>
      <c r="D236" s="169" t="s">
        <v>312</v>
      </c>
      <c r="E236" s="165"/>
      <c r="F236" s="165"/>
      <c r="G236" s="166"/>
      <c r="H236" s="673"/>
      <c r="I236" s="638">
        <f>SUM(J236:N236)</f>
        <v>0</v>
      </c>
      <c r="J236" s="170"/>
      <c r="K236" s="170"/>
      <c r="L236" s="170"/>
      <c r="M236" s="170"/>
      <c r="N236" s="171"/>
    </row>
    <row r="237" spans="1:16" s="3" customFormat="1" ht="22.5" customHeight="1">
      <c r="A237" s="658">
        <v>176</v>
      </c>
      <c r="B237" s="162"/>
      <c r="C237" s="163">
        <v>82</v>
      </c>
      <c r="D237" s="651" t="s">
        <v>99</v>
      </c>
      <c r="E237" s="165">
        <v>34150</v>
      </c>
      <c r="F237" s="165">
        <v>38847</v>
      </c>
      <c r="G237" s="166">
        <v>45874</v>
      </c>
      <c r="H237" s="673" t="s">
        <v>24</v>
      </c>
      <c r="I237" s="638"/>
      <c r="J237" s="170"/>
      <c r="K237" s="170"/>
      <c r="L237" s="170"/>
      <c r="M237" s="170"/>
      <c r="N237" s="171"/>
      <c r="P237" s="8"/>
    </row>
    <row r="238" spans="1:14" s="1420" customFormat="1" ht="18" customHeight="1">
      <c r="A238" s="658">
        <v>177</v>
      </c>
      <c r="B238" s="1414"/>
      <c r="C238" s="1415"/>
      <c r="D238" s="1416" t="s">
        <v>312</v>
      </c>
      <c r="E238" s="1417"/>
      <c r="F238" s="1417"/>
      <c r="G238" s="1418"/>
      <c r="H238" s="1419"/>
      <c r="I238" s="1409">
        <f>SUM(J238:N238)</f>
        <v>34150</v>
      </c>
      <c r="J238" s="1410"/>
      <c r="K238" s="1410"/>
      <c r="L238" s="1410">
        <v>34150</v>
      </c>
      <c r="M238" s="1410"/>
      <c r="N238" s="1411"/>
    </row>
    <row r="239" spans="1:16" s="3" customFormat="1" ht="22.5" customHeight="1">
      <c r="A239" s="658">
        <v>178</v>
      </c>
      <c r="B239" s="162"/>
      <c r="C239" s="163">
        <v>83</v>
      </c>
      <c r="D239" s="655" t="s">
        <v>324</v>
      </c>
      <c r="E239" s="165">
        <v>2139</v>
      </c>
      <c r="F239" s="165">
        <v>7500</v>
      </c>
      <c r="G239" s="166">
        <v>9890</v>
      </c>
      <c r="H239" s="673" t="s">
        <v>24</v>
      </c>
      <c r="I239" s="638"/>
      <c r="J239" s="170"/>
      <c r="K239" s="170"/>
      <c r="L239" s="170"/>
      <c r="M239" s="170"/>
      <c r="N239" s="171"/>
      <c r="P239" s="8"/>
    </row>
    <row r="240" spans="1:14" s="1420" customFormat="1" ht="18" customHeight="1">
      <c r="A240" s="658">
        <v>179</v>
      </c>
      <c r="B240" s="1414"/>
      <c r="C240" s="1415"/>
      <c r="D240" s="1416" t="s">
        <v>312</v>
      </c>
      <c r="E240" s="1417"/>
      <c r="F240" s="1417"/>
      <c r="G240" s="1418"/>
      <c r="H240" s="1419"/>
      <c r="I240" s="1409">
        <f>SUM(J240:N240)</f>
        <v>5100</v>
      </c>
      <c r="J240" s="1410"/>
      <c r="K240" s="1410"/>
      <c r="L240" s="1410">
        <v>5100</v>
      </c>
      <c r="M240" s="1410"/>
      <c r="N240" s="1411"/>
    </row>
    <row r="241" spans="1:14" s="8" customFormat="1" ht="22.5" customHeight="1">
      <c r="A241" s="658">
        <v>180</v>
      </c>
      <c r="B241" s="167"/>
      <c r="C241" s="163">
        <v>84</v>
      </c>
      <c r="D241" s="650" t="s">
        <v>489</v>
      </c>
      <c r="E241" s="165">
        <v>2555</v>
      </c>
      <c r="F241" s="165"/>
      <c r="G241" s="166"/>
      <c r="H241" s="673" t="s">
        <v>24</v>
      </c>
      <c r="I241" s="638"/>
      <c r="J241" s="170"/>
      <c r="K241" s="170"/>
      <c r="L241" s="170"/>
      <c r="M241" s="170"/>
      <c r="N241" s="171"/>
    </row>
    <row r="242" spans="1:14" s="1420" customFormat="1" ht="18" customHeight="1">
      <c r="A242" s="658">
        <v>181</v>
      </c>
      <c r="B242" s="1414"/>
      <c r="C242" s="1415"/>
      <c r="D242" s="1416" t="s">
        <v>312</v>
      </c>
      <c r="E242" s="1417"/>
      <c r="F242" s="1417"/>
      <c r="G242" s="1418"/>
      <c r="H242" s="1419"/>
      <c r="I242" s="1409">
        <f>SUM(J242:N242)</f>
        <v>3000</v>
      </c>
      <c r="J242" s="1410"/>
      <c r="K242" s="1410"/>
      <c r="L242" s="1410"/>
      <c r="M242" s="1410"/>
      <c r="N242" s="1411">
        <v>3000</v>
      </c>
    </row>
    <row r="243" spans="1:14" s="8" customFormat="1" ht="22.5" customHeight="1">
      <c r="A243" s="658">
        <v>182</v>
      </c>
      <c r="B243" s="167"/>
      <c r="C243" s="163">
        <v>85</v>
      </c>
      <c r="D243" s="651" t="s">
        <v>65</v>
      </c>
      <c r="E243" s="165">
        <v>1785</v>
      </c>
      <c r="F243" s="165">
        <v>4000</v>
      </c>
      <c r="G243" s="166">
        <v>4250</v>
      </c>
      <c r="H243" s="675" t="s">
        <v>24</v>
      </c>
      <c r="I243" s="639"/>
      <c r="J243" s="174"/>
      <c r="K243" s="174"/>
      <c r="L243" s="174"/>
      <c r="M243" s="174"/>
      <c r="N243" s="175"/>
    </row>
    <row r="244" spans="1:14" s="1420" customFormat="1" ht="18" customHeight="1">
      <c r="A244" s="658">
        <v>183</v>
      </c>
      <c r="B244" s="1414"/>
      <c r="C244" s="1415"/>
      <c r="D244" s="1416" t="s">
        <v>312</v>
      </c>
      <c r="E244" s="1417"/>
      <c r="F244" s="1417"/>
      <c r="G244" s="1418"/>
      <c r="H244" s="1419"/>
      <c r="I244" s="1409">
        <f>SUM(J244:N244)</f>
        <v>4000</v>
      </c>
      <c r="J244" s="1410"/>
      <c r="K244" s="1410"/>
      <c r="L244" s="1410"/>
      <c r="M244" s="1410"/>
      <c r="N244" s="1411">
        <v>4000</v>
      </c>
    </row>
    <row r="245" spans="1:16" s="3" customFormat="1" ht="22.5" customHeight="1" hidden="1">
      <c r="A245" s="658">
        <v>204</v>
      </c>
      <c r="B245" s="162"/>
      <c r="C245" s="163">
        <v>86</v>
      </c>
      <c r="D245" s="651" t="s">
        <v>101</v>
      </c>
      <c r="E245" s="165"/>
      <c r="F245" s="165">
        <v>500</v>
      </c>
      <c r="G245" s="166">
        <v>1739</v>
      </c>
      <c r="H245" s="673" t="s">
        <v>23</v>
      </c>
      <c r="I245" s="638"/>
      <c r="J245" s="170"/>
      <c r="K245" s="170"/>
      <c r="L245" s="170"/>
      <c r="M245" s="170"/>
      <c r="N245" s="171"/>
      <c r="P245" s="8"/>
    </row>
    <row r="246" spans="1:14" s="8" customFormat="1" ht="18" customHeight="1" hidden="1">
      <c r="A246" s="658">
        <v>205</v>
      </c>
      <c r="B246" s="167"/>
      <c r="C246" s="168"/>
      <c r="D246" s="169" t="s">
        <v>312</v>
      </c>
      <c r="E246" s="165"/>
      <c r="F246" s="165"/>
      <c r="G246" s="166"/>
      <c r="H246" s="673"/>
      <c r="I246" s="638">
        <f>SUM(J246:N246)</f>
        <v>0</v>
      </c>
      <c r="J246" s="170"/>
      <c r="K246" s="170"/>
      <c r="L246" s="170"/>
      <c r="M246" s="170"/>
      <c r="N246" s="171"/>
    </row>
    <row r="247" spans="1:16" s="3" customFormat="1" ht="22.5" customHeight="1">
      <c r="A247" s="658">
        <v>184</v>
      </c>
      <c r="B247" s="162"/>
      <c r="C247" s="163">
        <v>87</v>
      </c>
      <c r="D247" s="651" t="s">
        <v>102</v>
      </c>
      <c r="E247" s="165">
        <v>1461</v>
      </c>
      <c r="F247" s="165">
        <v>2100</v>
      </c>
      <c r="G247" s="166">
        <v>2424</v>
      </c>
      <c r="H247" s="673" t="s">
        <v>23</v>
      </c>
      <c r="I247" s="638"/>
      <c r="J247" s="170"/>
      <c r="K247" s="170"/>
      <c r="L247" s="170"/>
      <c r="M247" s="170"/>
      <c r="N247" s="171"/>
      <c r="P247" s="8"/>
    </row>
    <row r="248" spans="1:14" s="1420" customFormat="1" ht="18" customHeight="1">
      <c r="A248" s="658">
        <v>185</v>
      </c>
      <c r="B248" s="1414"/>
      <c r="C248" s="1415"/>
      <c r="D248" s="1416" t="s">
        <v>312</v>
      </c>
      <c r="E248" s="1417"/>
      <c r="F248" s="1417"/>
      <c r="G248" s="1418"/>
      <c r="H248" s="1419"/>
      <c r="I248" s="1409">
        <f>SUM(J248:N248)</f>
        <v>1785</v>
      </c>
      <c r="J248" s="1410"/>
      <c r="K248" s="1410"/>
      <c r="L248" s="1410">
        <v>1785</v>
      </c>
      <c r="M248" s="1410"/>
      <c r="N248" s="1411"/>
    </row>
    <row r="249" spans="1:14" s="8" customFormat="1" ht="22.5" customHeight="1">
      <c r="A249" s="658">
        <v>186</v>
      </c>
      <c r="B249" s="167"/>
      <c r="C249" s="163">
        <v>88</v>
      </c>
      <c r="D249" s="650" t="s">
        <v>490</v>
      </c>
      <c r="E249" s="165">
        <v>54</v>
      </c>
      <c r="F249" s="165"/>
      <c r="G249" s="166">
        <v>156</v>
      </c>
      <c r="H249" s="673" t="s">
        <v>24</v>
      </c>
      <c r="I249" s="638"/>
      <c r="J249" s="170"/>
      <c r="K249" s="170"/>
      <c r="L249" s="170"/>
      <c r="M249" s="170"/>
      <c r="N249" s="171"/>
    </row>
    <row r="250" spans="1:14" s="1420" customFormat="1" ht="18" customHeight="1">
      <c r="A250" s="658">
        <v>187</v>
      </c>
      <c r="B250" s="1414"/>
      <c r="C250" s="1415"/>
      <c r="D250" s="1416" t="s">
        <v>312</v>
      </c>
      <c r="E250" s="1417"/>
      <c r="F250" s="1417"/>
      <c r="G250" s="1418"/>
      <c r="H250" s="1419"/>
      <c r="I250" s="1409">
        <f>SUM(J250:N250)</f>
        <v>840</v>
      </c>
      <c r="J250" s="1410"/>
      <c r="K250" s="1410"/>
      <c r="L250" s="1410">
        <v>840</v>
      </c>
      <c r="M250" s="1410"/>
      <c r="N250" s="1411"/>
    </row>
    <row r="251" spans="1:16" s="3" customFormat="1" ht="22.5" customHeight="1">
      <c r="A251" s="658">
        <v>188</v>
      </c>
      <c r="B251" s="162"/>
      <c r="C251" s="163">
        <v>89</v>
      </c>
      <c r="D251" s="651" t="s">
        <v>530</v>
      </c>
      <c r="E251" s="165">
        <v>140310</v>
      </c>
      <c r="F251" s="165">
        <v>160000</v>
      </c>
      <c r="G251" s="166">
        <v>225587</v>
      </c>
      <c r="H251" s="673" t="s">
        <v>23</v>
      </c>
      <c r="I251" s="638"/>
      <c r="J251" s="170"/>
      <c r="K251" s="170"/>
      <c r="L251" s="170"/>
      <c r="M251" s="170"/>
      <c r="N251" s="171"/>
      <c r="P251" s="8"/>
    </row>
    <row r="252" spans="1:14" s="1420" customFormat="1" ht="18" customHeight="1">
      <c r="A252" s="658">
        <v>189</v>
      </c>
      <c r="B252" s="1414"/>
      <c r="C252" s="1415"/>
      <c r="D252" s="1416" t="s">
        <v>312</v>
      </c>
      <c r="E252" s="1417"/>
      <c r="F252" s="1417"/>
      <c r="G252" s="1418"/>
      <c r="H252" s="1419"/>
      <c r="I252" s="1409">
        <f>SUM(J252:N252)</f>
        <v>136000</v>
      </c>
      <c r="J252" s="1410"/>
      <c r="K252" s="1410"/>
      <c r="L252" s="1410">
        <v>136000</v>
      </c>
      <c r="M252" s="1410"/>
      <c r="N252" s="1411"/>
    </row>
    <row r="253" spans="1:16" s="3" customFormat="1" ht="22.5" customHeight="1">
      <c r="A253" s="658">
        <v>190</v>
      </c>
      <c r="B253" s="162"/>
      <c r="C253" s="163">
        <v>90</v>
      </c>
      <c r="D253" s="651" t="s">
        <v>91</v>
      </c>
      <c r="E253" s="182">
        <v>53306</v>
      </c>
      <c r="F253" s="182">
        <v>49000</v>
      </c>
      <c r="G253" s="183">
        <v>52061</v>
      </c>
      <c r="H253" s="673" t="s">
        <v>23</v>
      </c>
      <c r="I253" s="638"/>
      <c r="J253" s="170"/>
      <c r="K253" s="170"/>
      <c r="L253" s="170"/>
      <c r="M253" s="170"/>
      <c r="N253" s="171"/>
      <c r="P253" s="8"/>
    </row>
    <row r="254" spans="1:14" s="1420" customFormat="1" ht="18" customHeight="1">
      <c r="A254" s="658">
        <v>191</v>
      </c>
      <c r="B254" s="1414"/>
      <c r="C254" s="1415"/>
      <c r="D254" s="1416" t="s">
        <v>312</v>
      </c>
      <c r="E254" s="1417"/>
      <c r="F254" s="1417"/>
      <c r="G254" s="1418"/>
      <c r="H254" s="1419"/>
      <c r="I254" s="1409">
        <f>SUM(J254:N254)</f>
        <v>54230</v>
      </c>
      <c r="J254" s="1410"/>
      <c r="K254" s="1410"/>
      <c r="L254" s="1410">
        <v>54230</v>
      </c>
      <c r="M254" s="1410"/>
      <c r="N254" s="1411"/>
    </row>
    <row r="255" spans="1:16" s="3" customFormat="1" ht="22.5" customHeight="1">
      <c r="A255" s="658">
        <v>192</v>
      </c>
      <c r="B255" s="162"/>
      <c r="C255" s="163">
        <v>91</v>
      </c>
      <c r="D255" s="651" t="s">
        <v>92</v>
      </c>
      <c r="E255" s="165">
        <v>3851</v>
      </c>
      <c r="F255" s="165">
        <v>2000</v>
      </c>
      <c r="G255" s="166">
        <v>13153</v>
      </c>
      <c r="H255" s="673" t="s">
        <v>23</v>
      </c>
      <c r="I255" s="638"/>
      <c r="J255" s="170"/>
      <c r="K255" s="170"/>
      <c r="L255" s="170"/>
      <c r="M255" s="170"/>
      <c r="N255" s="171"/>
      <c r="P255" s="8"/>
    </row>
    <row r="256" spans="1:14" s="1420" customFormat="1" ht="18" customHeight="1">
      <c r="A256" s="658">
        <v>193</v>
      </c>
      <c r="B256" s="1414"/>
      <c r="C256" s="1415"/>
      <c r="D256" s="1416" t="s">
        <v>312</v>
      </c>
      <c r="E256" s="1417"/>
      <c r="F256" s="1417"/>
      <c r="G256" s="1418"/>
      <c r="H256" s="1419"/>
      <c r="I256" s="1409">
        <f>SUM(J256:N256)</f>
        <v>1700</v>
      </c>
      <c r="J256" s="1410"/>
      <c r="K256" s="1410"/>
      <c r="L256" s="1410">
        <v>1700</v>
      </c>
      <c r="M256" s="1410"/>
      <c r="N256" s="1411"/>
    </row>
    <row r="257" spans="1:14" s="3" customFormat="1" ht="22.5" customHeight="1">
      <c r="A257" s="658">
        <v>194</v>
      </c>
      <c r="B257" s="162"/>
      <c r="C257" s="163">
        <v>92</v>
      </c>
      <c r="D257" s="651" t="s">
        <v>999</v>
      </c>
      <c r="E257" s="165"/>
      <c r="F257" s="165">
        <v>835195</v>
      </c>
      <c r="G257" s="166">
        <v>1443095</v>
      </c>
      <c r="H257" s="673" t="s">
        <v>23</v>
      </c>
      <c r="I257" s="638"/>
      <c r="J257" s="170"/>
      <c r="K257" s="170"/>
      <c r="L257" s="170"/>
      <c r="M257" s="170"/>
      <c r="N257" s="171"/>
    </row>
    <row r="258" spans="1:14" s="1420" customFormat="1" ht="18" customHeight="1">
      <c r="A258" s="658">
        <v>195</v>
      </c>
      <c r="B258" s="1414"/>
      <c r="C258" s="1415"/>
      <c r="D258" s="1416" t="s">
        <v>312</v>
      </c>
      <c r="E258" s="1417"/>
      <c r="F258" s="1417"/>
      <c r="G258" s="1418"/>
      <c r="H258" s="1419"/>
      <c r="I258" s="1409">
        <f>SUM(J258:N258)</f>
        <v>881516</v>
      </c>
      <c r="J258" s="1410"/>
      <c r="K258" s="1410"/>
      <c r="L258" s="1410"/>
      <c r="M258" s="1410"/>
      <c r="N258" s="1411">
        <v>881516</v>
      </c>
    </row>
    <row r="259" spans="1:14" s="8" customFormat="1" ht="22.5" customHeight="1">
      <c r="A259" s="658">
        <v>196</v>
      </c>
      <c r="B259" s="167"/>
      <c r="C259" s="168">
        <v>93</v>
      </c>
      <c r="D259" s="651" t="s">
        <v>858</v>
      </c>
      <c r="E259" s="165"/>
      <c r="F259" s="165"/>
      <c r="G259" s="166"/>
      <c r="H259" s="673" t="s">
        <v>23</v>
      </c>
      <c r="I259" s="638"/>
      <c r="J259" s="170"/>
      <c r="K259" s="170"/>
      <c r="L259" s="170"/>
      <c r="M259" s="170"/>
      <c r="N259" s="171"/>
    </row>
    <row r="260" spans="1:14" s="1420" customFormat="1" ht="18" customHeight="1">
      <c r="A260" s="658">
        <v>197</v>
      </c>
      <c r="B260" s="1414"/>
      <c r="C260" s="1415"/>
      <c r="D260" s="1416" t="s">
        <v>312</v>
      </c>
      <c r="E260" s="1417"/>
      <c r="F260" s="1417"/>
      <c r="G260" s="1418"/>
      <c r="H260" s="1419"/>
      <c r="I260" s="1409">
        <f>SUM(J260:N260)</f>
        <v>153947</v>
      </c>
      <c r="J260" s="1410"/>
      <c r="K260" s="1410"/>
      <c r="L260" s="1410"/>
      <c r="M260" s="1410"/>
      <c r="N260" s="1411">
        <v>153947</v>
      </c>
    </row>
    <row r="261" spans="1:14" s="3" customFormat="1" ht="22.5" customHeight="1">
      <c r="A261" s="658">
        <v>198</v>
      </c>
      <c r="B261" s="162"/>
      <c r="C261" s="163">
        <v>94</v>
      </c>
      <c r="D261" s="651" t="s">
        <v>566</v>
      </c>
      <c r="E261" s="165"/>
      <c r="F261" s="165">
        <v>56013</v>
      </c>
      <c r="G261" s="166">
        <v>31582</v>
      </c>
      <c r="H261" s="673" t="s">
        <v>24</v>
      </c>
      <c r="I261" s="638"/>
      <c r="J261" s="170"/>
      <c r="K261" s="170"/>
      <c r="L261" s="170"/>
      <c r="M261" s="170"/>
      <c r="N261" s="171"/>
    </row>
    <row r="262" spans="1:14" s="1420" customFormat="1" ht="18" customHeight="1">
      <c r="A262" s="658">
        <v>199</v>
      </c>
      <c r="B262" s="1414"/>
      <c r="C262" s="1415"/>
      <c r="D262" s="1416" t="s">
        <v>312</v>
      </c>
      <c r="E262" s="1417"/>
      <c r="F262" s="1417"/>
      <c r="G262" s="1418"/>
      <c r="H262" s="1419"/>
      <c r="I262" s="1409">
        <f>SUM(J262:N262)</f>
        <v>56914</v>
      </c>
      <c r="J262" s="1410"/>
      <c r="K262" s="1410"/>
      <c r="L262" s="1410">
        <v>56914</v>
      </c>
      <c r="M262" s="1410"/>
      <c r="N262" s="1411"/>
    </row>
    <row r="263" spans="1:16" s="3" customFormat="1" ht="22.5" customHeight="1">
      <c r="A263" s="658">
        <v>200</v>
      </c>
      <c r="B263" s="162"/>
      <c r="C263" s="163"/>
      <c r="D263" s="410" t="s">
        <v>307</v>
      </c>
      <c r="E263" s="165"/>
      <c r="F263" s="165"/>
      <c r="G263" s="166"/>
      <c r="H263" s="673"/>
      <c r="I263" s="639"/>
      <c r="J263" s="174"/>
      <c r="K263" s="174"/>
      <c r="L263" s="174"/>
      <c r="M263" s="174"/>
      <c r="N263" s="175"/>
      <c r="O263" s="8"/>
      <c r="P263" s="8"/>
    </row>
    <row r="264" spans="1:16" s="3" customFormat="1" ht="22.5" customHeight="1">
      <c r="A264" s="658">
        <v>201</v>
      </c>
      <c r="B264" s="162"/>
      <c r="C264" s="163">
        <v>95</v>
      </c>
      <c r="D264" s="192" t="s">
        <v>8</v>
      </c>
      <c r="E264" s="165">
        <v>277661</v>
      </c>
      <c r="F264" s="165">
        <v>280000</v>
      </c>
      <c r="G264" s="166">
        <v>291521</v>
      </c>
      <c r="H264" s="673" t="s">
        <v>23</v>
      </c>
      <c r="I264" s="638"/>
      <c r="J264" s="170"/>
      <c r="K264" s="170"/>
      <c r="L264" s="170"/>
      <c r="M264" s="170"/>
      <c r="N264" s="171"/>
      <c r="P264" s="8"/>
    </row>
    <row r="265" spans="1:14" s="1420" customFormat="1" ht="18" customHeight="1">
      <c r="A265" s="658">
        <v>202</v>
      </c>
      <c r="B265" s="1414"/>
      <c r="C265" s="1415"/>
      <c r="D265" s="1442" t="s">
        <v>312</v>
      </c>
      <c r="E265" s="1417"/>
      <c r="F265" s="1417"/>
      <c r="G265" s="1418"/>
      <c r="H265" s="1419"/>
      <c r="I265" s="1409">
        <f>SUM(J265:N265)</f>
        <v>277100</v>
      </c>
      <c r="J265" s="1410"/>
      <c r="K265" s="1410"/>
      <c r="L265" s="1410">
        <v>5000</v>
      </c>
      <c r="M265" s="1410"/>
      <c r="N265" s="1411">
        <f>277100-5000</f>
        <v>272100</v>
      </c>
    </row>
    <row r="266" spans="1:16" s="3" customFormat="1" ht="22.5" customHeight="1">
      <c r="A266" s="658">
        <v>203</v>
      </c>
      <c r="B266" s="162"/>
      <c r="C266" s="163">
        <v>96</v>
      </c>
      <c r="D266" s="192" t="s">
        <v>306</v>
      </c>
      <c r="E266" s="165">
        <v>50000</v>
      </c>
      <c r="F266" s="165">
        <v>54053</v>
      </c>
      <c r="G266" s="166">
        <v>54053</v>
      </c>
      <c r="H266" s="673" t="s">
        <v>23</v>
      </c>
      <c r="I266" s="638"/>
      <c r="J266" s="170"/>
      <c r="K266" s="170"/>
      <c r="L266" s="170"/>
      <c r="M266" s="170"/>
      <c r="N266" s="171"/>
      <c r="P266" s="8"/>
    </row>
    <row r="267" spans="1:14" s="1420" customFormat="1" ht="18" customHeight="1">
      <c r="A267" s="658">
        <v>204</v>
      </c>
      <c r="B267" s="1414"/>
      <c r="C267" s="1415"/>
      <c r="D267" s="1442" t="s">
        <v>312</v>
      </c>
      <c r="E267" s="1417"/>
      <c r="F267" s="1417"/>
      <c r="G267" s="1418"/>
      <c r="H267" s="1419"/>
      <c r="I267" s="1409">
        <f>SUM(J267:N267)</f>
        <v>45900</v>
      </c>
      <c r="J267" s="1410"/>
      <c r="K267" s="1410"/>
      <c r="L267" s="1410"/>
      <c r="M267" s="1410"/>
      <c r="N267" s="1411">
        <v>45900</v>
      </c>
    </row>
    <row r="268" spans="1:16" s="3" customFormat="1" ht="22.5" customHeight="1">
      <c r="A268" s="658">
        <v>205</v>
      </c>
      <c r="B268" s="162"/>
      <c r="C268" s="163">
        <v>97</v>
      </c>
      <c r="D268" s="192" t="s">
        <v>9</v>
      </c>
      <c r="E268" s="165">
        <v>289144</v>
      </c>
      <c r="F268" s="165">
        <v>298908</v>
      </c>
      <c r="G268" s="166">
        <v>299033</v>
      </c>
      <c r="H268" s="673" t="s">
        <v>23</v>
      </c>
      <c r="I268" s="638"/>
      <c r="J268" s="170"/>
      <c r="K268" s="170"/>
      <c r="L268" s="170"/>
      <c r="M268" s="170"/>
      <c r="N268" s="171"/>
      <c r="P268" s="8"/>
    </row>
    <row r="269" spans="1:14" s="1420" customFormat="1" ht="18" customHeight="1">
      <c r="A269" s="658">
        <v>206</v>
      </c>
      <c r="B269" s="1414"/>
      <c r="C269" s="1415"/>
      <c r="D269" s="1442" t="s">
        <v>312</v>
      </c>
      <c r="E269" s="1417"/>
      <c r="F269" s="1417"/>
      <c r="G269" s="1418"/>
      <c r="H269" s="1419"/>
      <c r="I269" s="1409">
        <f>SUM(J269:N269)</f>
        <v>259250</v>
      </c>
      <c r="J269" s="1410"/>
      <c r="K269" s="1410"/>
      <c r="L269" s="1410"/>
      <c r="M269" s="1410"/>
      <c r="N269" s="1411">
        <v>259250</v>
      </c>
    </row>
    <row r="270" spans="1:16" s="3" customFormat="1" ht="22.5" customHeight="1">
      <c r="A270" s="658">
        <v>207</v>
      </c>
      <c r="B270" s="162"/>
      <c r="C270" s="163">
        <v>98</v>
      </c>
      <c r="D270" s="192" t="s">
        <v>7</v>
      </c>
      <c r="E270" s="165">
        <v>21700</v>
      </c>
      <c r="F270" s="165">
        <v>43000</v>
      </c>
      <c r="G270" s="166">
        <v>43000</v>
      </c>
      <c r="H270" s="673" t="s">
        <v>23</v>
      </c>
      <c r="I270" s="638"/>
      <c r="J270" s="170"/>
      <c r="K270" s="170"/>
      <c r="L270" s="170"/>
      <c r="M270" s="170"/>
      <c r="N270" s="171"/>
      <c r="P270" s="8"/>
    </row>
    <row r="271" spans="1:14" s="1420" customFormat="1" ht="18" customHeight="1">
      <c r="A271" s="658">
        <v>208</v>
      </c>
      <c r="B271" s="1414"/>
      <c r="C271" s="1415"/>
      <c r="D271" s="1442" t="s">
        <v>312</v>
      </c>
      <c r="E271" s="1417"/>
      <c r="F271" s="1417"/>
      <c r="G271" s="1418"/>
      <c r="H271" s="1419"/>
      <c r="I271" s="1409">
        <f>SUM(J271:N271)</f>
        <v>36550</v>
      </c>
      <c r="J271" s="1410"/>
      <c r="K271" s="1410"/>
      <c r="L271" s="1410"/>
      <c r="M271" s="1410"/>
      <c r="N271" s="1411">
        <v>36550</v>
      </c>
    </row>
    <row r="272" spans="1:16" s="3" customFormat="1" ht="22.5" customHeight="1">
      <c r="A272" s="658">
        <v>209</v>
      </c>
      <c r="B272" s="162"/>
      <c r="C272" s="163"/>
      <c r="D272" s="410" t="s">
        <v>308</v>
      </c>
      <c r="E272" s="165"/>
      <c r="F272" s="165"/>
      <c r="G272" s="166"/>
      <c r="H272" s="673"/>
      <c r="I272" s="639"/>
      <c r="J272" s="174"/>
      <c r="K272" s="174"/>
      <c r="L272" s="174"/>
      <c r="M272" s="174"/>
      <c r="N272" s="175"/>
      <c r="O272" s="8"/>
      <c r="P272" s="8"/>
    </row>
    <row r="273" spans="1:16" s="3" customFormat="1" ht="22.5" customHeight="1">
      <c r="A273" s="658">
        <v>210</v>
      </c>
      <c r="B273" s="162"/>
      <c r="C273" s="163">
        <v>99</v>
      </c>
      <c r="D273" s="192" t="s">
        <v>859</v>
      </c>
      <c r="E273" s="165">
        <v>157789</v>
      </c>
      <c r="F273" s="165">
        <f>171000-121000</f>
        <v>50000</v>
      </c>
      <c r="G273" s="166">
        <f>171000-121000</f>
        <v>50000</v>
      </c>
      <c r="H273" s="673" t="s">
        <v>23</v>
      </c>
      <c r="I273" s="638"/>
      <c r="J273" s="170"/>
      <c r="K273" s="170"/>
      <c r="L273" s="170"/>
      <c r="M273" s="170"/>
      <c r="N273" s="171"/>
      <c r="P273" s="8"/>
    </row>
    <row r="274" spans="1:14" s="1420" customFormat="1" ht="18" customHeight="1">
      <c r="A274" s="658">
        <v>211</v>
      </c>
      <c r="B274" s="1414"/>
      <c r="C274" s="1415"/>
      <c r="D274" s="1442" t="s">
        <v>312</v>
      </c>
      <c r="E274" s="1417"/>
      <c r="F274" s="1417"/>
      <c r="G274" s="1418"/>
      <c r="H274" s="1419"/>
      <c r="I274" s="1409">
        <f>SUM(J274:N274)</f>
        <v>42500</v>
      </c>
      <c r="J274" s="1410"/>
      <c r="K274" s="1410"/>
      <c r="L274" s="1410"/>
      <c r="M274" s="1410"/>
      <c r="N274" s="1411">
        <f>35000+7500</f>
        <v>42500</v>
      </c>
    </row>
    <row r="275" spans="1:16" s="3" customFormat="1" ht="22.5" customHeight="1">
      <c r="A275" s="658">
        <v>212</v>
      </c>
      <c r="B275" s="162"/>
      <c r="C275" s="163">
        <v>100</v>
      </c>
      <c r="D275" s="192" t="s">
        <v>309</v>
      </c>
      <c r="E275" s="165">
        <v>180000</v>
      </c>
      <c r="F275" s="165">
        <v>180000</v>
      </c>
      <c r="G275" s="166">
        <v>180000</v>
      </c>
      <c r="H275" s="673" t="s">
        <v>23</v>
      </c>
      <c r="I275" s="638"/>
      <c r="J275" s="170"/>
      <c r="K275" s="170"/>
      <c r="L275" s="170"/>
      <c r="M275" s="170"/>
      <c r="N275" s="171"/>
      <c r="P275" s="8"/>
    </row>
    <row r="276" spans="1:14" s="1420" customFormat="1" ht="18" customHeight="1">
      <c r="A276" s="658">
        <v>213</v>
      </c>
      <c r="B276" s="1414"/>
      <c r="C276" s="1415"/>
      <c r="D276" s="1442" t="s">
        <v>312</v>
      </c>
      <c r="E276" s="1417"/>
      <c r="F276" s="1417"/>
      <c r="G276" s="1418"/>
      <c r="H276" s="1419"/>
      <c r="I276" s="1409">
        <f>SUM(J276:N276)</f>
        <v>169738</v>
      </c>
      <c r="J276" s="1410"/>
      <c r="K276" s="1410"/>
      <c r="L276" s="1410"/>
      <c r="M276" s="1410"/>
      <c r="N276" s="1411">
        <v>169738</v>
      </c>
    </row>
    <row r="277" spans="1:14" s="8" customFormat="1" ht="18" customHeight="1">
      <c r="A277" s="658">
        <v>214</v>
      </c>
      <c r="B277" s="167"/>
      <c r="C277" s="168">
        <v>101</v>
      </c>
      <c r="D277" s="192" t="s">
        <v>860</v>
      </c>
      <c r="E277" s="165"/>
      <c r="F277" s="165">
        <v>121000</v>
      </c>
      <c r="G277" s="166">
        <v>121000</v>
      </c>
      <c r="H277" s="673" t="s">
        <v>23</v>
      </c>
      <c r="I277" s="638"/>
      <c r="J277" s="170"/>
      <c r="K277" s="170"/>
      <c r="L277" s="170"/>
      <c r="M277" s="170"/>
      <c r="N277" s="171"/>
    </row>
    <row r="278" spans="1:14" s="1420" customFormat="1" ht="18" customHeight="1">
      <c r="A278" s="658">
        <v>215</v>
      </c>
      <c r="B278" s="1414"/>
      <c r="C278" s="1415"/>
      <c r="D278" s="1442" t="s">
        <v>312</v>
      </c>
      <c r="E278" s="1417"/>
      <c r="F278" s="1417"/>
      <c r="G278" s="1418"/>
      <c r="H278" s="1419"/>
      <c r="I278" s="1409">
        <f>SUM(J278:N278)</f>
        <v>130000</v>
      </c>
      <c r="J278" s="1410"/>
      <c r="K278" s="1410"/>
      <c r="L278" s="1410">
        <v>130000</v>
      </c>
      <c r="M278" s="1410"/>
      <c r="N278" s="1411"/>
    </row>
    <row r="279" spans="1:16" s="3" customFormat="1" ht="22.5" customHeight="1">
      <c r="A279" s="658">
        <v>216</v>
      </c>
      <c r="B279" s="162"/>
      <c r="C279" s="163">
        <v>102</v>
      </c>
      <c r="D279" s="651" t="s">
        <v>103</v>
      </c>
      <c r="E279" s="165">
        <v>20000</v>
      </c>
      <c r="F279" s="165">
        <v>20000</v>
      </c>
      <c r="G279" s="166">
        <v>27000</v>
      </c>
      <c r="H279" s="673" t="s">
        <v>23</v>
      </c>
      <c r="I279" s="638"/>
      <c r="J279" s="170"/>
      <c r="K279" s="170"/>
      <c r="L279" s="170"/>
      <c r="M279" s="170"/>
      <c r="N279" s="171"/>
      <c r="P279" s="8"/>
    </row>
    <row r="280" spans="1:14" s="1420" customFormat="1" ht="18" customHeight="1">
      <c r="A280" s="658">
        <v>217</v>
      </c>
      <c r="B280" s="1414"/>
      <c r="C280" s="1415"/>
      <c r="D280" s="1416" t="s">
        <v>312</v>
      </c>
      <c r="E280" s="1417"/>
      <c r="F280" s="1417"/>
      <c r="G280" s="1418"/>
      <c r="H280" s="1419"/>
      <c r="I280" s="1409">
        <f>SUM(J280:N280)</f>
        <v>17000</v>
      </c>
      <c r="J280" s="1410"/>
      <c r="K280" s="1410"/>
      <c r="L280" s="1410">
        <v>17000</v>
      </c>
      <c r="M280" s="1410"/>
      <c r="N280" s="1411"/>
    </row>
    <row r="281" spans="1:16" s="3" customFormat="1" ht="22.5" customHeight="1">
      <c r="A281" s="658">
        <v>218</v>
      </c>
      <c r="B281" s="162"/>
      <c r="C281" s="163">
        <v>103</v>
      </c>
      <c r="D281" s="651" t="s">
        <v>104</v>
      </c>
      <c r="E281" s="165">
        <v>1000</v>
      </c>
      <c r="F281" s="165">
        <v>1000</v>
      </c>
      <c r="G281" s="166">
        <v>1000</v>
      </c>
      <c r="H281" s="673" t="s">
        <v>23</v>
      </c>
      <c r="I281" s="638"/>
      <c r="J281" s="170"/>
      <c r="K281" s="170"/>
      <c r="L281" s="170"/>
      <c r="M281" s="170"/>
      <c r="N281" s="171"/>
      <c r="P281" s="8"/>
    </row>
    <row r="282" spans="1:14" s="1420" customFormat="1" ht="18" customHeight="1">
      <c r="A282" s="658">
        <v>219</v>
      </c>
      <c r="B282" s="1414"/>
      <c r="C282" s="1415"/>
      <c r="D282" s="1416" t="s">
        <v>312</v>
      </c>
      <c r="E282" s="1417"/>
      <c r="F282" s="1417"/>
      <c r="G282" s="1418"/>
      <c r="H282" s="1419"/>
      <c r="I282" s="1409">
        <f>SUM(J282:N282)</f>
        <v>1020</v>
      </c>
      <c r="J282" s="1410"/>
      <c r="K282" s="1410"/>
      <c r="L282" s="1410">
        <v>1020</v>
      </c>
      <c r="M282" s="1410"/>
      <c r="N282" s="1411"/>
    </row>
    <row r="283" spans="1:16" s="3" customFormat="1" ht="22.5" customHeight="1">
      <c r="A283" s="658">
        <v>220</v>
      </c>
      <c r="B283" s="162"/>
      <c r="C283" s="163">
        <v>104</v>
      </c>
      <c r="D283" s="651" t="s">
        <v>105</v>
      </c>
      <c r="E283" s="165">
        <v>1851</v>
      </c>
      <c r="F283" s="165">
        <v>5000</v>
      </c>
      <c r="G283" s="166">
        <v>6000</v>
      </c>
      <c r="H283" s="673" t="s">
        <v>23</v>
      </c>
      <c r="I283" s="638"/>
      <c r="J283" s="170"/>
      <c r="K283" s="170"/>
      <c r="L283" s="170"/>
      <c r="M283" s="170"/>
      <c r="N283" s="171"/>
      <c r="P283" s="8"/>
    </row>
    <row r="284" spans="1:14" s="1420" customFormat="1" ht="18" customHeight="1">
      <c r="A284" s="658">
        <v>221</v>
      </c>
      <c r="B284" s="1414"/>
      <c r="C284" s="1415"/>
      <c r="D284" s="1416" t="s">
        <v>312</v>
      </c>
      <c r="E284" s="1417"/>
      <c r="F284" s="1417"/>
      <c r="G284" s="1418"/>
      <c r="H284" s="1419"/>
      <c r="I284" s="1409">
        <f>SUM(J284:N284)</f>
        <v>4250</v>
      </c>
      <c r="J284" s="1410"/>
      <c r="K284" s="1410"/>
      <c r="L284" s="1410">
        <v>4250</v>
      </c>
      <c r="M284" s="1410"/>
      <c r="N284" s="1411"/>
    </row>
    <row r="285" spans="1:16" s="3" customFormat="1" ht="22.5" customHeight="1">
      <c r="A285" s="658">
        <v>222</v>
      </c>
      <c r="B285" s="162"/>
      <c r="C285" s="163">
        <v>105</v>
      </c>
      <c r="D285" s="651" t="s">
        <v>106</v>
      </c>
      <c r="E285" s="165">
        <v>13221</v>
      </c>
      <c r="F285" s="165">
        <v>20000</v>
      </c>
      <c r="G285" s="166">
        <v>39072</v>
      </c>
      <c r="H285" s="673" t="s">
        <v>23</v>
      </c>
      <c r="I285" s="638"/>
      <c r="J285" s="170"/>
      <c r="K285" s="170"/>
      <c r="L285" s="170"/>
      <c r="M285" s="170"/>
      <c r="N285" s="171"/>
      <c r="P285" s="8"/>
    </row>
    <row r="286" spans="1:14" s="1420" customFormat="1" ht="18" customHeight="1">
      <c r="A286" s="658">
        <v>223</v>
      </c>
      <c r="B286" s="1414"/>
      <c r="C286" s="1415"/>
      <c r="D286" s="1416" t="s">
        <v>312</v>
      </c>
      <c r="E286" s="1417"/>
      <c r="F286" s="1417"/>
      <c r="G286" s="1418"/>
      <c r="H286" s="1419"/>
      <c r="I286" s="1409">
        <f>SUM(J286:N286)</f>
        <v>17000</v>
      </c>
      <c r="J286" s="1410"/>
      <c r="K286" s="1410"/>
      <c r="L286" s="1410">
        <v>17000</v>
      </c>
      <c r="M286" s="1410"/>
      <c r="N286" s="1411"/>
    </row>
    <row r="287" spans="1:16" s="3" customFormat="1" ht="22.5" customHeight="1">
      <c r="A287" s="658">
        <v>224</v>
      </c>
      <c r="B287" s="162"/>
      <c r="C287" s="163">
        <v>106</v>
      </c>
      <c r="D287" s="651" t="s">
        <v>107</v>
      </c>
      <c r="E287" s="165">
        <v>160341</v>
      </c>
      <c r="F287" s="165">
        <v>170000</v>
      </c>
      <c r="G287" s="166">
        <v>189414</v>
      </c>
      <c r="H287" s="673" t="s">
        <v>23</v>
      </c>
      <c r="I287" s="638"/>
      <c r="J287" s="170"/>
      <c r="K287" s="170"/>
      <c r="L287" s="170"/>
      <c r="M287" s="170"/>
      <c r="N287" s="171"/>
      <c r="P287" s="8"/>
    </row>
    <row r="288" spans="1:14" s="1420" customFormat="1" ht="18" customHeight="1">
      <c r="A288" s="658">
        <v>225</v>
      </c>
      <c r="B288" s="1414"/>
      <c r="C288" s="1415"/>
      <c r="D288" s="1416" t="s">
        <v>312</v>
      </c>
      <c r="E288" s="1417"/>
      <c r="F288" s="1417"/>
      <c r="G288" s="1418"/>
      <c r="H288" s="1419"/>
      <c r="I288" s="1409">
        <f>SUM(J288:N288)</f>
        <v>191250</v>
      </c>
      <c r="J288" s="1410"/>
      <c r="K288" s="1410"/>
      <c r="L288" s="1410">
        <v>191250</v>
      </c>
      <c r="M288" s="1410"/>
      <c r="N288" s="1411"/>
    </row>
    <row r="289" spans="1:16" s="3" customFormat="1" ht="22.5" customHeight="1">
      <c r="A289" s="658">
        <v>226</v>
      </c>
      <c r="B289" s="162"/>
      <c r="C289" s="163">
        <v>107</v>
      </c>
      <c r="D289" s="651" t="s">
        <v>108</v>
      </c>
      <c r="E289" s="165">
        <v>4681</v>
      </c>
      <c r="F289" s="165">
        <v>5000</v>
      </c>
      <c r="G289" s="166">
        <v>8802</v>
      </c>
      <c r="H289" s="673" t="s">
        <v>23</v>
      </c>
      <c r="I289" s="638"/>
      <c r="J289" s="170"/>
      <c r="K289" s="170"/>
      <c r="L289" s="170"/>
      <c r="M289" s="170"/>
      <c r="N289" s="171"/>
      <c r="P289" s="8"/>
    </row>
    <row r="290" spans="1:14" s="1420" customFormat="1" ht="18" customHeight="1">
      <c r="A290" s="658">
        <v>227</v>
      </c>
      <c r="B290" s="1414"/>
      <c r="C290" s="1415"/>
      <c r="D290" s="1416" t="s">
        <v>312</v>
      </c>
      <c r="E290" s="1417"/>
      <c r="F290" s="1417"/>
      <c r="G290" s="1418"/>
      <c r="H290" s="1419"/>
      <c r="I290" s="1409">
        <f>SUM(J290:N290)</f>
        <v>4250</v>
      </c>
      <c r="J290" s="1410"/>
      <c r="K290" s="1410"/>
      <c r="L290" s="1410">
        <v>4250</v>
      </c>
      <c r="M290" s="1410"/>
      <c r="N290" s="1411"/>
    </row>
    <row r="291" spans="1:16" s="3" customFormat="1" ht="22.5" customHeight="1">
      <c r="A291" s="658">
        <v>228</v>
      </c>
      <c r="B291" s="162"/>
      <c r="C291" s="163">
        <v>108</v>
      </c>
      <c r="D291" s="651" t="s">
        <v>109</v>
      </c>
      <c r="E291" s="165">
        <v>2677</v>
      </c>
      <c r="F291" s="165">
        <v>6000</v>
      </c>
      <c r="G291" s="166">
        <v>19106</v>
      </c>
      <c r="H291" s="673" t="s">
        <v>23</v>
      </c>
      <c r="I291" s="638"/>
      <c r="J291" s="170"/>
      <c r="K291" s="170"/>
      <c r="L291" s="170"/>
      <c r="M291" s="170"/>
      <c r="N291" s="171"/>
      <c r="P291" s="8"/>
    </row>
    <row r="292" spans="1:14" s="1420" customFormat="1" ht="18" customHeight="1">
      <c r="A292" s="658">
        <v>229</v>
      </c>
      <c r="B292" s="1414"/>
      <c r="C292" s="1415"/>
      <c r="D292" s="1416" t="s">
        <v>312</v>
      </c>
      <c r="E292" s="1417"/>
      <c r="F292" s="1417"/>
      <c r="G292" s="1418"/>
      <c r="H292" s="1419"/>
      <c r="I292" s="1409">
        <f>SUM(J292:N292)</f>
        <v>5100</v>
      </c>
      <c r="J292" s="1410"/>
      <c r="K292" s="1410"/>
      <c r="L292" s="1410">
        <v>5100</v>
      </c>
      <c r="M292" s="1410"/>
      <c r="N292" s="1411"/>
    </row>
    <row r="293" spans="1:16" s="3" customFormat="1" ht="22.5" customHeight="1">
      <c r="A293" s="658">
        <v>230</v>
      </c>
      <c r="B293" s="162"/>
      <c r="C293" s="163">
        <v>109</v>
      </c>
      <c r="D293" s="651" t="s">
        <v>110</v>
      </c>
      <c r="E293" s="165">
        <v>1956</v>
      </c>
      <c r="F293" s="165">
        <v>1000</v>
      </c>
      <c r="G293" s="166">
        <v>6187</v>
      </c>
      <c r="H293" s="673" t="s">
        <v>23</v>
      </c>
      <c r="I293" s="638"/>
      <c r="J293" s="170"/>
      <c r="K293" s="170"/>
      <c r="L293" s="170"/>
      <c r="M293" s="170"/>
      <c r="N293" s="171"/>
      <c r="P293" s="8"/>
    </row>
    <row r="294" spans="1:14" s="1420" customFormat="1" ht="18" customHeight="1">
      <c r="A294" s="658">
        <v>231</v>
      </c>
      <c r="B294" s="1414"/>
      <c r="C294" s="1415"/>
      <c r="D294" s="1416" t="s">
        <v>312</v>
      </c>
      <c r="E294" s="1417"/>
      <c r="F294" s="1417"/>
      <c r="G294" s="1418"/>
      <c r="H294" s="1419"/>
      <c r="I294" s="1409">
        <f>SUM(J294:N294)</f>
        <v>850</v>
      </c>
      <c r="J294" s="1410"/>
      <c r="K294" s="1410"/>
      <c r="L294" s="1410">
        <v>850</v>
      </c>
      <c r="M294" s="1410"/>
      <c r="N294" s="1411"/>
    </row>
    <row r="295" spans="1:16" s="3" customFormat="1" ht="22.5" customHeight="1">
      <c r="A295" s="658">
        <v>232</v>
      </c>
      <c r="B295" s="162"/>
      <c r="C295" s="163">
        <v>110</v>
      </c>
      <c r="D295" s="656" t="s">
        <v>318</v>
      </c>
      <c r="E295" s="165">
        <v>56649</v>
      </c>
      <c r="F295" s="165">
        <v>65620</v>
      </c>
      <c r="G295" s="166">
        <v>63125</v>
      </c>
      <c r="H295" s="673" t="s">
        <v>23</v>
      </c>
      <c r="I295" s="638"/>
      <c r="J295" s="170"/>
      <c r="K295" s="170"/>
      <c r="L295" s="170"/>
      <c r="M295" s="170"/>
      <c r="N295" s="171"/>
      <c r="P295" s="8"/>
    </row>
    <row r="296" spans="1:14" s="1420" customFormat="1" ht="18" customHeight="1">
      <c r="A296" s="658">
        <v>233</v>
      </c>
      <c r="B296" s="1414"/>
      <c r="C296" s="1415"/>
      <c r="D296" s="1416" t="s">
        <v>312</v>
      </c>
      <c r="E296" s="1417"/>
      <c r="F296" s="1417"/>
      <c r="G296" s="1418"/>
      <c r="H296" s="1419"/>
      <c r="I296" s="1409">
        <f>SUM(J296:N296)</f>
        <v>65195</v>
      </c>
      <c r="J296" s="1410"/>
      <c r="K296" s="1410"/>
      <c r="L296" s="1410">
        <v>65195</v>
      </c>
      <c r="M296" s="1410"/>
      <c r="N296" s="1411"/>
    </row>
    <row r="297" spans="1:16" s="3" customFormat="1" ht="22.5" customHeight="1">
      <c r="A297" s="658">
        <v>234</v>
      </c>
      <c r="B297" s="162"/>
      <c r="C297" s="163">
        <v>111</v>
      </c>
      <c r="D297" s="656" t="s">
        <v>861</v>
      </c>
      <c r="E297" s="165">
        <v>56400</v>
      </c>
      <c r="F297" s="165">
        <v>61048</v>
      </c>
      <c r="G297" s="166">
        <v>63948</v>
      </c>
      <c r="H297" s="673" t="s">
        <v>23</v>
      </c>
      <c r="I297" s="638"/>
      <c r="J297" s="170"/>
      <c r="K297" s="170"/>
      <c r="L297" s="170"/>
      <c r="M297" s="170"/>
      <c r="N297" s="171"/>
      <c r="P297" s="8"/>
    </row>
    <row r="298" spans="1:14" s="1420" customFormat="1" ht="18" customHeight="1">
      <c r="A298" s="658">
        <v>235</v>
      </c>
      <c r="B298" s="1414"/>
      <c r="C298" s="1415"/>
      <c r="D298" s="1416" t="s">
        <v>312</v>
      </c>
      <c r="E298" s="1417"/>
      <c r="F298" s="1417"/>
      <c r="G298" s="1418"/>
      <c r="H298" s="1419"/>
      <c r="I298" s="1409">
        <f>SUM(J298:N298)</f>
        <v>57501</v>
      </c>
      <c r="J298" s="1410"/>
      <c r="K298" s="1410"/>
      <c r="L298" s="1410">
        <v>57501</v>
      </c>
      <c r="M298" s="1410"/>
      <c r="N298" s="1411"/>
    </row>
    <row r="299" spans="1:16" s="3" customFormat="1" ht="22.5" customHeight="1">
      <c r="A299" s="658">
        <v>236</v>
      </c>
      <c r="B299" s="162"/>
      <c r="C299" s="163">
        <v>112</v>
      </c>
      <c r="D299" s="656" t="s">
        <v>260</v>
      </c>
      <c r="E299" s="165">
        <v>19000</v>
      </c>
      <c r="F299" s="165">
        <v>19000</v>
      </c>
      <c r="G299" s="166">
        <v>21658</v>
      </c>
      <c r="H299" s="673" t="s">
        <v>23</v>
      </c>
      <c r="I299" s="638"/>
      <c r="J299" s="170"/>
      <c r="K299" s="170"/>
      <c r="L299" s="170"/>
      <c r="M299" s="170"/>
      <c r="N299" s="171"/>
      <c r="P299" s="8"/>
    </row>
    <row r="300" spans="1:14" s="1420" customFormat="1" ht="18" customHeight="1">
      <c r="A300" s="658">
        <v>237</v>
      </c>
      <c r="B300" s="1414"/>
      <c r="C300" s="1415"/>
      <c r="D300" s="1416" t="s">
        <v>312</v>
      </c>
      <c r="E300" s="1417"/>
      <c r="F300" s="1417"/>
      <c r="G300" s="1418"/>
      <c r="H300" s="1419"/>
      <c r="I300" s="1409">
        <f>SUM(J300:N300)</f>
        <v>17000</v>
      </c>
      <c r="J300" s="1410"/>
      <c r="K300" s="1410"/>
      <c r="L300" s="1410">
        <v>17000</v>
      </c>
      <c r="M300" s="1410"/>
      <c r="N300" s="1411"/>
    </row>
    <row r="301" spans="1:16" s="3" customFormat="1" ht="22.5" customHeight="1">
      <c r="A301" s="658">
        <v>238</v>
      </c>
      <c r="B301" s="162"/>
      <c r="C301" s="163">
        <v>113</v>
      </c>
      <c r="D301" s="651" t="s">
        <v>259</v>
      </c>
      <c r="E301" s="165"/>
      <c r="F301" s="165">
        <v>1500</v>
      </c>
      <c r="G301" s="166">
        <v>2949</v>
      </c>
      <c r="H301" s="675" t="s">
        <v>23</v>
      </c>
      <c r="I301" s="638"/>
      <c r="J301" s="170"/>
      <c r="K301" s="170"/>
      <c r="L301" s="170"/>
      <c r="M301" s="170"/>
      <c r="N301" s="171"/>
      <c r="P301" s="8"/>
    </row>
    <row r="302" spans="1:14" s="1420" customFormat="1" ht="18" customHeight="1">
      <c r="A302" s="658">
        <v>239</v>
      </c>
      <c r="B302" s="1439"/>
      <c r="C302" s="1415"/>
      <c r="D302" s="1416" t="s">
        <v>312</v>
      </c>
      <c r="E302" s="1422"/>
      <c r="F302" s="1422"/>
      <c r="G302" s="1423"/>
      <c r="H302" s="1424"/>
      <c r="I302" s="1409">
        <f>SUM(J302:N302)</f>
        <v>1275</v>
      </c>
      <c r="J302" s="1425"/>
      <c r="K302" s="1425"/>
      <c r="L302" s="1425">
        <v>1275</v>
      </c>
      <c r="M302" s="1425"/>
      <c r="N302" s="1426"/>
    </row>
    <row r="303" spans="1:16" s="3" customFormat="1" ht="22.5" customHeight="1">
      <c r="A303" s="658">
        <v>240</v>
      </c>
      <c r="B303" s="162"/>
      <c r="C303" s="163">
        <v>114</v>
      </c>
      <c r="D303" s="651" t="s">
        <v>464</v>
      </c>
      <c r="E303" s="165">
        <v>1047</v>
      </c>
      <c r="F303" s="165">
        <v>4570</v>
      </c>
      <c r="G303" s="166">
        <v>9606</v>
      </c>
      <c r="H303" s="673" t="s">
        <v>24</v>
      </c>
      <c r="I303" s="638"/>
      <c r="J303" s="170"/>
      <c r="K303" s="170"/>
      <c r="L303" s="170"/>
      <c r="M303" s="170"/>
      <c r="N303" s="171"/>
      <c r="P303" s="8"/>
    </row>
    <row r="304" spans="1:14" s="1420" customFormat="1" ht="18" customHeight="1">
      <c r="A304" s="658">
        <v>241</v>
      </c>
      <c r="B304" s="1414"/>
      <c r="C304" s="1415"/>
      <c r="D304" s="1416" t="s">
        <v>312</v>
      </c>
      <c r="E304" s="1417"/>
      <c r="F304" s="1417"/>
      <c r="G304" s="1418"/>
      <c r="H304" s="1419"/>
      <c r="I304" s="1409">
        <f>SUM(J304:N304)</f>
        <v>6350</v>
      </c>
      <c r="J304" s="1410"/>
      <c r="K304" s="1410"/>
      <c r="L304" s="1410">
        <v>6350</v>
      </c>
      <c r="M304" s="1410"/>
      <c r="N304" s="1411"/>
    </row>
    <row r="305" spans="1:14" s="8" customFormat="1" ht="22.5" customHeight="1">
      <c r="A305" s="658">
        <v>242</v>
      </c>
      <c r="B305" s="167"/>
      <c r="C305" s="163">
        <v>115</v>
      </c>
      <c r="D305" s="651" t="s">
        <v>565</v>
      </c>
      <c r="E305" s="165"/>
      <c r="F305" s="165"/>
      <c r="G305" s="166"/>
      <c r="H305" s="673" t="s">
        <v>24</v>
      </c>
      <c r="I305" s="638"/>
      <c r="J305" s="170"/>
      <c r="K305" s="170"/>
      <c r="L305" s="170"/>
      <c r="M305" s="170"/>
      <c r="N305" s="171"/>
    </row>
    <row r="306" spans="1:14" s="1420" customFormat="1" ht="18" customHeight="1">
      <c r="A306" s="658">
        <v>243</v>
      </c>
      <c r="B306" s="1414"/>
      <c r="C306" s="1415"/>
      <c r="D306" s="1416" t="s">
        <v>312</v>
      </c>
      <c r="E306" s="1417"/>
      <c r="F306" s="1417"/>
      <c r="G306" s="1418"/>
      <c r="H306" s="1419"/>
      <c r="I306" s="1409">
        <f>SUM(J306:N306)</f>
        <v>2286</v>
      </c>
      <c r="J306" s="1410"/>
      <c r="K306" s="1410"/>
      <c r="L306" s="1410">
        <v>2286</v>
      </c>
      <c r="M306" s="1410"/>
      <c r="N306" s="1411"/>
    </row>
    <row r="307" spans="1:16" s="3" customFormat="1" ht="22.5" customHeight="1">
      <c r="A307" s="658">
        <v>244</v>
      </c>
      <c r="B307" s="162"/>
      <c r="C307" s="163">
        <v>116</v>
      </c>
      <c r="D307" s="651" t="s">
        <v>111</v>
      </c>
      <c r="E307" s="165">
        <v>7036</v>
      </c>
      <c r="F307" s="165">
        <v>16000</v>
      </c>
      <c r="G307" s="166">
        <v>25120</v>
      </c>
      <c r="H307" s="673" t="s">
        <v>23</v>
      </c>
      <c r="I307" s="638"/>
      <c r="J307" s="170"/>
      <c r="K307" s="170"/>
      <c r="L307" s="170"/>
      <c r="M307" s="170"/>
      <c r="N307" s="171"/>
      <c r="P307" s="8"/>
    </row>
    <row r="308" spans="1:14" s="1420" customFormat="1" ht="18" customHeight="1">
      <c r="A308" s="658">
        <v>245</v>
      </c>
      <c r="B308" s="1414"/>
      <c r="C308" s="1415"/>
      <c r="D308" s="1416" t="s">
        <v>312</v>
      </c>
      <c r="E308" s="1417"/>
      <c r="F308" s="1417"/>
      <c r="G308" s="1418"/>
      <c r="H308" s="1419"/>
      <c r="I308" s="1409">
        <f>SUM(J308:N308)</f>
        <v>16000</v>
      </c>
      <c r="J308" s="1410"/>
      <c r="K308" s="1410"/>
      <c r="L308" s="1410">
        <v>16000</v>
      </c>
      <c r="M308" s="1410"/>
      <c r="N308" s="1411"/>
    </row>
    <row r="309" spans="1:14" s="8" customFormat="1" ht="22.5" customHeight="1">
      <c r="A309" s="658">
        <v>246</v>
      </c>
      <c r="B309" s="184"/>
      <c r="C309" s="163">
        <v>117</v>
      </c>
      <c r="D309" s="651" t="s">
        <v>289</v>
      </c>
      <c r="E309" s="165">
        <v>144202</v>
      </c>
      <c r="F309" s="165">
        <v>153222</v>
      </c>
      <c r="G309" s="166">
        <v>164366</v>
      </c>
      <c r="H309" s="673" t="s">
        <v>23</v>
      </c>
      <c r="I309" s="639"/>
      <c r="J309" s="174"/>
      <c r="K309" s="174"/>
      <c r="L309" s="174"/>
      <c r="M309" s="174"/>
      <c r="N309" s="175"/>
    </row>
    <row r="310" spans="1:14" s="1420" customFormat="1" ht="18" customHeight="1">
      <c r="A310" s="658">
        <v>247</v>
      </c>
      <c r="B310" s="1414"/>
      <c r="C310" s="1415"/>
      <c r="D310" s="1416" t="s">
        <v>312</v>
      </c>
      <c r="E310" s="1417"/>
      <c r="F310" s="1417"/>
      <c r="G310" s="1418"/>
      <c r="H310" s="1419"/>
      <c r="I310" s="1409">
        <f>SUM(J310:N310)</f>
        <v>155388</v>
      </c>
      <c r="J310" s="1410"/>
      <c r="K310" s="1410"/>
      <c r="L310" s="1410">
        <v>155388</v>
      </c>
      <c r="M310" s="1410"/>
      <c r="N310" s="1411"/>
    </row>
    <row r="311" spans="1:14" s="8" customFormat="1" ht="22.5" customHeight="1" hidden="1">
      <c r="A311" s="658">
        <v>248</v>
      </c>
      <c r="B311" s="184"/>
      <c r="C311" s="163">
        <v>118</v>
      </c>
      <c r="D311" s="651" t="s">
        <v>459</v>
      </c>
      <c r="E311" s="165">
        <v>8000</v>
      </c>
      <c r="F311" s="165">
        <v>3000</v>
      </c>
      <c r="G311" s="166">
        <v>7930</v>
      </c>
      <c r="H311" s="673" t="s">
        <v>24</v>
      </c>
      <c r="I311" s="639"/>
      <c r="J311" s="174"/>
      <c r="K311" s="174"/>
      <c r="L311" s="174"/>
      <c r="M311" s="174"/>
      <c r="N311" s="175"/>
    </row>
    <row r="312" spans="1:14" s="8" customFormat="1" ht="18" customHeight="1" hidden="1">
      <c r="A312" s="658">
        <v>249</v>
      </c>
      <c r="B312" s="167"/>
      <c r="C312" s="168"/>
      <c r="D312" s="169" t="s">
        <v>312</v>
      </c>
      <c r="E312" s="165"/>
      <c r="F312" s="165"/>
      <c r="G312" s="166"/>
      <c r="H312" s="673"/>
      <c r="I312" s="638">
        <f>SUM(J312:N312)</f>
        <v>0</v>
      </c>
      <c r="J312" s="170"/>
      <c r="K312" s="170"/>
      <c r="L312" s="170"/>
      <c r="M312" s="170"/>
      <c r="N312" s="171"/>
    </row>
    <row r="313" spans="1:16" s="3" customFormat="1" ht="22.5" customHeight="1">
      <c r="A313" s="658">
        <v>248</v>
      </c>
      <c r="B313" s="162"/>
      <c r="C313" s="163">
        <v>119</v>
      </c>
      <c r="D313" s="651" t="s">
        <v>113</v>
      </c>
      <c r="E313" s="165">
        <f>E315+E317+E319+E321+E323</f>
        <v>3250</v>
      </c>
      <c r="F313" s="165">
        <f>F315+F317+F319+F321+F323</f>
        <v>3250</v>
      </c>
      <c r="G313" s="165">
        <f>G315+G317+G319+G321+G323</f>
        <v>3250</v>
      </c>
      <c r="H313" s="673" t="s">
        <v>23</v>
      </c>
      <c r="I313" s="639"/>
      <c r="J313" s="174"/>
      <c r="K313" s="174"/>
      <c r="L313" s="174"/>
      <c r="M313" s="174"/>
      <c r="N313" s="175"/>
      <c r="O313" s="8"/>
      <c r="P313" s="8"/>
    </row>
    <row r="314" spans="1:14" s="1420" customFormat="1" ht="18" customHeight="1">
      <c r="A314" s="658">
        <v>249</v>
      </c>
      <c r="B314" s="1414"/>
      <c r="C314" s="1415"/>
      <c r="D314" s="1416" t="s">
        <v>312</v>
      </c>
      <c r="E314" s="1417"/>
      <c r="F314" s="1417"/>
      <c r="G314" s="1418"/>
      <c r="H314" s="1419"/>
      <c r="I314" s="1409">
        <f>SUM(J314:N314)</f>
        <v>2765</v>
      </c>
      <c r="J314" s="1433"/>
      <c r="K314" s="1433"/>
      <c r="L314" s="1433"/>
      <c r="M314" s="1433"/>
      <c r="N314" s="1411">
        <f>N316+N318+N320+N322+N324</f>
        <v>2765</v>
      </c>
    </row>
    <row r="315" spans="1:16" s="9" customFormat="1" ht="18" customHeight="1">
      <c r="A315" s="658">
        <v>250</v>
      </c>
      <c r="B315" s="176"/>
      <c r="C315" s="168"/>
      <c r="D315" s="181" t="s">
        <v>114</v>
      </c>
      <c r="E315" s="165">
        <v>650</v>
      </c>
      <c r="F315" s="177">
        <v>650</v>
      </c>
      <c r="G315" s="178">
        <v>650</v>
      </c>
      <c r="H315" s="674"/>
      <c r="I315" s="640"/>
      <c r="J315" s="190"/>
      <c r="K315" s="190"/>
      <c r="L315" s="190"/>
      <c r="M315" s="190"/>
      <c r="N315" s="191"/>
      <c r="P315" s="8"/>
    </row>
    <row r="316" spans="1:16" s="1435" customFormat="1" ht="18" customHeight="1">
      <c r="A316" s="658">
        <v>251</v>
      </c>
      <c r="B316" s="1428"/>
      <c r="C316" s="1415"/>
      <c r="D316" s="1429" t="s">
        <v>312</v>
      </c>
      <c r="E316" s="1417"/>
      <c r="F316" s="1430"/>
      <c r="G316" s="1431"/>
      <c r="H316" s="1432"/>
      <c r="I316" s="1412">
        <f>SUM(J316:N316)</f>
        <v>553</v>
      </c>
      <c r="J316" s="1433"/>
      <c r="K316" s="1433"/>
      <c r="L316" s="1433"/>
      <c r="M316" s="1433"/>
      <c r="N316" s="1434">
        <v>553</v>
      </c>
      <c r="P316" s="1420"/>
    </row>
    <row r="317" spans="1:16" s="9" customFormat="1" ht="18" customHeight="1">
      <c r="A317" s="658">
        <v>252</v>
      </c>
      <c r="B317" s="176"/>
      <c r="C317" s="168"/>
      <c r="D317" s="185" t="s">
        <v>115</v>
      </c>
      <c r="E317" s="165">
        <v>650</v>
      </c>
      <c r="F317" s="177">
        <v>650</v>
      </c>
      <c r="G317" s="178">
        <v>650</v>
      </c>
      <c r="H317" s="674"/>
      <c r="I317" s="641"/>
      <c r="J317" s="179"/>
      <c r="K317" s="179"/>
      <c r="L317" s="179"/>
      <c r="M317" s="179"/>
      <c r="N317" s="180"/>
      <c r="P317" s="8"/>
    </row>
    <row r="318" spans="1:16" s="1435" customFormat="1" ht="18" customHeight="1">
      <c r="A318" s="658">
        <v>253</v>
      </c>
      <c r="B318" s="1428"/>
      <c r="C318" s="1415"/>
      <c r="D318" s="1429" t="s">
        <v>312</v>
      </c>
      <c r="E318" s="1417"/>
      <c r="F318" s="1430"/>
      <c r="G318" s="1431"/>
      <c r="H318" s="1432"/>
      <c r="I318" s="1412">
        <f>SUM(J318:N318)</f>
        <v>553</v>
      </c>
      <c r="J318" s="1433"/>
      <c r="K318" s="1433"/>
      <c r="L318" s="1433"/>
      <c r="M318" s="1433"/>
      <c r="N318" s="1434">
        <v>553</v>
      </c>
      <c r="P318" s="1420"/>
    </row>
    <row r="319" spans="1:16" s="9" customFormat="1" ht="18" customHeight="1">
      <c r="A319" s="658">
        <v>254</v>
      </c>
      <c r="B319" s="176"/>
      <c r="C319" s="168"/>
      <c r="D319" s="185" t="s">
        <v>116</v>
      </c>
      <c r="E319" s="165">
        <v>650</v>
      </c>
      <c r="F319" s="177">
        <v>650</v>
      </c>
      <c r="G319" s="178">
        <v>650</v>
      </c>
      <c r="H319" s="674"/>
      <c r="I319" s="641"/>
      <c r="J319" s="179"/>
      <c r="K319" s="179"/>
      <c r="L319" s="179"/>
      <c r="M319" s="179"/>
      <c r="N319" s="180"/>
      <c r="P319" s="8"/>
    </row>
    <row r="320" spans="1:16" s="1435" customFormat="1" ht="18" customHeight="1">
      <c r="A320" s="658">
        <v>255</v>
      </c>
      <c r="B320" s="1428"/>
      <c r="C320" s="1415"/>
      <c r="D320" s="1429" t="s">
        <v>312</v>
      </c>
      <c r="E320" s="1417"/>
      <c r="F320" s="1430"/>
      <c r="G320" s="1431"/>
      <c r="H320" s="1432"/>
      <c r="I320" s="1412">
        <f>SUM(J320:N320)</f>
        <v>553</v>
      </c>
      <c r="J320" s="1433"/>
      <c r="K320" s="1433"/>
      <c r="L320" s="1433"/>
      <c r="M320" s="1433"/>
      <c r="N320" s="1434">
        <v>553</v>
      </c>
      <c r="P320" s="1420"/>
    </row>
    <row r="321" spans="1:16" s="9" customFormat="1" ht="18" customHeight="1">
      <c r="A321" s="658">
        <v>256</v>
      </c>
      <c r="B321" s="176"/>
      <c r="C321" s="168"/>
      <c r="D321" s="185" t="s">
        <v>117</v>
      </c>
      <c r="E321" s="165">
        <v>650</v>
      </c>
      <c r="F321" s="177">
        <v>650</v>
      </c>
      <c r="G321" s="178">
        <v>650</v>
      </c>
      <c r="H321" s="674"/>
      <c r="I321" s="641"/>
      <c r="J321" s="179"/>
      <c r="K321" s="179"/>
      <c r="L321" s="179"/>
      <c r="M321" s="179"/>
      <c r="N321" s="180"/>
      <c r="P321" s="8"/>
    </row>
    <row r="322" spans="1:16" s="1435" customFormat="1" ht="18" customHeight="1">
      <c r="A322" s="658">
        <v>257</v>
      </c>
      <c r="B322" s="1428"/>
      <c r="C322" s="1415"/>
      <c r="D322" s="1429" t="s">
        <v>312</v>
      </c>
      <c r="E322" s="1417"/>
      <c r="F322" s="1430"/>
      <c r="G322" s="1431"/>
      <c r="H322" s="1432"/>
      <c r="I322" s="1412">
        <f>SUM(J322:N322)</f>
        <v>553</v>
      </c>
      <c r="J322" s="1433"/>
      <c r="K322" s="1433"/>
      <c r="L322" s="1433"/>
      <c r="M322" s="1433"/>
      <c r="N322" s="1434">
        <v>553</v>
      </c>
      <c r="P322" s="1420"/>
    </row>
    <row r="323" spans="1:16" s="9" customFormat="1" ht="18" customHeight="1">
      <c r="A323" s="658">
        <v>258</v>
      </c>
      <c r="B323" s="176"/>
      <c r="C323" s="168"/>
      <c r="D323" s="185" t="s">
        <v>118</v>
      </c>
      <c r="E323" s="165">
        <v>650</v>
      </c>
      <c r="F323" s="177">
        <v>650</v>
      </c>
      <c r="G323" s="178">
        <v>650</v>
      </c>
      <c r="H323" s="674"/>
      <c r="I323" s="641"/>
      <c r="J323" s="179"/>
      <c r="K323" s="179"/>
      <c r="L323" s="179"/>
      <c r="M323" s="179"/>
      <c r="N323" s="180"/>
      <c r="P323" s="8"/>
    </row>
    <row r="324" spans="1:16" s="1435" customFormat="1" ht="18" customHeight="1">
      <c r="A324" s="658">
        <v>259</v>
      </c>
      <c r="B324" s="1428"/>
      <c r="C324" s="1415"/>
      <c r="D324" s="1429" t="s">
        <v>312</v>
      </c>
      <c r="E324" s="1417"/>
      <c r="F324" s="1430"/>
      <c r="G324" s="1431"/>
      <c r="H324" s="1432"/>
      <c r="I324" s="1412">
        <f>SUM(J324:N324)</f>
        <v>553</v>
      </c>
      <c r="J324" s="1433"/>
      <c r="K324" s="1433"/>
      <c r="L324" s="1433"/>
      <c r="M324" s="1433"/>
      <c r="N324" s="1434">
        <v>553</v>
      </c>
      <c r="P324" s="1420"/>
    </row>
    <row r="325" spans="1:16" s="9" customFormat="1" ht="30" customHeight="1">
      <c r="A325" s="658">
        <v>260</v>
      </c>
      <c r="B325" s="695"/>
      <c r="C325" s="626">
        <v>120</v>
      </c>
      <c r="D325" s="651" t="s">
        <v>567</v>
      </c>
      <c r="E325" s="201"/>
      <c r="F325" s="172">
        <v>2000</v>
      </c>
      <c r="G325" s="173">
        <v>2000</v>
      </c>
      <c r="H325" s="675" t="s">
        <v>24</v>
      </c>
      <c r="I325" s="638"/>
      <c r="J325" s="697"/>
      <c r="K325" s="697"/>
      <c r="L325" s="200"/>
      <c r="M325" s="697"/>
      <c r="N325" s="698"/>
      <c r="P325" s="8"/>
    </row>
    <row r="326" spans="1:16" s="1435" customFormat="1" ht="18" customHeight="1">
      <c r="A326" s="658">
        <v>261</v>
      </c>
      <c r="B326" s="1443"/>
      <c r="C326" s="1415"/>
      <c r="D326" s="1416" t="s">
        <v>312</v>
      </c>
      <c r="E326" s="1422"/>
      <c r="F326" s="1444"/>
      <c r="G326" s="1445"/>
      <c r="H326" s="1424"/>
      <c r="I326" s="1409">
        <f>SUM(J326:N326)</f>
        <v>3700</v>
      </c>
      <c r="J326" s="1446"/>
      <c r="K326" s="1446"/>
      <c r="L326" s="1425">
        <f>2000+1700</f>
        <v>3700</v>
      </c>
      <c r="M326" s="1446"/>
      <c r="N326" s="1447"/>
      <c r="P326" s="1420"/>
    </row>
    <row r="327" spans="1:16" s="747" customFormat="1" ht="22.5" customHeight="1">
      <c r="A327" s="658">
        <v>262</v>
      </c>
      <c r="B327" s="746"/>
      <c r="C327" s="163">
        <v>121</v>
      </c>
      <c r="D327" s="651" t="s">
        <v>747</v>
      </c>
      <c r="E327" s="201"/>
      <c r="F327" s="172"/>
      <c r="G327" s="173">
        <v>3</v>
      </c>
      <c r="H327" s="675" t="s">
        <v>24</v>
      </c>
      <c r="I327" s="638"/>
      <c r="J327" s="697"/>
      <c r="K327" s="697"/>
      <c r="L327" s="200"/>
      <c r="M327" s="697"/>
      <c r="N327" s="698"/>
      <c r="P327" s="3"/>
    </row>
    <row r="328" spans="1:16" s="1435" customFormat="1" ht="18" customHeight="1">
      <c r="A328" s="658">
        <v>263</v>
      </c>
      <c r="B328" s="1443"/>
      <c r="C328" s="1415"/>
      <c r="D328" s="1416" t="s">
        <v>312</v>
      </c>
      <c r="E328" s="1422"/>
      <c r="F328" s="1444"/>
      <c r="G328" s="1445"/>
      <c r="H328" s="1424"/>
      <c r="I328" s="1409">
        <f>SUM(J328:N328)</f>
        <v>341</v>
      </c>
      <c r="J328" s="1446"/>
      <c r="K328" s="1446"/>
      <c r="L328" s="1425">
        <v>341</v>
      </c>
      <c r="M328" s="1446"/>
      <c r="N328" s="1447"/>
      <c r="P328" s="1420"/>
    </row>
    <row r="329" spans="1:16" s="747" customFormat="1" ht="22.5" customHeight="1">
      <c r="A329" s="658">
        <v>264</v>
      </c>
      <c r="B329" s="746"/>
      <c r="C329" s="163">
        <v>122</v>
      </c>
      <c r="D329" s="651" t="s">
        <v>568</v>
      </c>
      <c r="E329" s="201"/>
      <c r="F329" s="172"/>
      <c r="G329" s="173">
        <v>605</v>
      </c>
      <c r="H329" s="675" t="s">
        <v>24</v>
      </c>
      <c r="I329" s="638"/>
      <c r="J329" s="697"/>
      <c r="K329" s="697"/>
      <c r="L329" s="200"/>
      <c r="M329" s="697"/>
      <c r="N329" s="698"/>
      <c r="P329" s="3"/>
    </row>
    <row r="330" spans="1:16" s="1435" customFormat="1" ht="18" customHeight="1">
      <c r="A330" s="658">
        <v>265</v>
      </c>
      <c r="B330" s="1443"/>
      <c r="C330" s="1415"/>
      <c r="D330" s="1416" t="s">
        <v>312</v>
      </c>
      <c r="E330" s="1422"/>
      <c r="F330" s="1444"/>
      <c r="G330" s="1445"/>
      <c r="H330" s="1448"/>
      <c r="I330" s="1409">
        <f>SUM(J330:N330)</f>
        <v>1895</v>
      </c>
      <c r="J330" s="1446"/>
      <c r="K330" s="1446"/>
      <c r="L330" s="1425">
        <v>1895</v>
      </c>
      <c r="M330" s="1446"/>
      <c r="N330" s="1447"/>
      <c r="P330" s="1420"/>
    </row>
    <row r="331" spans="1:16" s="747" customFormat="1" ht="22.5" customHeight="1">
      <c r="A331" s="658">
        <v>266</v>
      </c>
      <c r="B331" s="746"/>
      <c r="C331" s="163">
        <v>123</v>
      </c>
      <c r="D331" s="651" t="s">
        <v>985</v>
      </c>
      <c r="E331" s="201"/>
      <c r="F331" s="172"/>
      <c r="G331" s="173">
        <v>2000</v>
      </c>
      <c r="H331" s="675" t="s">
        <v>24</v>
      </c>
      <c r="I331" s="638"/>
      <c r="J331" s="697"/>
      <c r="K331" s="697"/>
      <c r="L331" s="200"/>
      <c r="M331" s="697"/>
      <c r="N331" s="698"/>
      <c r="P331" s="3"/>
    </row>
    <row r="332" spans="1:16" s="1435" customFormat="1" ht="18" customHeight="1">
      <c r="A332" s="658">
        <v>267</v>
      </c>
      <c r="B332" s="1443"/>
      <c r="C332" s="1415"/>
      <c r="D332" s="1416" t="s">
        <v>312</v>
      </c>
      <c r="E332" s="1422"/>
      <c r="F332" s="1444"/>
      <c r="G332" s="1445"/>
      <c r="H332" s="1448"/>
      <c r="I332" s="1409">
        <f>SUM(J332:N332)</f>
        <v>3000</v>
      </c>
      <c r="J332" s="1446"/>
      <c r="K332" s="1446"/>
      <c r="L332" s="1425">
        <v>3000</v>
      </c>
      <c r="M332" s="1446"/>
      <c r="N332" s="1447"/>
      <c r="P332" s="1420"/>
    </row>
    <row r="333" spans="1:16" s="747" customFormat="1" ht="22.5" customHeight="1">
      <c r="A333" s="658">
        <v>268</v>
      </c>
      <c r="B333" s="746"/>
      <c r="C333" s="163">
        <v>124</v>
      </c>
      <c r="D333" s="651" t="s">
        <v>569</v>
      </c>
      <c r="E333" s="201"/>
      <c r="F333" s="172">
        <v>1100</v>
      </c>
      <c r="G333" s="173"/>
      <c r="H333" s="675" t="s">
        <v>24</v>
      </c>
      <c r="I333" s="638"/>
      <c r="J333" s="697"/>
      <c r="K333" s="697"/>
      <c r="L333" s="200"/>
      <c r="M333" s="697"/>
      <c r="N333" s="698"/>
      <c r="P333" s="3"/>
    </row>
    <row r="334" spans="1:16" s="1435" customFormat="1" ht="18" customHeight="1">
      <c r="A334" s="658">
        <v>269</v>
      </c>
      <c r="B334" s="1443"/>
      <c r="C334" s="1415"/>
      <c r="D334" s="1416" t="s">
        <v>312</v>
      </c>
      <c r="E334" s="1422"/>
      <c r="F334" s="1444"/>
      <c r="G334" s="1445"/>
      <c r="H334" s="1448"/>
      <c r="I334" s="1409">
        <f>SUM(J334:N334)</f>
        <v>2800</v>
      </c>
      <c r="J334" s="1446"/>
      <c r="K334" s="1446"/>
      <c r="L334" s="1425">
        <f>1100+1700</f>
        <v>2800</v>
      </c>
      <c r="M334" s="1446"/>
      <c r="N334" s="1447"/>
      <c r="P334" s="1420"/>
    </row>
    <row r="335" spans="1:14" s="8" customFormat="1" ht="22.5" customHeight="1">
      <c r="A335" s="658">
        <v>270</v>
      </c>
      <c r="B335" s="188"/>
      <c r="C335" s="163">
        <v>125</v>
      </c>
      <c r="D335" s="650" t="s">
        <v>395</v>
      </c>
      <c r="E335" s="201"/>
      <c r="F335" s="172"/>
      <c r="G335" s="202"/>
      <c r="H335" s="675" t="s">
        <v>24</v>
      </c>
      <c r="I335" s="638"/>
      <c r="J335" s="200"/>
      <c r="K335" s="200"/>
      <c r="L335" s="200"/>
      <c r="M335" s="200"/>
      <c r="N335" s="207"/>
    </row>
    <row r="336" spans="1:14" s="1420" customFormat="1" ht="18" customHeight="1">
      <c r="A336" s="658">
        <v>271</v>
      </c>
      <c r="B336" s="1449"/>
      <c r="C336" s="1450"/>
      <c r="D336" s="1416" t="s">
        <v>312</v>
      </c>
      <c r="E336" s="1422"/>
      <c r="F336" s="1444"/>
      <c r="G336" s="1423">
        <v>6531</v>
      </c>
      <c r="H336" s="1424"/>
      <c r="I336" s="1409">
        <f>SUM(J336:N336)</f>
        <v>13969</v>
      </c>
      <c r="J336" s="1425"/>
      <c r="K336" s="1425"/>
      <c r="L336" s="1425"/>
      <c r="M336" s="1425"/>
      <c r="N336" s="1426">
        <f>1969+12000</f>
        <v>13969</v>
      </c>
    </row>
    <row r="337" spans="1:14" s="8" customFormat="1" ht="22.5" customHeight="1">
      <c r="A337" s="658">
        <v>272</v>
      </c>
      <c r="B337" s="188"/>
      <c r="C337" s="163">
        <v>126</v>
      </c>
      <c r="D337" s="650" t="s">
        <v>862</v>
      </c>
      <c r="E337" s="201"/>
      <c r="F337" s="172"/>
      <c r="G337" s="202"/>
      <c r="H337" s="675" t="s">
        <v>23</v>
      </c>
      <c r="I337" s="638"/>
      <c r="J337" s="200"/>
      <c r="K337" s="200"/>
      <c r="L337" s="200"/>
      <c r="M337" s="200"/>
      <c r="N337" s="207"/>
    </row>
    <row r="338" spans="1:14" s="1420" customFormat="1" ht="18" customHeight="1">
      <c r="A338" s="658">
        <v>273</v>
      </c>
      <c r="B338" s="1449"/>
      <c r="C338" s="1450"/>
      <c r="D338" s="1416" t="s">
        <v>312</v>
      </c>
      <c r="E338" s="1422"/>
      <c r="F338" s="1444"/>
      <c r="G338" s="1423"/>
      <c r="H338" s="1424"/>
      <c r="I338" s="1409">
        <f>SUM(J338:N338)</f>
        <v>41912</v>
      </c>
      <c r="J338" s="1425"/>
      <c r="K338" s="1425"/>
      <c r="L338" s="1425">
        <v>41912</v>
      </c>
      <c r="M338" s="1425"/>
      <c r="N338" s="1426"/>
    </row>
    <row r="339" spans="1:14" s="8" customFormat="1" ht="22.5" customHeight="1">
      <c r="A339" s="658">
        <v>274</v>
      </c>
      <c r="B339" s="188"/>
      <c r="C339" s="163">
        <v>127</v>
      </c>
      <c r="D339" s="650" t="s">
        <v>512</v>
      </c>
      <c r="E339" s="201"/>
      <c r="F339" s="172"/>
      <c r="G339" s="202"/>
      <c r="H339" s="673" t="s">
        <v>24</v>
      </c>
      <c r="I339" s="638"/>
      <c r="J339" s="200"/>
      <c r="K339" s="200"/>
      <c r="L339" s="200"/>
      <c r="M339" s="200"/>
      <c r="N339" s="207"/>
    </row>
    <row r="340" spans="1:14" s="1420" customFormat="1" ht="18" customHeight="1">
      <c r="A340" s="658">
        <v>275</v>
      </c>
      <c r="B340" s="1449"/>
      <c r="C340" s="1450"/>
      <c r="D340" s="1416" t="s">
        <v>312</v>
      </c>
      <c r="E340" s="1422"/>
      <c r="F340" s="1444"/>
      <c r="G340" s="1423">
        <v>268</v>
      </c>
      <c r="H340" s="1419"/>
      <c r="I340" s="1409">
        <f>SUM(J340:N340)</f>
        <v>509</v>
      </c>
      <c r="J340" s="1425"/>
      <c r="K340" s="1425"/>
      <c r="L340" s="1425">
        <v>509</v>
      </c>
      <c r="M340" s="1425"/>
      <c r="N340" s="1426"/>
    </row>
    <row r="341" spans="1:16" s="3" customFormat="1" ht="22.5" customHeight="1">
      <c r="A341" s="658">
        <v>276</v>
      </c>
      <c r="B341" s="187"/>
      <c r="C341" s="163">
        <v>128</v>
      </c>
      <c r="D341" s="650" t="s">
        <v>739</v>
      </c>
      <c r="E341" s="201"/>
      <c r="F341" s="201"/>
      <c r="G341" s="202"/>
      <c r="H341" s="675" t="s">
        <v>24</v>
      </c>
      <c r="I341" s="638"/>
      <c r="J341" s="200"/>
      <c r="K341" s="200"/>
      <c r="L341" s="200"/>
      <c r="M341" s="200"/>
      <c r="N341" s="207"/>
      <c r="O341" s="8"/>
      <c r="P341" s="8"/>
    </row>
    <row r="342" spans="1:16" s="1427" customFormat="1" ht="18" customHeight="1">
      <c r="A342" s="658">
        <v>277</v>
      </c>
      <c r="B342" s="1439"/>
      <c r="C342" s="1450"/>
      <c r="D342" s="1416" t="s">
        <v>312</v>
      </c>
      <c r="E342" s="1422"/>
      <c r="F342" s="1422"/>
      <c r="G342" s="1423">
        <v>698</v>
      </c>
      <c r="H342" s="1424"/>
      <c r="I342" s="1409">
        <f>SUM(J342:N342)</f>
        <v>687</v>
      </c>
      <c r="J342" s="1425"/>
      <c r="K342" s="1425"/>
      <c r="L342" s="1425">
        <v>687</v>
      </c>
      <c r="M342" s="1425"/>
      <c r="N342" s="1426"/>
      <c r="O342" s="1420"/>
      <c r="P342" s="1420"/>
    </row>
    <row r="343" spans="1:16" s="3" customFormat="1" ht="22.5" customHeight="1">
      <c r="A343" s="658">
        <v>278</v>
      </c>
      <c r="B343" s="187"/>
      <c r="C343" s="163">
        <v>129</v>
      </c>
      <c r="D343" s="650" t="s">
        <v>740</v>
      </c>
      <c r="E343" s="201"/>
      <c r="F343" s="201"/>
      <c r="G343" s="202"/>
      <c r="H343" s="675" t="s">
        <v>24</v>
      </c>
      <c r="I343" s="638"/>
      <c r="J343" s="200"/>
      <c r="K343" s="200"/>
      <c r="L343" s="200"/>
      <c r="M343" s="200"/>
      <c r="N343" s="207"/>
      <c r="O343" s="8"/>
      <c r="P343" s="8"/>
    </row>
    <row r="344" spans="1:16" s="1427" customFormat="1" ht="18" customHeight="1">
      <c r="A344" s="658">
        <v>279</v>
      </c>
      <c r="B344" s="1439"/>
      <c r="C344" s="1450"/>
      <c r="D344" s="1416" t="s">
        <v>312</v>
      </c>
      <c r="E344" s="1422"/>
      <c r="F344" s="1422"/>
      <c r="G344" s="1423"/>
      <c r="H344" s="1424"/>
      <c r="I344" s="1409">
        <f>SUM(J344:N344)</f>
        <v>4000</v>
      </c>
      <c r="J344" s="1425"/>
      <c r="K344" s="1425"/>
      <c r="L344" s="1425">
        <v>4000</v>
      </c>
      <c r="M344" s="1425"/>
      <c r="N344" s="1426"/>
      <c r="O344" s="1420"/>
      <c r="P344" s="1420"/>
    </row>
    <row r="345" spans="1:16" s="3" customFormat="1" ht="22.5" customHeight="1">
      <c r="A345" s="658">
        <v>280</v>
      </c>
      <c r="B345" s="187"/>
      <c r="C345" s="163">
        <v>130</v>
      </c>
      <c r="D345" s="650" t="s">
        <v>741</v>
      </c>
      <c r="E345" s="201"/>
      <c r="F345" s="201"/>
      <c r="G345" s="202"/>
      <c r="H345" s="675" t="s">
        <v>24</v>
      </c>
      <c r="I345" s="638"/>
      <c r="J345" s="200"/>
      <c r="K345" s="200"/>
      <c r="L345" s="200"/>
      <c r="M345" s="200"/>
      <c r="N345" s="207"/>
      <c r="O345" s="8"/>
      <c r="P345" s="8"/>
    </row>
    <row r="346" spans="1:16" s="1427" customFormat="1" ht="18" customHeight="1">
      <c r="A346" s="658">
        <v>281</v>
      </c>
      <c r="B346" s="1439"/>
      <c r="C346" s="1450"/>
      <c r="D346" s="1416" t="s">
        <v>312</v>
      </c>
      <c r="E346" s="1422"/>
      <c r="F346" s="1422"/>
      <c r="G346" s="1423">
        <v>4389</v>
      </c>
      <c r="H346" s="1424"/>
      <c r="I346" s="1409">
        <f>SUM(J346:N346)</f>
        <v>1811</v>
      </c>
      <c r="J346" s="1425"/>
      <c r="K346" s="1425"/>
      <c r="L346" s="1425">
        <v>1811</v>
      </c>
      <c r="M346" s="1425"/>
      <c r="N346" s="1426"/>
      <c r="O346" s="1420"/>
      <c r="P346" s="1420"/>
    </row>
    <row r="347" spans="1:14" s="8" customFormat="1" ht="22.5" customHeight="1">
      <c r="A347" s="658">
        <v>282</v>
      </c>
      <c r="B347" s="188"/>
      <c r="C347" s="163">
        <v>131</v>
      </c>
      <c r="D347" s="650" t="s">
        <v>578</v>
      </c>
      <c r="E347" s="201"/>
      <c r="F347" s="172"/>
      <c r="G347" s="202"/>
      <c r="H347" s="673" t="s">
        <v>24</v>
      </c>
      <c r="I347" s="638"/>
      <c r="J347" s="200"/>
      <c r="K347" s="200"/>
      <c r="L347" s="200"/>
      <c r="M347" s="200"/>
      <c r="N347" s="207"/>
    </row>
    <row r="348" spans="1:14" s="1420" customFormat="1" ht="18" customHeight="1">
      <c r="A348" s="658">
        <v>283</v>
      </c>
      <c r="B348" s="1449"/>
      <c r="C348" s="1450"/>
      <c r="D348" s="1416" t="s">
        <v>312</v>
      </c>
      <c r="E348" s="1422"/>
      <c r="F348" s="1444"/>
      <c r="G348" s="1423"/>
      <c r="H348" s="1419"/>
      <c r="I348" s="1409">
        <f>SUM(J348:N348)</f>
        <v>377</v>
      </c>
      <c r="J348" s="1425"/>
      <c r="K348" s="1425"/>
      <c r="L348" s="1425">
        <v>377</v>
      </c>
      <c r="M348" s="1425"/>
      <c r="N348" s="1426"/>
    </row>
    <row r="349" spans="1:16" s="3" customFormat="1" ht="22.5" customHeight="1">
      <c r="A349" s="658">
        <v>284</v>
      </c>
      <c r="B349" s="167"/>
      <c r="C349" s="163">
        <v>132</v>
      </c>
      <c r="D349" s="650" t="s">
        <v>275</v>
      </c>
      <c r="E349" s="165"/>
      <c r="F349" s="165"/>
      <c r="G349" s="166"/>
      <c r="H349" s="673" t="s">
        <v>24</v>
      </c>
      <c r="I349" s="639"/>
      <c r="J349" s="174"/>
      <c r="K349" s="174"/>
      <c r="L349" s="174"/>
      <c r="M349" s="174"/>
      <c r="N349" s="175"/>
      <c r="O349" s="8"/>
      <c r="P349" s="8"/>
    </row>
    <row r="350" spans="1:16" s="1427" customFormat="1" ht="18" customHeight="1">
      <c r="A350" s="658">
        <v>285</v>
      </c>
      <c r="B350" s="1414"/>
      <c r="C350" s="1450"/>
      <c r="D350" s="1451" t="s">
        <v>312</v>
      </c>
      <c r="E350" s="1417"/>
      <c r="F350" s="1417"/>
      <c r="G350" s="1418"/>
      <c r="H350" s="1419"/>
      <c r="I350" s="1409">
        <f>SUM(J350:N350)</f>
        <v>1210</v>
      </c>
      <c r="J350" s="1413"/>
      <c r="K350" s="1413"/>
      <c r="L350" s="1413">
        <v>1210</v>
      </c>
      <c r="M350" s="1413"/>
      <c r="N350" s="1452"/>
      <c r="O350" s="1420"/>
      <c r="P350" s="1420"/>
    </row>
    <row r="351" spans="1:16" s="3" customFormat="1" ht="22.5" customHeight="1">
      <c r="A351" s="658">
        <v>286</v>
      </c>
      <c r="B351" s="167"/>
      <c r="C351" s="163">
        <v>133</v>
      </c>
      <c r="D351" s="650" t="s">
        <v>278</v>
      </c>
      <c r="E351" s="165"/>
      <c r="F351" s="165"/>
      <c r="G351" s="166"/>
      <c r="H351" s="673" t="s">
        <v>24</v>
      </c>
      <c r="I351" s="639"/>
      <c r="J351" s="174"/>
      <c r="K351" s="174"/>
      <c r="L351" s="174"/>
      <c r="M351" s="174"/>
      <c r="N351" s="175"/>
      <c r="O351" s="8"/>
      <c r="P351" s="8"/>
    </row>
    <row r="352" spans="1:16" s="1427" customFormat="1" ht="18" customHeight="1">
      <c r="A352" s="658">
        <v>287</v>
      </c>
      <c r="B352" s="1414"/>
      <c r="C352" s="1450"/>
      <c r="D352" s="1451" t="s">
        <v>312</v>
      </c>
      <c r="E352" s="1417"/>
      <c r="F352" s="1417"/>
      <c r="G352" s="1418">
        <v>0</v>
      </c>
      <c r="H352" s="1419"/>
      <c r="I352" s="1409">
        <f>SUM(J352:N352)</f>
        <v>1254</v>
      </c>
      <c r="J352" s="1413"/>
      <c r="K352" s="1413"/>
      <c r="L352" s="1413">
        <v>1254</v>
      </c>
      <c r="M352" s="1413"/>
      <c r="N352" s="1452"/>
      <c r="O352" s="1420"/>
      <c r="P352" s="1420"/>
    </row>
    <row r="353" spans="1:16" s="3" customFormat="1" ht="22.5" customHeight="1">
      <c r="A353" s="658">
        <v>288</v>
      </c>
      <c r="B353" s="167"/>
      <c r="C353" s="163">
        <v>134</v>
      </c>
      <c r="D353" s="650" t="s">
        <v>517</v>
      </c>
      <c r="E353" s="165"/>
      <c r="F353" s="165"/>
      <c r="G353" s="166"/>
      <c r="H353" s="673" t="s">
        <v>24</v>
      </c>
      <c r="I353" s="639"/>
      <c r="J353" s="174"/>
      <c r="K353" s="174"/>
      <c r="L353" s="174"/>
      <c r="M353" s="174"/>
      <c r="N353" s="175"/>
      <c r="O353" s="8"/>
      <c r="P353" s="8"/>
    </row>
    <row r="354" spans="1:16" s="1427" customFormat="1" ht="18" customHeight="1">
      <c r="A354" s="658">
        <v>289</v>
      </c>
      <c r="B354" s="1414"/>
      <c r="C354" s="1450"/>
      <c r="D354" s="1451" t="s">
        <v>312</v>
      </c>
      <c r="E354" s="1417"/>
      <c r="F354" s="1417"/>
      <c r="G354" s="1418">
        <v>0</v>
      </c>
      <c r="H354" s="1419"/>
      <c r="I354" s="1409">
        <f>SUM(J354:N354)</f>
        <v>451</v>
      </c>
      <c r="J354" s="1413"/>
      <c r="K354" s="1413"/>
      <c r="L354" s="1413">
        <v>451</v>
      </c>
      <c r="M354" s="1413"/>
      <c r="N354" s="1452"/>
      <c r="O354" s="1420"/>
      <c r="P354" s="1420"/>
    </row>
    <row r="355" spans="1:16" s="3" customFormat="1" ht="22.5" customHeight="1">
      <c r="A355" s="658">
        <v>290</v>
      </c>
      <c r="B355" s="167"/>
      <c r="C355" s="163">
        <v>135</v>
      </c>
      <c r="D355" s="650" t="s">
        <v>520</v>
      </c>
      <c r="E355" s="165"/>
      <c r="F355" s="165"/>
      <c r="G355" s="166"/>
      <c r="H355" s="673" t="s">
        <v>24</v>
      </c>
      <c r="I355" s="639"/>
      <c r="J355" s="174"/>
      <c r="K355" s="174"/>
      <c r="L355" s="174"/>
      <c r="M355" s="174"/>
      <c r="N355" s="175"/>
      <c r="O355" s="8"/>
      <c r="P355" s="8"/>
    </row>
    <row r="356" spans="1:16" s="1427" customFormat="1" ht="18" customHeight="1">
      <c r="A356" s="658">
        <v>291</v>
      </c>
      <c r="B356" s="1414"/>
      <c r="C356" s="1450"/>
      <c r="D356" s="1451" t="s">
        <v>312</v>
      </c>
      <c r="E356" s="1417"/>
      <c r="F356" s="1417"/>
      <c r="G356" s="1418">
        <v>4</v>
      </c>
      <c r="H356" s="1419"/>
      <c r="I356" s="1409">
        <f>SUM(J356:N356)</f>
        <v>259</v>
      </c>
      <c r="J356" s="1413"/>
      <c r="K356" s="1413"/>
      <c r="L356" s="1413">
        <v>259</v>
      </c>
      <c r="M356" s="1413"/>
      <c r="N356" s="1452"/>
      <c r="O356" s="1420"/>
      <c r="P356" s="1420"/>
    </row>
    <row r="357" spans="1:16" s="3" customFormat="1" ht="22.5" customHeight="1">
      <c r="A357" s="658">
        <v>292</v>
      </c>
      <c r="B357" s="167"/>
      <c r="C357" s="163">
        <v>136</v>
      </c>
      <c r="D357" s="650" t="s">
        <v>744</v>
      </c>
      <c r="E357" s="165"/>
      <c r="F357" s="165"/>
      <c r="G357" s="166"/>
      <c r="H357" s="673" t="s">
        <v>24</v>
      </c>
      <c r="I357" s="638"/>
      <c r="J357" s="174"/>
      <c r="K357" s="174"/>
      <c r="L357" s="174"/>
      <c r="M357" s="174"/>
      <c r="N357" s="175"/>
      <c r="O357" s="8"/>
      <c r="P357" s="8"/>
    </row>
    <row r="358" spans="1:16" s="1427" customFormat="1" ht="18" customHeight="1">
      <c r="A358" s="658">
        <v>293</v>
      </c>
      <c r="B358" s="1414"/>
      <c r="C358" s="1450"/>
      <c r="D358" s="1451" t="s">
        <v>312</v>
      </c>
      <c r="E358" s="1417"/>
      <c r="F358" s="1417"/>
      <c r="G358" s="1418"/>
      <c r="H358" s="1419"/>
      <c r="I358" s="1409">
        <f>SUM(J358:N358)</f>
        <v>480</v>
      </c>
      <c r="J358" s="1413"/>
      <c r="K358" s="1413"/>
      <c r="L358" s="1413">
        <v>480</v>
      </c>
      <c r="M358" s="1413"/>
      <c r="N358" s="1452"/>
      <c r="O358" s="1420"/>
      <c r="P358" s="1420"/>
    </row>
    <row r="359" spans="1:16" s="3" customFormat="1" ht="22.5" customHeight="1">
      <c r="A359" s="658">
        <v>294</v>
      </c>
      <c r="B359" s="167"/>
      <c r="C359" s="163">
        <v>137</v>
      </c>
      <c r="D359" s="650" t="s">
        <v>986</v>
      </c>
      <c r="E359" s="165"/>
      <c r="F359" s="165"/>
      <c r="G359" s="166"/>
      <c r="H359" s="673" t="s">
        <v>24</v>
      </c>
      <c r="I359" s="638"/>
      <c r="J359" s="174"/>
      <c r="K359" s="174"/>
      <c r="L359" s="174"/>
      <c r="M359" s="174"/>
      <c r="N359" s="175"/>
      <c r="O359" s="8"/>
      <c r="P359" s="8"/>
    </row>
    <row r="360" spans="1:16" s="1427" customFormat="1" ht="18" customHeight="1">
      <c r="A360" s="658">
        <v>295</v>
      </c>
      <c r="B360" s="1414"/>
      <c r="C360" s="1450"/>
      <c r="D360" s="1451" t="s">
        <v>312</v>
      </c>
      <c r="E360" s="1417"/>
      <c r="F360" s="1417"/>
      <c r="G360" s="1418"/>
      <c r="H360" s="1419"/>
      <c r="I360" s="1409">
        <f>SUM(J360:N360)</f>
        <v>362</v>
      </c>
      <c r="J360" s="1413"/>
      <c r="K360" s="1413"/>
      <c r="L360" s="1413">
        <v>362</v>
      </c>
      <c r="M360" s="1413"/>
      <c r="N360" s="1452"/>
      <c r="O360" s="1420"/>
      <c r="P360" s="1420"/>
    </row>
    <row r="361" spans="1:16" s="3" customFormat="1" ht="22.5" customHeight="1">
      <c r="A361" s="658">
        <v>296</v>
      </c>
      <c r="B361" s="167"/>
      <c r="C361" s="163">
        <v>138</v>
      </c>
      <c r="D361" s="650" t="s">
        <v>745</v>
      </c>
      <c r="E361" s="165"/>
      <c r="F361" s="165"/>
      <c r="G361" s="166"/>
      <c r="H361" s="673" t="s">
        <v>24</v>
      </c>
      <c r="I361" s="638"/>
      <c r="J361" s="174"/>
      <c r="K361" s="174"/>
      <c r="L361" s="174"/>
      <c r="M361" s="174"/>
      <c r="N361" s="175"/>
      <c r="O361" s="8"/>
      <c r="P361" s="8"/>
    </row>
    <row r="362" spans="1:16" s="1427" customFormat="1" ht="18" customHeight="1">
      <c r="A362" s="658">
        <v>297</v>
      </c>
      <c r="B362" s="1414"/>
      <c r="C362" s="1450"/>
      <c r="D362" s="1451" t="s">
        <v>312</v>
      </c>
      <c r="E362" s="1417"/>
      <c r="F362" s="1417"/>
      <c r="G362" s="1418"/>
      <c r="H362" s="1419"/>
      <c r="I362" s="1409">
        <f>SUM(J362:N362)</f>
        <v>400</v>
      </c>
      <c r="J362" s="1413"/>
      <c r="K362" s="1413"/>
      <c r="L362" s="1413">
        <v>400</v>
      </c>
      <c r="M362" s="1413"/>
      <c r="N362" s="1452"/>
      <c r="O362" s="1420"/>
      <c r="P362" s="1420"/>
    </row>
    <row r="363" spans="1:16" s="3" customFormat="1" ht="22.5" customHeight="1">
      <c r="A363" s="658">
        <v>298</v>
      </c>
      <c r="B363" s="167"/>
      <c r="C363" s="163">
        <v>139</v>
      </c>
      <c r="D363" s="650" t="s">
        <v>746</v>
      </c>
      <c r="E363" s="165"/>
      <c r="F363" s="165"/>
      <c r="G363" s="166"/>
      <c r="H363" s="673" t="s">
        <v>24</v>
      </c>
      <c r="I363" s="638"/>
      <c r="J363" s="174"/>
      <c r="K363" s="174"/>
      <c r="L363" s="174"/>
      <c r="M363" s="174"/>
      <c r="N363" s="175"/>
      <c r="O363" s="8"/>
      <c r="P363" s="8"/>
    </row>
    <row r="364" spans="1:16" s="1427" customFormat="1" ht="18" customHeight="1">
      <c r="A364" s="658">
        <v>299</v>
      </c>
      <c r="B364" s="1414"/>
      <c r="C364" s="1450"/>
      <c r="D364" s="1451" t="s">
        <v>312</v>
      </c>
      <c r="E364" s="1417"/>
      <c r="F364" s="1417"/>
      <c r="G364" s="1418"/>
      <c r="H364" s="1419"/>
      <c r="I364" s="1409">
        <f>SUM(J364:N364)</f>
        <v>738</v>
      </c>
      <c r="J364" s="1413"/>
      <c r="K364" s="1413"/>
      <c r="L364" s="1413">
        <v>738</v>
      </c>
      <c r="M364" s="1413"/>
      <c r="N364" s="1452"/>
      <c r="O364" s="1420"/>
      <c r="P364" s="1420"/>
    </row>
    <row r="365" spans="1:16" s="3" customFormat="1" ht="22.5" customHeight="1">
      <c r="A365" s="658">
        <v>300</v>
      </c>
      <c r="B365" s="167"/>
      <c r="C365" s="163">
        <v>140</v>
      </c>
      <c r="D365" s="650" t="s">
        <v>595</v>
      </c>
      <c r="E365" s="165"/>
      <c r="F365" s="165"/>
      <c r="G365" s="166"/>
      <c r="H365" s="673" t="s">
        <v>24</v>
      </c>
      <c r="I365" s="639"/>
      <c r="J365" s="174"/>
      <c r="K365" s="174"/>
      <c r="L365" s="174"/>
      <c r="M365" s="174"/>
      <c r="N365" s="175"/>
      <c r="O365" s="8"/>
      <c r="P365" s="8"/>
    </row>
    <row r="366" spans="1:16" s="1427" customFormat="1" ht="18" customHeight="1" thickBot="1">
      <c r="A366" s="658">
        <v>301</v>
      </c>
      <c r="B366" s="1453"/>
      <c r="C366" s="1454"/>
      <c r="D366" s="1451" t="s">
        <v>312</v>
      </c>
      <c r="E366" s="1417"/>
      <c r="F366" s="1417"/>
      <c r="G366" s="1418"/>
      <c r="H366" s="1455"/>
      <c r="I366" s="1456">
        <f>SUM(J366:N366)</f>
        <v>100</v>
      </c>
      <c r="J366" s="1457"/>
      <c r="K366" s="1457"/>
      <c r="L366" s="1457">
        <v>100</v>
      </c>
      <c r="M366" s="1457"/>
      <c r="N366" s="1458"/>
      <c r="O366" s="1420"/>
      <c r="P366" s="1420"/>
    </row>
    <row r="367" spans="1:16" s="115" customFormat="1" ht="22.5" customHeight="1" hidden="1">
      <c r="A367" s="658">
        <v>209</v>
      </c>
      <c r="B367" s="1310"/>
      <c r="C367" s="1085"/>
      <c r="D367" s="651" t="s">
        <v>77</v>
      </c>
      <c r="E367" s="165">
        <v>8674</v>
      </c>
      <c r="F367" s="165">
        <v>650</v>
      </c>
      <c r="G367" s="166">
        <v>650</v>
      </c>
      <c r="H367" s="675" t="s">
        <v>24</v>
      </c>
      <c r="I367" s="637"/>
      <c r="J367" s="200"/>
      <c r="K367" s="200"/>
      <c r="L367" s="200"/>
      <c r="M367" s="200"/>
      <c r="N367" s="207"/>
      <c r="P367" s="646"/>
    </row>
    <row r="368" spans="1:14" s="8" customFormat="1" ht="18" customHeight="1" hidden="1">
      <c r="A368" s="658">
        <v>210</v>
      </c>
      <c r="B368" s="167"/>
      <c r="C368" s="168"/>
      <c r="D368" s="169" t="s">
        <v>312</v>
      </c>
      <c r="E368" s="165"/>
      <c r="F368" s="165"/>
      <c r="G368" s="166"/>
      <c r="H368" s="673"/>
      <c r="I368" s="638">
        <f>SUM(J368:N368)</f>
        <v>0</v>
      </c>
      <c r="J368" s="170"/>
      <c r="K368" s="170"/>
      <c r="L368" s="170"/>
      <c r="M368" s="170"/>
      <c r="N368" s="171"/>
    </row>
    <row r="369" spans="1:14" s="8" customFormat="1" ht="22.5" customHeight="1" hidden="1">
      <c r="A369" s="658">
        <v>211</v>
      </c>
      <c r="B369" s="167"/>
      <c r="C369" s="163"/>
      <c r="D369" s="651" t="s">
        <v>563</v>
      </c>
      <c r="E369" s="165"/>
      <c r="F369" s="165">
        <v>2112</v>
      </c>
      <c r="G369" s="166">
        <v>2112</v>
      </c>
      <c r="H369" s="673" t="s">
        <v>23</v>
      </c>
      <c r="I369" s="638"/>
      <c r="J369" s="170"/>
      <c r="K369" s="170"/>
      <c r="L369" s="170"/>
      <c r="M369" s="170"/>
      <c r="N369" s="171"/>
    </row>
    <row r="370" spans="1:14" s="8" customFormat="1" ht="18" customHeight="1" hidden="1">
      <c r="A370" s="658">
        <v>212</v>
      </c>
      <c r="B370" s="167"/>
      <c r="C370" s="168"/>
      <c r="D370" s="169" t="s">
        <v>312</v>
      </c>
      <c r="E370" s="165"/>
      <c r="F370" s="165"/>
      <c r="G370" s="166"/>
      <c r="H370" s="673"/>
      <c r="I370" s="638">
        <f>SUM(J370:N370)</f>
        <v>0</v>
      </c>
      <c r="J370" s="170"/>
      <c r="K370" s="170"/>
      <c r="L370" s="170"/>
      <c r="M370" s="170"/>
      <c r="N370" s="171"/>
    </row>
    <row r="371" spans="1:14" s="8" customFormat="1" ht="22.5" customHeight="1" hidden="1">
      <c r="A371" s="658">
        <v>213</v>
      </c>
      <c r="B371" s="167"/>
      <c r="C371" s="163"/>
      <c r="D371" s="650" t="s">
        <v>491</v>
      </c>
      <c r="E371" s="165">
        <v>31491</v>
      </c>
      <c r="F371" s="165">
        <v>7868</v>
      </c>
      <c r="G371" s="166">
        <v>7868</v>
      </c>
      <c r="H371" s="673" t="s">
        <v>24</v>
      </c>
      <c r="I371" s="638"/>
      <c r="J371" s="170"/>
      <c r="K371" s="170"/>
      <c r="L371" s="170"/>
      <c r="M371" s="170"/>
      <c r="N371" s="171"/>
    </row>
    <row r="372" spans="1:14" s="8" customFormat="1" ht="18" customHeight="1" hidden="1">
      <c r="A372" s="658">
        <v>214</v>
      </c>
      <c r="B372" s="167"/>
      <c r="C372" s="168"/>
      <c r="D372" s="169" t="s">
        <v>312</v>
      </c>
      <c r="E372" s="165"/>
      <c r="F372" s="165"/>
      <c r="G372" s="166"/>
      <c r="H372" s="673"/>
      <c r="I372" s="638">
        <f>SUM(J372:N372)</f>
        <v>0</v>
      </c>
      <c r="J372" s="170"/>
      <c r="K372" s="170"/>
      <c r="L372" s="170"/>
      <c r="M372" s="170"/>
      <c r="N372" s="171"/>
    </row>
    <row r="373" spans="1:16" s="3" customFormat="1" ht="22.5" customHeight="1" hidden="1">
      <c r="A373" s="658">
        <v>215</v>
      </c>
      <c r="B373" s="162"/>
      <c r="C373" s="163"/>
      <c r="D373" s="651" t="s">
        <v>100</v>
      </c>
      <c r="E373" s="165"/>
      <c r="F373" s="165">
        <v>1500</v>
      </c>
      <c r="G373" s="166">
        <v>1500</v>
      </c>
      <c r="H373" s="673" t="s">
        <v>24</v>
      </c>
      <c r="I373" s="638"/>
      <c r="J373" s="170"/>
      <c r="K373" s="170"/>
      <c r="L373" s="170"/>
      <c r="M373" s="170"/>
      <c r="N373" s="171"/>
      <c r="P373" s="8"/>
    </row>
    <row r="374" spans="1:14" s="8" customFormat="1" ht="18" customHeight="1" hidden="1" thickBot="1">
      <c r="A374" s="658">
        <v>216</v>
      </c>
      <c r="B374" s="748"/>
      <c r="C374" s="1311"/>
      <c r="D374" s="1312" t="s">
        <v>312</v>
      </c>
      <c r="E374" s="765"/>
      <c r="F374" s="765"/>
      <c r="G374" s="766"/>
      <c r="H374" s="751"/>
      <c r="I374" s="1313">
        <f>SUM(J374:N374)</f>
        <v>0</v>
      </c>
      <c r="J374" s="1314"/>
      <c r="K374" s="1314"/>
      <c r="L374" s="1314"/>
      <c r="M374" s="1314"/>
      <c r="N374" s="1315"/>
    </row>
    <row r="375" spans="1:16" s="115" customFormat="1" ht="22.5" customHeight="1" hidden="1" thickTop="1">
      <c r="A375" s="658">
        <v>217</v>
      </c>
      <c r="B375" s="1310"/>
      <c r="C375" s="1085"/>
      <c r="D375" s="169" t="s">
        <v>79</v>
      </c>
      <c r="E375" s="201"/>
      <c r="F375" s="201"/>
      <c r="G375" s="202"/>
      <c r="H375" s="675" t="s">
        <v>23</v>
      </c>
      <c r="I375" s="637"/>
      <c r="J375" s="200"/>
      <c r="K375" s="200"/>
      <c r="L375" s="200"/>
      <c r="M375" s="200"/>
      <c r="N375" s="207"/>
      <c r="P375" s="646"/>
    </row>
    <row r="376" spans="1:14" s="8" customFormat="1" ht="18" customHeight="1" hidden="1">
      <c r="A376" s="658">
        <v>218</v>
      </c>
      <c r="B376" s="167"/>
      <c r="C376" s="168"/>
      <c r="D376" s="169" t="s">
        <v>312</v>
      </c>
      <c r="E376" s="165"/>
      <c r="F376" s="165"/>
      <c r="G376" s="166"/>
      <c r="H376" s="673"/>
      <c r="I376" s="638">
        <f>SUM(J376:N376)</f>
        <v>0</v>
      </c>
      <c r="J376" s="170"/>
      <c r="K376" s="170"/>
      <c r="L376" s="170"/>
      <c r="M376" s="170"/>
      <c r="N376" s="171"/>
    </row>
    <row r="377" spans="1:16" s="3" customFormat="1" ht="22.5" customHeight="1" hidden="1">
      <c r="A377" s="658">
        <v>219</v>
      </c>
      <c r="B377" s="162"/>
      <c r="C377" s="163"/>
      <c r="D377" s="164" t="s">
        <v>89</v>
      </c>
      <c r="E377" s="165"/>
      <c r="F377" s="165"/>
      <c r="G377" s="166"/>
      <c r="H377" s="673" t="s">
        <v>23</v>
      </c>
      <c r="I377" s="638"/>
      <c r="J377" s="170"/>
      <c r="K377" s="170"/>
      <c r="L377" s="170"/>
      <c r="M377" s="170"/>
      <c r="N377" s="171"/>
      <c r="P377" s="8"/>
    </row>
    <row r="378" spans="1:14" s="8" customFormat="1" ht="18" customHeight="1" hidden="1">
      <c r="A378" s="658">
        <v>220</v>
      </c>
      <c r="B378" s="167"/>
      <c r="C378" s="168"/>
      <c r="D378" s="169" t="s">
        <v>312</v>
      </c>
      <c r="E378" s="165"/>
      <c r="F378" s="165"/>
      <c r="G378" s="166"/>
      <c r="H378" s="673"/>
      <c r="I378" s="638">
        <f>SUM(J378:N378)</f>
        <v>0</v>
      </c>
      <c r="J378" s="170"/>
      <c r="K378" s="170"/>
      <c r="L378" s="170"/>
      <c r="M378" s="170"/>
      <c r="N378" s="171"/>
    </row>
    <row r="379" spans="1:14" s="8" customFormat="1" ht="30" hidden="1">
      <c r="A379" s="658">
        <v>221</v>
      </c>
      <c r="B379" s="167"/>
      <c r="C379" s="626"/>
      <c r="D379" s="169" t="s">
        <v>546</v>
      </c>
      <c r="E379" s="165"/>
      <c r="F379" s="165"/>
      <c r="G379" s="166"/>
      <c r="H379" s="673" t="s">
        <v>24</v>
      </c>
      <c r="I379" s="638"/>
      <c r="J379" s="170"/>
      <c r="K379" s="170"/>
      <c r="L379" s="170"/>
      <c r="M379" s="170"/>
      <c r="N379" s="171"/>
    </row>
    <row r="380" spans="1:14" s="8" customFormat="1" ht="18" customHeight="1" hidden="1">
      <c r="A380" s="658">
        <v>222</v>
      </c>
      <c r="B380" s="167"/>
      <c r="C380" s="168"/>
      <c r="D380" s="169" t="s">
        <v>312</v>
      </c>
      <c r="E380" s="165"/>
      <c r="F380" s="165"/>
      <c r="G380" s="166"/>
      <c r="H380" s="673"/>
      <c r="I380" s="638">
        <f>SUM(J380:N380)</f>
        <v>0</v>
      </c>
      <c r="J380" s="170"/>
      <c r="K380" s="170"/>
      <c r="L380" s="170"/>
      <c r="M380" s="170"/>
      <c r="N380" s="171"/>
    </row>
    <row r="381" spans="1:14" s="8" customFormat="1" ht="22.5" customHeight="1" hidden="1">
      <c r="A381" s="658">
        <v>223</v>
      </c>
      <c r="B381" s="167"/>
      <c r="C381" s="163"/>
      <c r="D381" s="169" t="s">
        <v>487</v>
      </c>
      <c r="E381" s="165"/>
      <c r="F381" s="165"/>
      <c r="G381" s="166"/>
      <c r="H381" s="673" t="s">
        <v>24</v>
      </c>
      <c r="I381" s="638"/>
      <c r="J381" s="170"/>
      <c r="K381" s="170"/>
      <c r="L381" s="170"/>
      <c r="M381" s="170"/>
      <c r="N381" s="171"/>
    </row>
    <row r="382" spans="1:14" s="8" customFormat="1" ht="18" customHeight="1" hidden="1">
      <c r="A382" s="658">
        <v>224</v>
      </c>
      <c r="B382" s="167"/>
      <c r="C382" s="168"/>
      <c r="D382" s="169" t="s">
        <v>312</v>
      </c>
      <c r="E382" s="165"/>
      <c r="F382" s="165"/>
      <c r="G382" s="166"/>
      <c r="H382" s="673"/>
      <c r="I382" s="638">
        <f>SUM(J382:N382)</f>
        <v>0</v>
      </c>
      <c r="J382" s="170"/>
      <c r="K382" s="170"/>
      <c r="L382" s="170"/>
      <c r="M382" s="170"/>
      <c r="N382" s="171"/>
    </row>
    <row r="383" spans="1:14" s="8" customFormat="1" ht="22.5" customHeight="1" hidden="1">
      <c r="A383" s="658">
        <v>225</v>
      </c>
      <c r="B383" s="167"/>
      <c r="C383" s="163"/>
      <c r="D383" s="164" t="s">
        <v>515</v>
      </c>
      <c r="E383" s="165"/>
      <c r="F383" s="165"/>
      <c r="G383" s="166"/>
      <c r="H383" s="673" t="s">
        <v>24</v>
      </c>
      <c r="I383" s="638"/>
      <c r="J383" s="170"/>
      <c r="K383" s="170"/>
      <c r="L383" s="170"/>
      <c r="M383" s="170"/>
      <c r="N383" s="171"/>
    </row>
    <row r="384" spans="1:14" s="8" customFormat="1" ht="18" customHeight="1" hidden="1">
      <c r="A384" s="658">
        <v>226</v>
      </c>
      <c r="B384" s="167"/>
      <c r="C384" s="168"/>
      <c r="D384" s="169" t="s">
        <v>312</v>
      </c>
      <c r="E384" s="165"/>
      <c r="F384" s="165"/>
      <c r="G384" s="166"/>
      <c r="H384" s="673"/>
      <c r="I384" s="638">
        <f>SUM(J384:N384)</f>
        <v>0</v>
      </c>
      <c r="J384" s="170"/>
      <c r="K384" s="170"/>
      <c r="L384" s="170"/>
      <c r="M384" s="170"/>
      <c r="N384" s="171"/>
    </row>
    <row r="385" spans="1:14" s="8" customFormat="1" ht="22.5" customHeight="1" hidden="1">
      <c r="A385" s="658">
        <v>227</v>
      </c>
      <c r="B385" s="184"/>
      <c r="C385" s="163"/>
      <c r="D385" s="164" t="s">
        <v>112</v>
      </c>
      <c r="E385" s="165"/>
      <c r="F385" s="165"/>
      <c r="G385" s="166"/>
      <c r="H385" s="673" t="s">
        <v>24</v>
      </c>
      <c r="I385" s="639"/>
      <c r="J385" s="174"/>
      <c r="K385" s="174"/>
      <c r="L385" s="174"/>
      <c r="M385" s="174"/>
      <c r="N385" s="175"/>
    </row>
    <row r="386" spans="1:14" s="8" customFormat="1" ht="18" customHeight="1" hidden="1">
      <c r="A386" s="658">
        <v>228</v>
      </c>
      <c r="B386" s="167"/>
      <c r="C386" s="168"/>
      <c r="D386" s="169" t="s">
        <v>312</v>
      </c>
      <c r="E386" s="165"/>
      <c r="F386" s="165"/>
      <c r="G386" s="166"/>
      <c r="H386" s="673"/>
      <c r="I386" s="638">
        <f>SUM(J386:N386)</f>
        <v>0</v>
      </c>
      <c r="J386" s="170"/>
      <c r="K386" s="170"/>
      <c r="L386" s="170"/>
      <c r="M386" s="170"/>
      <c r="N386" s="171"/>
    </row>
    <row r="387" spans="1:14" s="8" customFormat="1" ht="22.5" customHeight="1" hidden="1">
      <c r="A387" s="658">
        <v>229</v>
      </c>
      <c r="B387" s="184"/>
      <c r="C387" s="163"/>
      <c r="D387" s="164" t="s">
        <v>457</v>
      </c>
      <c r="E387" s="165"/>
      <c r="F387" s="165"/>
      <c r="G387" s="166"/>
      <c r="H387" s="673" t="s">
        <v>24</v>
      </c>
      <c r="I387" s="639"/>
      <c r="J387" s="174"/>
      <c r="K387" s="174"/>
      <c r="L387" s="174"/>
      <c r="M387" s="174"/>
      <c r="N387" s="175"/>
    </row>
    <row r="388" spans="1:14" s="8" customFormat="1" ht="18" customHeight="1" hidden="1">
      <c r="A388" s="658">
        <v>230</v>
      </c>
      <c r="B388" s="167"/>
      <c r="C388" s="168"/>
      <c r="D388" s="169" t="s">
        <v>312</v>
      </c>
      <c r="E388" s="165"/>
      <c r="F388" s="165"/>
      <c r="G388" s="166"/>
      <c r="H388" s="673"/>
      <c r="I388" s="638">
        <f>SUM(J388:N388)</f>
        <v>0</v>
      </c>
      <c r="J388" s="170"/>
      <c r="K388" s="170"/>
      <c r="L388" s="170"/>
      <c r="M388" s="170"/>
      <c r="N388" s="171"/>
    </row>
    <row r="389" spans="1:14" s="8" customFormat="1" ht="22.5" customHeight="1" hidden="1">
      <c r="A389" s="658">
        <v>231</v>
      </c>
      <c r="B389" s="184"/>
      <c r="C389" s="163"/>
      <c r="D389" s="164" t="s">
        <v>458</v>
      </c>
      <c r="E389" s="165"/>
      <c r="F389" s="165"/>
      <c r="G389" s="166"/>
      <c r="H389" s="673" t="s">
        <v>24</v>
      </c>
      <c r="I389" s="639"/>
      <c r="J389" s="174"/>
      <c r="K389" s="174"/>
      <c r="L389" s="174"/>
      <c r="M389" s="174"/>
      <c r="N389" s="175"/>
    </row>
    <row r="390" spans="1:14" s="8" customFormat="1" ht="18" customHeight="1" hidden="1">
      <c r="A390" s="658">
        <v>232</v>
      </c>
      <c r="B390" s="167"/>
      <c r="C390" s="168"/>
      <c r="D390" s="169" t="s">
        <v>312</v>
      </c>
      <c r="E390" s="165"/>
      <c r="F390" s="165"/>
      <c r="G390" s="166"/>
      <c r="H390" s="673"/>
      <c r="I390" s="638">
        <f>SUM(J390:N390)</f>
        <v>0</v>
      </c>
      <c r="J390" s="170"/>
      <c r="K390" s="170"/>
      <c r="L390" s="170"/>
      <c r="M390" s="170"/>
      <c r="N390" s="171"/>
    </row>
    <row r="391" spans="1:14" s="8" customFormat="1" ht="22.5" customHeight="1" hidden="1">
      <c r="A391" s="658">
        <v>233</v>
      </c>
      <c r="B391" s="167"/>
      <c r="C391" s="163"/>
      <c r="D391" s="169" t="s">
        <v>465</v>
      </c>
      <c r="E391" s="165"/>
      <c r="F391" s="165"/>
      <c r="G391" s="166"/>
      <c r="H391" s="673" t="s">
        <v>24</v>
      </c>
      <c r="I391" s="638"/>
      <c r="J391" s="170"/>
      <c r="K391" s="170"/>
      <c r="L391" s="170"/>
      <c r="M391" s="170"/>
      <c r="N391" s="171"/>
    </row>
    <row r="392" spans="1:14" s="8" customFormat="1" ht="18" customHeight="1" hidden="1">
      <c r="A392" s="658">
        <v>234</v>
      </c>
      <c r="B392" s="167"/>
      <c r="C392" s="168"/>
      <c r="D392" s="169" t="s">
        <v>312</v>
      </c>
      <c r="E392" s="165"/>
      <c r="F392" s="165"/>
      <c r="G392" s="166"/>
      <c r="H392" s="673"/>
      <c r="I392" s="638">
        <f>SUM(J392:N392)</f>
        <v>0</v>
      </c>
      <c r="J392" s="170"/>
      <c r="K392" s="170"/>
      <c r="L392" s="170"/>
      <c r="M392" s="170"/>
      <c r="N392" s="171"/>
    </row>
    <row r="393" spans="1:14" s="3" customFormat="1" ht="22.5" customHeight="1" hidden="1">
      <c r="A393" s="658">
        <v>235</v>
      </c>
      <c r="B393" s="162"/>
      <c r="C393" s="163"/>
      <c r="D393" s="164" t="s">
        <v>571</v>
      </c>
      <c r="E393" s="165"/>
      <c r="F393" s="165"/>
      <c r="G393" s="166"/>
      <c r="H393" s="673" t="s">
        <v>23</v>
      </c>
      <c r="I393" s="638"/>
      <c r="J393" s="170"/>
      <c r="K393" s="170"/>
      <c r="L393" s="170"/>
      <c r="M393" s="170"/>
      <c r="N393" s="171"/>
    </row>
    <row r="394" spans="1:14" s="8" customFormat="1" ht="18" customHeight="1" hidden="1">
      <c r="A394" s="658">
        <v>236</v>
      </c>
      <c r="B394" s="167"/>
      <c r="C394" s="168"/>
      <c r="D394" s="169" t="s">
        <v>312</v>
      </c>
      <c r="E394" s="165"/>
      <c r="F394" s="165"/>
      <c r="G394" s="166"/>
      <c r="H394" s="673"/>
      <c r="I394" s="638">
        <f>SUM(J394:N394)</f>
        <v>0</v>
      </c>
      <c r="J394" s="170"/>
      <c r="K394" s="170"/>
      <c r="L394" s="170"/>
      <c r="M394" s="170"/>
      <c r="N394" s="171"/>
    </row>
    <row r="395" spans="1:14" s="8" customFormat="1" ht="31.5" customHeight="1" hidden="1">
      <c r="A395" s="658">
        <v>237</v>
      </c>
      <c r="B395" s="167"/>
      <c r="C395" s="626"/>
      <c r="D395" s="169" t="s">
        <v>492</v>
      </c>
      <c r="E395" s="165"/>
      <c r="F395" s="165"/>
      <c r="G395" s="166"/>
      <c r="H395" s="673" t="s">
        <v>24</v>
      </c>
      <c r="I395" s="638"/>
      <c r="J395" s="170"/>
      <c r="K395" s="170"/>
      <c r="L395" s="170"/>
      <c r="M395" s="170"/>
      <c r="N395" s="171"/>
    </row>
    <row r="396" spans="1:14" s="8" customFormat="1" ht="18" customHeight="1" hidden="1">
      <c r="A396" s="658">
        <v>238</v>
      </c>
      <c r="B396" s="167"/>
      <c r="C396" s="168"/>
      <c r="D396" s="169" t="s">
        <v>312</v>
      </c>
      <c r="E396" s="165"/>
      <c r="F396" s="165"/>
      <c r="G396" s="166"/>
      <c r="H396" s="673"/>
      <c r="I396" s="638">
        <f>SUM(J396:N396)</f>
        <v>0</v>
      </c>
      <c r="J396" s="170"/>
      <c r="K396" s="170"/>
      <c r="L396" s="170"/>
      <c r="M396" s="170"/>
      <c r="N396" s="171"/>
    </row>
    <row r="397" spans="1:16" s="9" customFormat="1" ht="30" customHeight="1" hidden="1">
      <c r="A397" s="658">
        <v>239</v>
      </c>
      <c r="B397" s="695"/>
      <c r="C397" s="626"/>
      <c r="D397" s="164" t="s">
        <v>545</v>
      </c>
      <c r="E397" s="201"/>
      <c r="F397" s="172"/>
      <c r="G397" s="173"/>
      <c r="H397" s="675" t="s">
        <v>24</v>
      </c>
      <c r="I397" s="638"/>
      <c r="J397" s="697"/>
      <c r="K397" s="697"/>
      <c r="L397" s="200"/>
      <c r="M397" s="697"/>
      <c r="N397" s="698"/>
      <c r="P397" s="8"/>
    </row>
    <row r="398" spans="1:16" s="9" customFormat="1" ht="18" customHeight="1" hidden="1">
      <c r="A398" s="658">
        <v>240</v>
      </c>
      <c r="B398" s="695"/>
      <c r="C398" s="168"/>
      <c r="D398" s="169" t="s">
        <v>312</v>
      </c>
      <c r="E398" s="201"/>
      <c r="F398" s="172"/>
      <c r="G398" s="173"/>
      <c r="H398" s="675"/>
      <c r="I398" s="638">
        <f>SUM(J398:N398)</f>
        <v>0</v>
      </c>
      <c r="J398" s="697"/>
      <c r="K398" s="697"/>
      <c r="L398" s="200"/>
      <c r="M398" s="697"/>
      <c r="N398" s="698"/>
      <c r="P398" s="8"/>
    </row>
    <row r="399" spans="1:16" s="747" customFormat="1" ht="22.5" customHeight="1" hidden="1">
      <c r="A399" s="658">
        <v>241</v>
      </c>
      <c r="B399" s="746"/>
      <c r="C399" s="163"/>
      <c r="D399" s="164" t="s">
        <v>570</v>
      </c>
      <c r="E399" s="201"/>
      <c r="F399" s="172"/>
      <c r="G399" s="173"/>
      <c r="H399" s="675" t="s">
        <v>24</v>
      </c>
      <c r="I399" s="638"/>
      <c r="J399" s="697"/>
      <c r="K399" s="697"/>
      <c r="L399" s="200"/>
      <c r="M399" s="697"/>
      <c r="N399" s="698"/>
      <c r="P399" s="3"/>
    </row>
    <row r="400" spans="1:16" s="9" customFormat="1" ht="18" customHeight="1" hidden="1">
      <c r="A400" s="658">
        <v>242</v>
      </c>
      <c r="B400" s="695"/>
      <c r="C400" s="168"/>
      <c r="D400" s="169" t="s">
        <v>312</v>
      </c>
      <c r="E400" s="201"/>
      <c r="F400" s="172"/>
      <c r="G400" s="173"/>
      <c r="H400" s="696"/>
      <c r="I400" s="638">
        <f>SUM(J400:N400)</f>
        <v>0</v>
      </c>
      <c r="J400" s="697"/>
      <c r="K400" s="697"/>
      <c r="L400" s="200"/>
      <c r="M400" s="697"/>
      <c r="N400" s="698"/>
      <c r="P400" s="8"/>
    </row>
    <row r="401" spans="1:16" s="747" customFormat="1" ht="22.5" customHeight="1" hidden="1">
      <c r="A401" s="658">
        <v>243</v>
      </c>
      <c r="B401" s="746"/>
      <c r="C401" s="163"/>
      <c r="D401" s="164" t="s">
        <v>394</v>
      </c>
      <c r="E401" s="201"/>
      <c r="F401" s="172"/>
      <c r="G401" s="173"/>
      <c r="H401" s="675" t="s">
        <v>24</v>
      </c>
      <c r="I401" s="638"/>
      <c r="J401" s="697"/>
      <c r="K401" s="697"/>
      <c r="L401" s="200"/>
      <c r="M401" s="697"/>
      <c r="N401" s="698"/>
      <c r="P401" s="3"/>
    </row>
    <row r="402" spans="1:16" s="9" customFormat="1" ht="18" customHeight="1" hidden="1">
      <c r="A402" s="658">
        <v>244</v>
      </c>
      <c r="B402" s="695"/>
      <c r="C402" s="168"/>
      <c r="D402" s="169" t="s">
        <v>312</v>
      </c>
      <c r="E402" s="201"/>
      <c r="F402" s="172"/>
      <c r="G402" s="173"/>
      <c r="H402" s="696"/>
      <c r="I402" s="638">
        <f>SUM(J402:N402)</f>
        <v>0</v>
      </c>
      <c r="J402" s="697"/>
      <c r="K402" s="697"/>
      <c r="L402" s="200"/>
      <c r="M402" s="697"/>
      <c r="N402" s="698"/>
      <c r="P402" s="8"/>
    </row>
    <row r="403" spans="1:14" s="8" customFormat="1" ht="22.5" customHeight="1" hidden="1">
      <c r="A403" s="658">
        <v>245</v>
      </c>
      <c r="B403" s="188"/>
      <c r="C403" s="163"/>
      <c r="D403" s="169" t="s">
        <v>621</v>
      </c>
      <c r="E403" s="201"/>
      <c r="F403" s="172"/>
      <c r="G403" s="202"/>
      <c r="H403" s="675" t="s">
        <v>24</v>
      </c>
      <c r="I403" s="638"/>
      <c r="J403" s="200"/>
      <c r="K403" s="200"/>
      <c r="L403" s="200"/>
      <c r="M403" s="200"/>
      <c r="N403" s="207"/>
    </row>
    <row r="404" spans="1:14" s="8" customFormat="1" ht="18" customHeight="1" hidden="1">
      <c r="A404" s="658">
        <v>246</v>
      </c>
      <c r="B404" s="188"/>
      <c r="C404" s="163"/>
      <c r="D404" s="169" t="s">
        <v>312</v>
      </c>
      <c r="E404" s="201"/>
      <c r="F404" s="172"/>
      <c r="G404" s="202"/>
      <c r="H404" s="675"/>
      <c r="I404" s="638">
        <f>SUM(J404:N404)</f>
        <v>0</v>
      </c>
      <c r="J404" s="200"/>
      <c r="K404" s="200"/>
      <c r="L404" s="200"/>
      <c r="M404" s="200"/>
      <c r="N404" s="207"/>
    </row>
    <row r="405" spans="1:14" s="8" customFormat="1" ht="22.5" customHeight="1" hidden="1">
      <c r="A405" s="658">
        <v>247</v>
      </c>
      <c r="B405" s="188"/>
      <c r="C405" s="163"/>
      <c r="D405" s="169" t="s">
        <v>622</v>
      </c>
      <c r="E405" s="201"/>
      <c r="F405" s="172"/>
      <c r="G405" s="202"/>
      <c r="H405" s="675" t="s">
        <v>24</v>
      </c>
      <c r="I405" s="638"/>
      <c r="J405" s="200"/>
      <c r="K405" s="200"/>
      <c r="L405" s="200"/>
      <c r="M405" s="200"/>
      <c r="N405" s="207"/>
    </row>
    <row r="406" spans="1:14" s="8" customFormat="1" ht="18" customHeight="1" hidden="1">
      <c r="A406" s="658">
        <v>248</v>
      </c>
      <c r="B406" s="188"/>
      <c r="C406" s="163"/>
      <c r="D406" s="169" t="s">
        <v>312</v>
      </c>
      <c r="E406" s="201"/>
      <c r="F406" s="172"/>
      <c r="G406" s="202"/>
      <c r="H406" s="675"/>
      <c r="I406" s="638">
        <f>SUM(J406:N406)</f>
        <v>0</v>
      </c>
      <c r="J406" s="200"/>
      <c r="K406" s="200"/>
      <c r="L406" s="200"/>
      <c r="M406" s="200"/>
      <c r="N406" s="207"/>
    </row>
    <row r="407" spans="1:14" s="8" customFormat="1" ht="33.75" customHeight="1" hidden="1">
      <c r="A407" s="658">
        <v>249</v>
      </c>
      <c r="B407" s="188"/>
      <c r="C407" s="163"/>
      <c r="D407" s="169" t="s">
        <v>624</v>
      </c>
      <c r="E407" s="201"/>
      <c r="F407" s="172"/>
      <c r="G407" s="202"/>
      <c r="H407" s="675" t="s">
        <v>24</v>
      </c>
      <c r="I407" s="638"/>
      <c r="J407" s="200"/>
      <c r="K407" s="200"/>
      <c r="L407" s="200"/>
      <c r="M407" s="200"/>
      <c r="N407" s="207"/>
    </row>
    <row r="408" spans="1:14" s="8" customFormat="1" ht="18" customHeight="1" hidden="1">
      <c r="A408" s="658">
        <v>250</v>
      </c>
      <c r="B408" s="188"/>
      <c r="C408" s="163"/>
      <c r="D408" s="169" t="s">
        <v>312</v>
      </c>
      <c r="E408" s="201"/>
      <c r="F408" s="172"/>
      <c r="G408" s="202"/>
      <c r="H408" s="675"/>
      <c r="I408" s="638">
        <f>SUM(J408:N408)</f>
        <v>0</v>
      </c>
      <c r="J408" s="200"/>
      <c r="K408" s="200"/>
      <c r="L408" s="200"/>
      <c r="M408" s="200"/>
      <c r="N408" s="207"/>
    </row>
    <row r="409" spans="1:14" s="8" customFormat="1" ht="22.5" customHeight="1" hidden="1">
      <c r="A409" s="658">
        <v>251</v>
      </c>
      <c r="B409" s="188"/>
      <c r="C409" s="163"/>
      <c r="D409" s="169" t="s">
        <v>623</v>
      </c>
      <c r="E409" s="201"/>
      <c r="F409" s="172"/>
      <c r="G409" s="202"/>
      <c r="H409" s="675" t="s">
        <v>24</v>
      </c>
      <c r="I409" s="638"/>
      <c r="J409" s="200"/>
      <c r="K409" s="200"/>
      <c r="L409" s="200"/>
      <c r="M409" s="200"/>
      <c r="N409" s="207"/>
    </row>
    <row r="410" spans="1:14" s="8" customFormat="1" ht="18" customHeight="1" hidden="1">
      <c r="A410" s="658">
        <v>252</v>
      </c>
      <c r="B410" s="188"/>
      <c r="C410" s="163"/>
      <c r="D410" s="169" t="s">
        <v>312</v>
      </c>
      <c r="E410" s="201"/>
      <c r="F410" s="172"/>
      <c r="G410" s="202"/>
      <c r="H410" s="675"/>
      <c r="I410" s="638">
        <f>SUM(J410:N410)</f>
        <v>0</v>
      </c>
      <c r="J410" s="200"/>
      <c r="K410" s="200"/>
      <c r="L410" s="200"/>
      <c r="M410" s="200"/>
      <c r="N410" s="207"/>
    </row>
    <row r="411" spans="1:14" s="8" customFormat="1" ht="22.5" customHeight="1" hidden="1">
      <c r="A411" s="658">
        <v>253</v>
      </c>
      <c r="B411" s="188"/>
      <c r="C411" s="163"/>
      <c r="D411" s="169" t="s">
        <v>616</v>
      </c>
      <c r="E411" s="201"/>
      <c r="F411" s="172"/>
      <c r="G411" s="202"/>
      <c r="H411" s="675" t="s">
        <v>24</v>
      </c>
      <c r="I411" s="638"/>
      <c r="J411" s="200"/>
      <c r="K411" s="200"/>
      <c r="L411" s="200"/>
      <c r="M411" s="200"/>
      <c r="N411" s="207"/>
    </row>
    <row r="412" spans="1:14" s="8" customFormat="1" ht="18" customHeight="1" hidden="1">
      <c r="A412" s="658">
        <v>254</v>
      </c>
      <c r="B412" s="188"/>
      <c r="C412" s="163"/>
      <c r="D412" s="169" t="s">
        <v>312</v>
      </c>
      <c r="E412" s="201"/>
      <c r="F412" s="172"/>
      <c r="G412" s="202"/>
      <c r="H412" s="675"/>
      <c r="I412" s="638">
        <f>SUM(J412:N412)</f>
        <v>0</v>
      </c>
      <c r="J412" s="200"/>
      <c r="K412" s="200"/>
      <c r="L412" s="200"/>
      <c r="M412" s="200"/>
      <c r="N412" s="207"/>
    </row>
    <row r="413" spans="1:14" s="8" customFormat="1" ht="22.5" customHeight="1" hidden="1">
      <c r="A413" s="658">
        <v>255</v>
      </c>
      <c r="B413" s="188"/>
      <c r="C413" s="163"/>
      <c r="D413" s="169" t="s">
        <v>615</v>
      </c>
      <c r="E413" s="201"/>
      <c r="F413" s="172"/>
      <c r="G413" s="202"/>
      <c r="H413" s="675" t="s">
        <v>24</v>
      </c>
      <c r="I413" s="638"/>
      <c r="J413" s="200"/>
      <c r="K413" s="200"/>
      <c r="L413" s="200"/>
      <c r="M413" s="200"/>
      <c r="N413" s="207"/>
    </row>
    <row r="414" spans="1:14" s="8" customFormat="1" ht="18" customHeight="1" hidden="1">
      <c r="A414" s="658">
        <v>256</v>
      </c>
      <c r="B414" s="188"/>
      <c r="C414" s="163"/>
      <c r="D414" s="169" t="s">
        <v>312</v>
      </c>
      <c r="E414" s="201"/>
      <c r="F414" s="172"/>
      <c r="G414" s="202"/>
      <c r="H414" s="675"/>
      <c r="I414" s="638">
        <f>SUM(J414:N414)</f>
        <v>0</v>
      </c>
      <c r="J414" s="200"/>
      <c r="K414" s="200"/>
      <c r="L414" s="200"/>
      <c r="M414" s="200"/>
      <c r="N414" s="207"/>
    </row>
    <row r="415" spans="1:16" s="9" customFormat="1" ht="18" customHeight="1" hidden="1">
      <c r="A415" s="658">
        <v>257</v>
      </c>
      <c r="B415" s="176"/>
      <c r="C415" s="163"/>
      <c r="D415" s="164" t="s">
        <v>528</v>
      </c>
      <c r="E415" s="165"/>
      <c r="F415" s="177"/>
      <c r="G415" s="178"/>
      <c r="H415" s="673" t="s">
        <v>24</v>
      </c>
      <c r="I415" s="640"/>
      <c r="J415" s="190"/>
      <c r="K415" s="190"/>
      <c r="L415" s="190"/>
      <c r="M415" s="190"/>
      <c r="N415" s="191"/>
      <c r="P415" s="8"/>
    </row>
    <row r="416" spans="1:16" s="9" customFormat="1" ht="18" customHeight="1" hidden="1">
      <c r="A416" s="658">
        <v>258</v>
      </c>
      <c r="B416" s="176"/>
      <c r="C416" s="163"/>
      <c r="D416" s="164" t="s">
        <v>572</v>
      </c>
      <c r="E416" s="165"/>
      <c r="F416" s="177"/>
      <c r="G416" s="178"/>
      <c r="H416" s="673" t="s">
        <v>24</v>
      </c>
      <c r="I416" s="640"/>
      <c r="J416" s="190"/>
      <c r="K416" s="190"/>
      <c r="L416" s="190"/>
      <c r="M416" s="190"/>
      <c r="N416" s="191"/>
      <c r="P416" s="8"/>
    </row>
    <row r="417" spans="1:16" s="9" customFormat="1" ht="18" customHeight="1" hidden="1">
      <c r="A417" s="658">
        <v>259</v>
      </c>
      <c r="B417" s="176"/>
      <c r="C417" s="163"/>
      <c r="D417" s="164" t="s">
        <v>493</v>
      </c>
      <c r="E417" s="165"/>
      <c r="F417" s="177"/>
      <c r="G417" s="178"/>
      <c r="H417" s="673" t="s">
        <v>24</v>
      </c>
      <c r="I417" s="640"/>
      <c r="J417" s="190"/>
      <c r="K417" s="190"/>
      <c r="L417" s="190"/>
      <c r="M417" s="190"/>
      <c r="N417" s="191"/>
      <c r="P417" s="8"/>
    </row>
    <row r="418" spans="1:14" s="8" customFormat="1" ht="18" customHeight="1" hidden="1">
      <c r="A418" s="658">
        <v>260</v>
      </c>
      <c r="B418" s="188"/>
      <c r="C418" s="163"/>
      <c r="D418" s="169" t="s">
        <v>573</v>
      </c>
      <c r="E418" s="201"/>
      <c r="F418" s="172"/>
      <c r="G418" s="202"/>
      <c r="H418" s="673" t="s">
        <v>24</v>
      </c>
      <c r="I418" s="638"/>
      <c r="J418" s="200"/>
      <c r="K418" s="200"/>
      <c r="L418" s="200"/>
      <c r="M418" s="200"/>
      <c r="N418" s="207"/>
    </row>
    <row r="419" spans="1:14" s="8" customFormat="1" ht="17.25" customHeight="1" hidden="1">
      <c r="A419" s="658">
        <v>261</v>
      </c>
      <c r="B419" s="188"/>
      <c r="C419" s="163"/>
      <c r="D419" s="169" t="s">
        <v>574</v>
      </c>
      <c r="E419" s="201"/>
      <c r="F419" s="172"/>
      <c r="G419" s="202"/>
      <c r="H419" s="673" t="s">
        <v>24</v>
      </c>
      <c r="I419" s="638"/>
      <c r="J419" s="200"/>
      <c r="K419" s="200"/>
      <c r="L419" s="200"/>
      <c r="M419" s="200"/>
      <c r="N419" s="207"/>
    </row>
    <row r="420" spans="1:14" s="8" customFormat="1" ht="18" customHeight="1" hidden="1">
      <c r="A420" s="658">
        <v>262</v>
      </c>
      <c r="B420" s="188"/>
      <c r="C420" s="163"/>
      <c r="D420" s="169" t="s">
        <v>575</v>
      </c>
      <c r="E420" s="201"/>
      <c r="F420" s="172"/>
      <c r="G420" s="202"/>
      <c r="H420" s="673" t="s">
        <v>24</v>
      </c>
      <c r="I420" s="638"/>
      <c r="J420" s="200"/>
      <c r="K420" s="200"/>
      <c r="L420" s="200"/>
      <c r="M420" s="200"/>
      <c r="N420" s="207"/>
    </row>
    <row r="421" spans="1:16" s="3" customFormat="1" ht="18" customHeight="1" hidden="1">
      <c r="A421" s="658">
        <v>263</v>
      </c>
      <c r="B421" s="187"/>
      <c r="C421" s="163"/>
      <c r="D421" s="169" t="s">
        <v>498</v>
      </c>
      <c r="E421" s="201"/>
      <c r="F421" s="201"/>
      <c r="G421" s="202"/>
      <c r="H421" s="675" t="s">
        <v>24</v>
      </c>
      <c r="I421" s="638"/>
      <c r="J421" s="200"/>
      <c r="K421" s="200"/>
      <c r="L421" s="200"/>
      <c r="M421" s="200"/>
      <c r="N421" s="207"/>
      <c r="O421" s="8"/>
      <c r="P421" s="8"/>
    </row>
    <row r="422" spans="1:14" s="8" customFormat="1" ht="30" customHeight="1" hidden="1">
      <c r="A422" s="658">
        <v>264</v>
      </c>
      <c r="B422" s="188"/>
      <c r="C422" s="626"/>
      <c r="D422" s="169" t="s">
        <v>541</v>
      </c>
      <c r="E422" s="201"/>
      <c r="F422" s="172"/>
      <c r="G422" s="202"/>
      <c r="H422" s="673" t="s">
        <v>24</v>
      </c>
      <c r="I422" s="638"/>
      <c r="J422" s="200"/>
      <c r="K422" s="200"/>
      <c r="L422" s="200"/>
      <c r="M422" s="200"/>
      <c r="N422" s="207"/>
    </row>
    <row r="423" spans="1:14" s="8" customFormat="1" ht="18" customHeight="1" hidden="1">
      <c r="A423" s="658">
        <v>265</v>
      </c>
      <c r="B423" s="188"/>
      <c r="C423" s="163"/>
      <c r="D423" s="169" t="s">
        <v>509</v>
      </c>
      <c r="E423" s="201"/>
      <c r="F423" s="172"/>
      <c r="G423" s="202"/>
      <c r="H423" s="673" t="s">
        <v>24</v>
      </c>
      <c r="I423" s="638"/>
      <c r="J423" s="200"/>
      <c r="K423" s="200"/>
      <c r="L423" s="200"/>
      <c r="M423" s="200"/>
      <c r="N423" s="207"/>
    </row>
    <row r="424" spans="1:14" s="8" customFormat="1" ht="18" customHeight="1" hidden="1">
      <c r="A424" s="658">
        <v>266</v>
      </c>
      <c r="B424" s="188"/>
      <c r="C424" s="163"/>
      <c r="D424" s="169" t="s">
        <v>576</v>
      </c>
      <c r="E424" s="201"/>
      <c r="F424" s="172"/>
      <c r="G424" s="202"/>
      <c r="H424" s="673" t="s">
        <v>24</v>
      </c>
      <c r="I424" s="638"/>
      <c r="J424" s="200"/>
      <c r="K424" s="200"/>
      <c r="L424" s="200"/>
      <c r="M424" s="200"/>
      <c r="N424" s="207"/>
    </row>
    <row r="425" spans="1:14" s="8" customFormat="1" ht="18" customHeight="1" hidden="1">
      <c r="A425" s="658">
        <v>267</v>
      </c>
      <c r="B425" s="188"/>
      <c r="C425" s="163"/>
      <c r="D425" s="169" t="s">
        <v>544</v>
      </c>
      <c r="E425" s="201"/>
      <c r="F425" s="172"/>
      <c r="G425" s="202"/>
      <c r="H425" s="673" t="s">
        <v>24</v>
      </c>
      <c r="I425" s="638"/>
      <c r="J425" s="200"/>
      <c r="K425" s="200"/>
      <c r="L425" s="200"/>
      <c r="M425" s="200"/>
      <c r="N425" s="207"/>
    </row>
    <row r="426" spans="1:14" s="8" customFormat="1" ht="18" customHeight="1" hidden="1">
      <c r="A426" s="658">
        <v>268</v>
      </c>
      <c r="B426" s="188"/>
      <c r="C426" s="163"/>
      <c r="D426" s="169" t="s">
        <v>577</v>
      </c>
      <c r="E426" s="201"/>
      <c r="F426" s="172"/>
      <c r="G426" s="202"/>
      <c r="H426" s="673" t="s">
        <v>24</v>
      </c>
      <c r="I426" s="638"/>
      <c r="J426" s="200"/>
      <c r="K426" s="200"/>
      <c r="L426" s="200"/>
      <c r="M426" s="200"/>
      <c r="N426" s="207"/>
    </row>
    <row r="427" spans="1:14" s="8" customFormat="1" ht="18" customHeight="1" hidden="1">
      <c r="A427" s="658">
        <v>269</v>
      </c>
      <c r="B427" s="188"/>
      <c r="C427" s="163"/>
      <c r="D427" s="169" t="s">
        <v>508</v>
      </c>
      <c r="E427" s="201"/>
      <c r="F427" s="172"/>
      <c r="G427" s="202"/>
      <c r="H427" s="673" t="s">
        <v>24</v>
      </c>
      <c r="I427" s="638"/>
      <c r="J427" s="200"/>
      <c r="K427" s="200"/>
      <c r="L427" s="200"/>
      <c r="M427" s="200"/>
      <c r="N427" s="207"/>
    </row>
    <row r="428" spans="1:14" s="8" customFormat="1" ht="18" customHeight="1" hidden="1">
      <c r="A428" s="658">
        <v>270</v>
      </c>
      <c r="B428" s="188"/>
      <c r="C428" s="163"/>
      <c r="D428" s="169" t="s">
        <v>540</v>
      </c>
      <c r="E428" s="201"/>
      <c r="F428" s="172"/>
      <c r="G428" s="202"/>
      <c r="H428" s="673" t="s">
        <v>24</v>
      </c>
      <c r="I428" s="638"/>
      <c r="J428" s="200"/>
      <c r="K428" s="200"/>
      <c r="L428" s="200"/>
      <c r="M428" s="200"/>
      <c r="N428" s="207"/>
    </row>
    <row r="429" spans="1:14" s="8" customFormat="1" ht="18" customHeight="1" hidden="1">
      <c r="A429" s="658">
        <v>271</v>
      </c>
      <c r="B429" s="188"/>
      <c r="C429" s="163"/>
      <c r="D429" s="169" t="s">
        <v>542</v>
      </c>
      <c r="E429" s="201"/>
      <c r="F429" s="172"/>
      <c r="G429" s="202"/>
      <c r="H429" s="673" t="s">
        <v>24</v>
      </c>
      <c r="I429" s="638"/>
      <c r="J429" s="200"/>
      <c r="K429" s="200"/>
      <c r="L429" s="200"/>
      <c r="M429" s="200"/>
      <c r="N429" s="207"/>
    </row>
    <row r="430" spans="1:14" s="8" customFormat="1" ht="18" customHeight="1" hidden="1">
      <c r="A430" s="658">
        <v>272</v>
      </c>
      <c r="B430" s="188"/>
      <c r="C430" s="163"/>
      <c r="D430" s="169" t="s">
        <v>460</v>
      </c>
      <c r="E430" s="201"/>
      <c r="F430" s="172"/>
      <c r="G430" s="202"/>
      <c r="H430" s="673" t="s">
        <v>23</v>
      </c>
      <c r="I430" s="638"/>
      <c r="J430" s="200"/>
      <c r="K430" s="200"/>
      <c r="L430" s="200"/>
      <c r="M430" s="200"/>
      <c r="N430" s="207"/>
    </row>
    <row r="431" spans="1:16" s="189" customFormat="1" ht="18" customHeight="1" hidden="1">
      <c r="A431" s="658">
        <v>273</v>
      </c>
      <c r="B431" s="188"/>
      <c r="C431" s="163"/>
      <c r="D431" s="169" t="s">
        <v>316</v>
      </c>
      <c r="E431" s="201"/>
      <c r="F431" s="172"/>
      <c r="G431" s="202"/>
      <c r="H431" s="675" t="s">
        <v>24</v>
      </c>
      <c r="I431" s="638"/>
      <c r="J431" s="200"/>
      <c r="K431" s="200"/>
      <c r="L431" s="200"/>
      <c r="M431" s="200"/>
      <c r="N431" s="207"/>
      <c r="O431" s="158"/>
      <c r="P431" s="8"/>
    </row>
    <row r="432" spans="1:16" s="189" customFormat="1" ht="29.25" customHeight="1" hidden="1">
      <c r="A432" s="658">
        <v>274</v>
      </c>
      <c r="B432" s="188"/>
      <c r="C432" s="626"/>
      <c r="D432" s="164" t="s">
        <v>461</v>
      </c>
      <c r="E432" s="201"/>
      <c r="F432" s="201"/>
      <c r="G432" s="202"/>
      <c r="H432" s="675" t="s">
        <v>24</v>
      </c>
      <c r="I432" s="638"/>
      <c r="J432" s="200"/>
      <c r="K432" s="200"/>
      <c r="L432" s="200"/>
      <c r="M432" s="200"/>
      <c r="N432" s="207"/>
      <c r="O432" s="158"/>
      <c r="P432" s="8"/>
    </row>
    <row r="433" spans="1:16" s="189" customFormat="1" ht="29.25" customHeight="1" hidden="1">
      <c r="A433" s="658">
        <v>275</v>
      </c>
      <c r="B433" s="188"/>
      <c r="C433" s="626"/>
      <c r="D433" s="164" t="s">
        <v>579</v>
      </c>
      <c r="E433" s="201"/>
      <c r="F433" s="201"/>
      <c r="G433" s="202"/>
      <c r="H433" s="675" t="s">
        <v>24</v>
      </c>
      <c r="I433" s="638"/>
      <c r="J433" s="200"/>
      <c r="K433" s="200"/>
      <c r="L433" s="200"/>
      <c r="M433" s="200"/>
      <c r="N433" s="207"/>
      <c r="O433" s="158"/>
      <c r="P433" s="8"/>
    </row>
    <row r="434" spans="1:16" s="3" customFormat="1" ht="29.25" customHeight="1" hidden="1">
      <c r="A434" s="658">
        <v>276</v>
      </c>
      <c r="B434" s="167"/>
      <c r="C434" s="626"/>
      <c r="D434" s="169" t="s">
        <v>462</v>
      </c>
      <c r="E434" s="165"/>
      <c r="F434" s="165"/>
      <c r="G434" s="166"/>
      <c r="H434" s="675" t="s">
        <v>24</v>
      </c>
      <c r="I434" s="638"/>
      <c r="J434" s="200"/>
      <c r="K434" s="200"/>
      <c r="L434" s="200"/>
      <c r="M434" s="200"/>
      <c r="N434" s="207"/>
      <c r="O434" s="8"/>
      <c r="P434" s="8"/>
    </row>
    <row r="435" spans="1:16" s="3" customFormat="1" ht="18" customHeight="1" hidden="1">
      <c r="A435" s="658">
        <v>277</v>
      </c>
      <c r="B435" s="187"/>
      <c r="C435" s="163"/>
      <c r="D435" s="169" t="s">
        <v>559</v>
      </c>
      <c r="E435" s="201"/>
      <c r="F435" s="201"/>
      <c r="G435" s="202"/>
      <c r="H435" s="675" t="s">
        <v>24</v>
      </c>
      <c r="I435" s="638"/>
      <c r="J435" s="200"/>
      <c r="K435" s="200"/>
      <c r="L435" s="200"/>
      <c r="M435" s="200"/>
      <c r="N435" s="207"/>
      <c r="O435" s="8"/>
      <c r="P435" s="8"/>
    </row>
    <row r="436" spans="1:16" s="189" customFormat="1" ht="18" customHeight="1" hidden="1">
      <c r="A436" s="658">
        <v>278</v>
      </c>
      <c r="B436" s="188"/>
      <c r="C436" s="163"/>
      <c r="D436" s="164" t="s">
        <v>396</v>
      </c>
      <c r="E436" s="201"/>
      <c r="F436" s="201"/>
      <c r="G436" s="202"/>
      <c r="H436" s="675" t="s">
        <v>24</v>
      </c>
      <c r="I436" s="638"/>
      <c r="J436" s="200"/>
      <c r="K436" s="200"/>
      <c r="L436" s="200"/>
      <c r="M436" s="200"/>
      <c r="N436" s="207"/>
      <c r="P436" s="8"/>
    </row>
    <row r="437" spans="1:16" s="3" customFormat="1" ht="18" customHeight="1" hidden="1">
      <c r="A437" s="658">
        <v>279</v>
      </c>
      <c r="B437" s="187"/>
      <c r="C437" s="163"/>
      <c r="D437" s="164" t="s">
        <v>397</v>
      </c>
      <c r="E437" s="201"/>
      <c r="F437" s="201"/>
      <c r="G437" s="202"/>
      <c r="H437" s="675" t="s">
        <v>24</v>
      </c>
      <c r="I437" s="638"/>
      <c r="J437" s="200"/>
      <c r="K437" s="200"/>
      <c r="L437" s="200"/>
      <c r="M437" s="200"/>
      <c r="N437" s="207"/>
      <c r="O437" s="8"/>
      <c r="P437" s="8"/>
    </row>
    <row r="438" spans="1:14" s="8" customFormat="1" ht="18" customHeight="1" hidden="1">
      <c r="A438" s="658">
        <v>280</v>
      </c>
      <c r="B438" s="167"/>
      <c r="C438" s="163"/>
      <c r="D438" s="169" t="s">
        <v>408</v>
      </c>
      <c r="E438" s="165"/>
      <c r="F438" s="165"/>
      <c r="G438" s="166"/>
      <c r="H438" s="675" t="s">
        <v>24</v>
      </c>
      <c r="I438" s="638"/>
      <c r="J438" s="200"/>
      <c r="K438" s="200"/>
      <c r="L438" s="200"/>
      <c r="M438" s="200"/>
      <c r="N438" s="207"/>
    </row>
    <row r="439" spans="1:16" s="3" customFormat="1" ht="18" customHeight="1" hidden="1">
      <c r="A439" s="658">
        <v>281</v>
      </c>
      <c r="B439" s="167"/>
      <c r="C439" s="163"/>
      <c r="D439" s="169" t="s">
        <v>407</v>
      </c>
      <c r="E439" s="165"/>
      <c r="F439" s="165"/>
      <c r="G439" s="166"/>
      <c r="H439" s="675" t="s">
        <v>24</v>
      </c>
      <c r="I439" s="638"/>
      <c r="J439" s="200"/>
      <c r="K439" s="200"/>
      <c r="L439" s="200"/>
      <c r="M439" s="200"/>
      <c r="N439" s="207"/>
      <c r="O439" s="8"/>
      <c r="P439" s="8"/>
    </row>
    <row r="440" spans="1:16" s="3" customFormat="1" ht="18" customHeight="1" hidden="1">
      <c r="A440" s="658">
        <v>282</v>
      </c>
      <c r="B440" s="167"/>
      <c r="C440" s="163"/>
      <c r="D440" s="169" t="s">
        <v>580</v>
      </c>
      <c r="E440" s="165"/>
      <c r="F440" s="165"/>
      <c r="G440" s="166"/>
      <c r="H440" s="675" t="s">
        <v>24</v>
      </c>
      <c r="I440" s="638"/>
      <c r="J440" s="200"/>
      <c r="K440" s="200"/>
      <c r="L440" s="200"/>
      <c r="M440" s="200"/>
      <c r="N440" s="207"/>
      <c r="O440" s="8"/>
      <c r="P440" s="8"/>
    </row>
    <row r="441" spans="1:16" s="3" customFormat="1" ht="18" customHeight="1" hidden="1">
      <c r="A441" s="658">
        <v>283</v>
      </c>
      <c r="B441" s="187"/>
      <c r="C441" s="163"/>
      <c r="D441" s="169" t="s">
        <v>499</v>
      </c>
      <c r="E441" s="201"/>
      <c r="F441" s="201"/>
      <c r="G441" s="202"/>
      <c r="H441" s="675" t="s">
        <v>24</v>
      </c>
      <c r="I441" s="638"/>
      <c r="J441" s="200"/>
      <c r="K441" s="200"/>
      <c r="L441" s="200"/>
      <c r="M441" s="200"/>
      <c r="N441" s="207"/>
      <c r="O441" s="8"/>
      <c r="P441" s="8"/>
    </row>
    <row r="442" spans="1:16" s="3" customFormat="1" ht="29.25" customHeight="1" hidden="1">
      <c r="A442" s="658">
        <v>284</v>
      </c>
      <c r="B442" s="187"/>
      <c r="C442" s="626"/>
      <c r="D442" s="169" t="s">
        <v>473</v>
      </c>
      <c r="E442" s="201"/>
      <c r="F442" s="201"/>
      <c r="G442" s="202"/>
      <c r="H442" s="699" t="s">
        <v>24</v>
      </c>
      <c r="I442" s="638"/>
      <c r="J442" s="200"/>
      <c r="K442" s="200"/>
      <c r="L442" s="200"/>
      <c r="M442" s="200"/>
      <c r="N442" s="207"/>
      <c r="O442" s="8"/>
      <c r="P442" s="8"/>
    </row>
    <row r="443" spans="1:16" s="3" customFormat="1" ht="29.25" customHeight="1" hidden="1">
      <c r="A443" s="658">
        <v>285</v>
      </c>
      <c r="B443" s="187"/>
      <c r="C443" s="626"/>
      <c r="D443" s="169" t="s">
        <v>581</v>
      </c>
      <c r="E443" s="201"/>
      <c r="F443" s="201"/>
      <c r="G443" s="202"/>
      <c r="H443" s="699" t="s">
        <v>24</v>
      </c>
      <c r="I443" s="638"/>
      <c r="J443" s="200"/>
      <c r="K443" s="200"/>
      <c r="L443" s="200"/>
      <c r="M443" s="200"/>
      <c r="N443" s="207"/>
      <c r="O443" s="8"/>
      <c r="P443" s="8"/>
    </row>
    <row r="444" spans="1:16" s="3" customFormat="1" ht="18" customHeight="1" hidden="1">
      <c r="A444" s="658">
        <v>286</v>
      </c>
      <c r="B444" s="187"/>
      <c r="C444" s="163"/>
      <c r="D444" s="169" t="s">
        <v>582</v>
      </c>
      <c r="E444" s="201"/>
      <c r="F444" s="201"/>
      <c r="G444" s="202"/>
      <c r="H444" s="699" t="s">
        <v>24</v>
      </c>
      <c r="I444" s="638"/>
      <c r="J444" s="200"/>
      <c r="K444" s="200"/>
      <c r="L444" s="200"/>
      <c r="M444" s="200"/>
      <c r="N444" s="207"/>
      <c r="O444" s="8"/>
      <c r="P444" s="8"/>
    </row>
    <row r="445" spans="1:16" s="3" customFormat="1" ht="18" customHeight="1" hidden="1">
      <c r="A445" s="658">
        <v>287</v>
      </c>
      <c r="B445" s="187"/>
      <c r="C445" s="163"/>
      <c r="D445" s="169" t="s">
        <v>583</v>
      </c>
      <c r="E445" s="201"/>
      <c r="F445" s="201"/>
      <c r="G445" s="202"/>
      <c r="H445" s="699" t="s">
        <v>24</v>
      </c>
      <c r="I445" s="638"/>
      <c r="J445" s="200"/>
      <c r="K445" s="200"/>
      <c r="L445" s="200"/>
      <c r="M445" s="200"/>
      <c r="N445" s="207"/>
      <c r="O445" s="8"/>
      <c r="P445" s="8"/>
    </row>
    <row r="446" spans="1:16" s="3" customFormat="1" ht="18" customHeight="1" hidden="1">
      <c r="A446" s="658">
        <v>288</v>
      </c>
      <c r="B446" s="187"/>
      <c r="C446" s="163"/>
      <c r="D446" s="169" t="s">
        <v>584</v>
      </c>
      <c r="E446" s="201"/>
      <c r="F446" s="201"/>
      <c r="G446" s="202"/>
      <c r="H446" s="699" t="s">
        <v>24</v>
      </c>
      <c r="I446" s="638"/>
      <c r="J446" s="200"/>
      <c r="K446" s="200"/>
      <c r="L446" s="200"/>
      <c r="M446" s="200"/>
      <c r="N446" s="207"/>
      <c r="O446" s="8"/>
      <c r="P446" s="8"/>
    </row>
    <row r="447" spans="1:16" s="3" customFormat="1" ht="18" customHeight="1" hidden="1">
      <c r="A447" s="658">
        <v>289</v>
      </c>
      <c r="B447" s="187"/>
      <c r="C447" s="163"/>
      <c r="D447" s="169" t="s">
        <v>500</v>
      </c>
      <c r="E447" s="201"/>
      <c r="F447" s="201"/>
      <c r="G447" s="202"/>
      <c r="H447" s="675" t="s">
        <v>24</v>
      </c>
      <c r="I447" s="638"/>
      <c r="J447" s="200"/>
      <c r="K447" s="200"/>
      <c r="L447" s="200"/>
      <c r="M447" s="200"/>
      <c r="N447" s="207"/>
      <c r="O447" s="8"/>
      <c r="P447" s="8"/>
    </row>
    <row r="448" spans="1:16" s="3" customFormat="1" ht="18" customHeight="1" hidden="1">
      <c r="A448" s="658">
        <v>290</v>
      </c>
      <c r="B448" s="187"/>
      <c r="C448" s="163"/>
      <c r="D448" s="169" t="s">
        <v>585</v>
      </c>
      <c r="E448" s="201"/>
      <c r="F448" s="201"/>
      <c r="G448" s="202"/>
      <c r="H448" s="675" t="s">
        <v>24</v>
      </c>
      <c r="I448" s="638"/>
      <c r="J448" s="200"/>
      <c r="K448" s="200"/>
      <c r="L448" s="200"/>
      <c r="M448" s="200"/>
      <c r="N448" s="207"/>
      <c r="O448" s="8"/>
      <c r="P448" s="8"/>
    </row>
    <row r="449" spans="1:16" s="3" customFormat="1" ht="29.25" customHeight="1" hidden="1">
      <c r="A449" s="658">
        <v>291</v>
      </c>
      <c r="B449" s="187"/>
      <c r="C449" s="626"/>
      <c r="D449" s="169" t="s">
        <v>514</v>
      </c>
      <c r="E449" s="201"/>
      <c r="F449" s="201"/>
      <c r="G449" s="202"/>
      <c r="H449" s="699" t="s">
        <v>24</v>
      </c>
      <c r="I449" s="638"/>
      <c r="J449" s="200"/>
      <c r="K449" s="200"/>
      <c r="L449" s="200"/>
      <c r="M449" s="200"/>
      <c r="N449" s="207"/>
      <c r="O449" s="8"/>
      <c r="P449" s="8"/>
    </row>
    <row r="450" spans="1:16" s="3" customFormat="1" ht="18" customHeight="1" hidden="1">
      <c r="A450" s="658">
        <v>292</v>
      </c>
      <c r="B450" s="187"/>
      <c r="C450" s="163"/>
      <c r="D450" s="169" t="s">
        <v>513</v>
      </c>
      <c r="E450" s="201"/>
      <c r="F450" s="201"/>
      <c r="G450" s="202"/>
      <c r="H450" s="675" t="s">
        <v>24</v>
      </c>
      <c r="I450" s="638"/>
      <c r="J450" s="200"/>
      <c r="K450" s="200"/>
      <c r="L450" s="200"/>
      <c r="M450" s="200"/>
      <c r="N450" s="207"/>
      <c r="O450" s="8"/>
      <c r="P450" s="8"/>
    </row>
    <row r="451" spans="1:16" s="3" customFormat="1" ht="18" customHeight="1" hidden="1">
      <c r="A451" s="658">
        <v>293</v>
      </c>
      <c r="B451" s="187"/>
      <c r="C451" s="163"/>
      <c r="D451" s="169" t="s">
        <v>516</v>
      </c>
      <c r="E451" s="201"/>
      <c r="F451" s="201"/>
      <c r="G451" s="202"/>
      <c r="H451" s="675" t="s">
        <v>24</v>
      </c>
      <c r="I451" s="638"/>
      <c r="J451" s="200"/>
      <c r="K451" s="200"/>
      <c r="L451" s="200"/>
      <c r="M451" s="200"/>
      <c r="N451" s="207"/>
      <c r="O451" s="8"/>
      <c r="P451" s="8"/>
    </row>
    <row r="452" spans="1:16" s="3" customFormat="1" ht="18" customHeight="1" hidden="1">
      <c r="A452" s="658">
        <v>294</v>
      </c>
      <c r="B452" s="187"/>
      <c r="C452" s="163"/>
      <c r="D452" s="169" t="s">
        <v>586</v>
      </c>
      <c r="E452" s="201"/>
      <c r="F452" s="201"/>
      <c r="G452" s="202"/>
      <c r="H452" s="675" t="s">
        <v>24</v>
      </c>
      <c r="I452" s="638"/>
      <c r="J452" s="200"/>
      <c r="K452" s="200"/>
      <c r="L452" s="200"/>
      <c r="M452" s="200"/>
      <c r="N452" s="207"/>
      <c r="O452" s="8"/>
      <c r="P452" s="8"/>
    </row>
    <row r="453" spans="1:16" s="3" customFormat="1" ht="18" customHeight="1" hidden="1">
      <c r="A453" s="658">
        <v>295</v>
      </c>
      <c r="B453" s="187"/>
      <c r="C453" s="163"/>
      <c r="D453" s="169" t="s">
        <v>587</v>
      </c>
      <c r="E453" s="201"/>
      <c r="F453" s="201"/>
      <c r="G453" s="202"/>
      <c r="H453" s="675" t="s">
        <v>24</v>
      </c>
      <c r="I453" s="638"/>
      <c r="J453" s="200"/>
      <c r="K453" s="200"/>
      <c r="L453" s="200"/>
      <c r="M453" s="200"/>
      <c r="N453" s="207"/>
      <c r="O453" s="8"/>
      <c r="P453" s="8"/>
    </row>
    <row r="454" spans="1:16" s="3" customFormat="1" ht="18" customHeight="1" hidden="1">
      <c r="A454" s="658">
        <v>296</v>
      </c>
      <c r="B454" s="187"/>
      <c r="C454" s="163"/>
      <c r="D454" s="169" t="s">
        <v>588</v>
      </c>
      <c r="E454" s="201"/>
      <c r="F454" s="201"/>
      <c r="G454" s="202"/>
      <c r="H454" s="675" t="s">
        <v>24</v>
      </c>
      <c r="I454" s="638"/>
      <c r="J454" s="200"/>
      <c r="K454" s="200"/>
      <c r="L454" s="200"/>
      <c r="M454" s="200"/>
      <c r="N454" s="207"/>
      <c r="O454" s="8"/>
      <c r="P454" s="8"/>
    </row>
    <row r="455" spans="1:16" s="3" customFormat="1" ht="18" customHeight="1" hidden="1">
      <c r="A455" s="658">
        <v>297</v>
      </c>
      <c r="B455" s="187"/>
      <c r="C455" s="163"/>
      <c r="D455" s="169" t="s">
        <v>589</v>
      </c>
      <c r="E455" s="201"/>
      <c r="F455" s="201"/>
      <c r="G455" s="202"/>
      <c r="H455" s="675" t="s">
        <v>24</v>
      </c>
      <c r="I455" s="638"/>
      <c r="J455" s="200"/>
      <c r="K455" s="200"/>
      <c r="L455" s="200"/>
      <c r="M455" s="200"/>
      <c r="N455" s="207"/>
      <c r="O455" s="8"/>
      <c r="P455" s="8"/>
    </row>
    <row r="456" spans="1:16" s="3" customFormat="1" ht="18" customHeight="1" hidden="1">
      <c r="A456" s="658">
        <v>298</v>
      </c>
      <c r="B456" s="187"/>
      <c r="C456" s="163"/>
      <c r="D456" s="169" t="s">
        <v>590</v>
      </c>
      <c r="E456" s="201"/>
      <c r="F456" s="201"/>
      <c r="G456" s="202"/>
      <c r="H456" s="675" t="s">
        <v>24</v>
      </c>
      <c r="I456" s="638"/>
      <c r="J456" s="200"/>
      <c r="K456" s="200"/>
      <c r="L456" s="200"/>
      <c r="M456" s="200"/>
      <c r="N456" s="207"/>
      <c r="O456" s="8"/>
      <c r="P456" s="8"/>
    </row>
    <row r="457" spans="1:16" s="3" customFormat="1" ht="18" customHeight="1" hidden="1">
      <c r="A457" s="658">
        <v>299</v>
      </c>
      <c r="B457" s="187"/>
      <c r="C457" s="163"/>
      <c r="D457" s="169" t="s">
        <v>591</v>
      </c>
      <c r="E457" s="201"/>
      <c r="F457" s="201"/>
      <c r="G457" s="202"/>
      <c r="H457" s="675" t="s">
        <v>24</v>
      </c>
      <c r="I457" s="638"/>
      <c r="J457" s="200"/>
      <c r="K457" s="200"/>
      <c r="L457" s="200"/>
      <c r="M457" s="200"/>
      <c r="N457" s="207"/>
      <c r="O457" s="8"/>
      <c r="P457" s="8"/>
    </row>
    <row r="458" spans="1:16" s="3" customFormat="1" ht="29.25" customHeight="1" hidden="1">
      <c r="A458" s="658">
        <v>300</v>
      </c>
      <c r="B458" s="187"/>
      <c r="C458" s="626"/>
      <c r="D458" s="169" t="s">
        <v>510</v>
      </c>
      <c r="E458" s="201"/>
      <c r="F458" s="201"/>
      <c r="G458" s="202"/>
      <c r="H458" s="699" t="s">
        <v>24</v>
      </c>
      <c r="I458" s="638"/>
      <c r="J458" s="200"/>
      <c r="K458" s="200"/>
      <c r="L458" s="200"/>
      <c r="M458" s="200"/>
      <c r="N458" s="207"/>
      <c r="O458" s="8"/>
      <c r="P458" s="8"/>
    </row>
    <row r="459" spans="1:16" s="189" customFormat="1" ht="18" customHeight="1" hidden="1">
      <c r="A459" s="658">
        <v>301</v>
      </c>
      <c r="B459" s="188"/>
      <c r="C459" s="163"/>
      <c r="D459" s="164" t="s">
        <v>119</v>
      </c>
      <c r="E459" s="201"/>
      <c r="F459" s="201"/>
      <c r="G459" s="202"/>
      <c r="H459" s="675" t="s">
        <v>24</v>
      </c>
      <c r="I459" s="638"/>
      <c r="J459" s="200"/>
      <c r="K459" s="200"/>
      <c r="L459" s="200"/>
      <c r="M459" s="200"/>
      <c r="N459" s="207"/>
      <c r="O459" s="158"/>
      <c r="P459" s="8"/>
    </row>
    <row r="460" spans="1:16" s="189" customFormat="1" ht="18" customHeight="1" hidden="1">
      <c r="A460" s="658">
        <v>302</v>
      </c>
      <c r="B460" s="188"/>
      <c r="C460" s="163"/>
      <c r="D460" s="169" t="s">
        <v>496</v>
      </c>
      <c r="E460" s="201"/>
      <c r="F460" s="201"/>
      <c r="G460" s="202"/>
      <c r="H460" s="675" t="s">
        <v>24</v>
      </c>
      <c r="I460" s="638"/>
      <c r="J460" s="200"/>
      <c r="K460" s="200"/>
      <c r="L460" s="200"/>
      <c r="M460" s="200"/>
      <c r="N460" s="207"/>
      <c r="O460" s="158"/>
      <c r="P460" s="8"/>
    </row>
    <row r="461" spans="1:16" s="189" customFormat="1" ht="18" customHeight="1" hidden="1">
      <c r="A461" s="658">
        <v>303</v>
      </c>
      <c r="B461" s="188"/>
      <c r="C461" s="163"/>
      <c r="D461" s="169" t="s">
        <v>599</v>
      </c>
      <c r="E461" s="201"/>
      <c r="F461" s="201"/>
      <c r="G461" s="202"/>
      <c r="H461" s="675" t="s">
        <v>24</v>
      </c>
      <c r="I461" s="638"/>
      <c r="J461" s="200"/>
      <c r="K461" s="200"/>
      <c r="L461" s="200"/>
      <c r="M461" s="200"/>
      <c r="N461" s="207"/>
      <c r="O461" s="158"/>
      <c r="P461" s="8"/>
    </row>
    <row r="462" spans="1:16" s="189" customFormat="1" ht="18" customHeight="1" hidden="1">
      <c r="A462" s="658">
        <v>304</v>
      </c>
      <c r="B462" s="188"/>
      <c r="C462" s="163"/>
      <c r="D462" s="169" t="s">
        <v>600</v>
      </c>
      <c r="E462" s="201"/>
      <c r="F462" s="201"/>
      <c r="G462" s="202"/>
      <c r="H462" s="675" t="s">
        <v>24</v>
      </c>
      <c r="I462" s="638"/>
      <c r="J462" s="200"/>
      <c r="K462" s="200"/>
      <c r="L462" s="200"/>
      <c r="M462" s="200"/>
      <c r="N462" s="207"/>
      <c r="O462" s="158"/>
      <c r="P462" s="8"/>
    </row>
    <row r="463" spans="1:16" s="3" customFormat="1" ht="29.25" customHeight="1" hidden="1">
      <c r="A463" s="658">
        <v>305</v>
      </c>
      <c r="B463" s="187"/>
      <c r="C463" s="626"/>
      <c r="D463" s="169" t="s">
        <v>603</v>
      </c>
      <c r="E463" s="201"/>
      <c r="F463" s="201"/>
      <c r="G463" s="202"/>
      <c r="H463" s="699" t="s">
        <v>23</v>
      </c>
      <c r="I463" s="638"/>
      <c r="J463" s="200"/>
      <c r="K463" s="200"/>
      <c r="L463" s="200"/>
      <c r="M463" s="200"/>
      <c r="N463" s="207"/>
      <c r="O463" s="8"/>
      <c r="P463" s="8"/>
    </row>
    <row r="464" spans="1:14" s="8" customFormat="1" ht="22.5" customHeight="1" hidden="1">
      <c r="A464" s="658">
        <v>306</v>
      </c>
      <c r="B464" s="167"/>
      <c r="C464" s="163"/>
      <c r="D464" s="186" t="s">
        <v>274</v>
      </c>
      <c r="E464" s="165"/>
      <c r="F464" s="165"/>
      <c r="G464" s="166"/>
      <c r="H464" s="675"/>
      <c r="I464" s="638"/>
      <c r="J464" s="200"/>
      <c r="K464" s="200"/>
      <c r="L464" s="200"/>
      <c r="M464" s="200"/>
      <c r="N464" s="207"/>
    </row>
    <row r="465" spans="1:16" s="3" customFormat="1" ht="18" customHeight="1" hidden="1">
      <c r="A465" s="658">
        <v>307</v>
      </c>
      <c r="B465" s="167"/>
      <c r="C465" s="163"/>
      <c r="D465" s="164" t="s">
        <v>592</v>
      </c>
      <c r="E465" s="165"/>
      <c r="F465" s="165"/>
      <c r="G465" s="166"/>
      <c r="H465" s="673" t="s">
        <v>24</v>
      </c>
      <c r="I465" s="639"/>
      <c r="J465" s="174"/>
      <c r="K465" s="174"/>
      <c r="L465" s="174"/>
      <c r="M465" s="174"/>
      <c r="N465" s="175"/>
      <c r="O465" s="8"/>
      <c r="P465" s="8"/>
    </row>
    <row r="466" spans="1:16" s="3" customFormat="1" ht="18" customHeight="1" hidden="1">
      <c r="A466" s="658">
        <v>308</v>
      </c>
      <c r="B466" s="167"/>
      <c r="C466" s="163"/>
      <c r="D466" s="164" t="s">
        <v>277</v>
      </c>
      <c r="E466" s="165"/>
      <c r="F466" s="165"/>
      <c r="G466" s="166"/>
      <c r="H466" s="673" t="s">
        <v>24</v>
      </c>
      <c r="I466" s="639"/>
      <c r="J466" s="174"/>
      <c r="K466" s="174"/>
      <c r="L466" s="174"/>
      <c r="M466" s="174"/>
      <c r="N466" s="175"/>
      <c r="O466" s="8"/>
      <c r="P466" s="8"/>
    </row>
    <row r="467" spans="1:16" s="3" customFormat="1" ht="18" customHeight="1" hidden="1">
      <c r="A467" s="658">
        <v>309</v>
      </c>
      <c r="B467" s="167"/>
      <c r="C467" s="163"/>
      <c r="D467" s="164" t="s">
        <v>593</v>
      </c>
      <c r="E467" s="165"/>
      <c r="F467" s="165"/>
      <c r="G467" s="166"/>
      <c r="H467" s="673" t="s">
        <v>24</v>
      </c>
      <c r="I467" s="639"/>
      <c r="J467" s="174"/>
      <c r="K467" s="174"/>
      <c r="L467" s="174"/>
      <c r="M467" s="174"/>
      <c r="N467" s="175"/>
      <c r="O467" s="8"/>
      <c r="P467" s="8"/>
    </row>
    <row r="468" spans="1:16" s="3" customFormat="1" ht="18" customHeight="1" hidden="1">
      <c r="A468" s="658">
        <v>310</v>
      </c>
      <c r="B468" s="167"/>
      <c r="C468" s="163"/>
      <c r="D468" s="164" t="s">
        <v>32</v>
      </c>
      <c r="E468" s="165"/>
      <c r="F468" s="165"/>
      <c r="G468" s="166"/>
      <c r="H468" s="673" t="s">
        <v>24</v>
      </c>
      <c r="I468" s="639"/>
      <c r="J468" s="174"/>
      <c r="K468" s="174"/>
      <c r="L468" s="174"/>
      <c r="M468" s="174"/>
      <c r="N468" s="175"/>
      <c r="O468" s="8"/>
      <c r="P468" s="8"/>
    </row>
    <row r="469" spans="1:16" s="3" customFormat="1" ht="18" customHeight="1" hidden="1">
      <c r="A469" s="658">
        <v>311</v>
      </c>
      <c r="B469" s="167"/>
      <c r="C469" s="163"/>
      <c r="D469" s="164" t="s">
        <v>503</v>
      </c>
      <c r="E469" s="165"/>
      <c r="F469" s="165"/>
      <c r="G469" s="166"/>
      <c r="H469" s="673" t="s">
        <v>24</v>
      </c>
      <c r="I469" s="639"/>
      <c r="J469" s="174"/>
      <c r="K469" s="174"/>
      <c r="L469" s="174"/>
      <c r="M469" s="174"/>
      <c r="N469" s="175"/>
      <c r="O469" s="8"/>
      <c r="P469" s="8"/>
    </row>
    <row r="470" spans="1:16" s="3" customFormat="1" ht="18" customHeight="1" hidden="1">
      <c r="A470" s="658">
        <v>312</v>
      </c>
      <c r="B470" s="167"/>
      <c r="C470" s="163"/>
      <c r="D470" s="164" t="s">
        <v>504</v>
      </c>
      <c r="E470" s="165"/>
      <c r="F470" s="165"/>
      <c r="G470" s="166"/>
      <c r="H470" s="673" t="s">
        <v>24</v>
      </c>
      <c r="I470" s="639"/>
      <c r="J470" s="174"/>
      <c r="K470" s="174"/>
      <c r="L470" s="174"/>
      <c r="M470" s="174"/>
      <c r="N470" s="175"/>
      <c r="O470" s="8"/>
      <c r="P470" s="8"/>
    </row>
    <row r="471" spans="1:16" s="3" customFormat="1" ht="18" customHeight="1" hidden="1">
      <c r="A471" s="658">
        <v>313</v>
      </c>
      <c r="B471" s="167"/>
      <c r="C471" s="163"/>
      <c r="D471" s="164" t="s">
        <v>505</v>
      </c>
      <c r="E471" s="165"/>
      <c r="F471" s="165"/>
      <c r="G471" s="166"/>
      <c r="H471" s="673" t="s">
        <v>24</v>
      </c>
      <c r="I471" s="639"/>
      <c r="J471" s="174"/>
      <c r="K471" s="174"/>
      <c r="L471" s="174"/>
      <c r="M471" s="174"/>
      <c r="N471" s="175"/>
      <c r="O471" s="8"/>
      <c r="P471" s="8"/>
    </row>
    <row r="472" spans="1:16" s="3" customFormat="1" ht="18" customHeight="1" hidden="1">
      <c r="A472" s="658">
        <v>314</v>
      </c>
      <c r="B472" s="167"/>
      <c r="C472" s="163"/>
      <c r="D472" s="164" t="s">
        <v>506</v>
      </c>
      <c r="E472" s="165"/>
      <c r="F472" s="165"/>
      <c r="G472" s="166"/>
      <c r="H472" s="673" t="s">
        <v>24</v>
      </c>
      <c r="I472" s="639"/>
      <c r="J472" s="174"/>
      <c r="K472" s="174"/>
      <c r="L472" s="174"/>
      <c r="M472" s="174"/>
      <c r="N472" s="175"/>
      <c r="O472" s="8"/>
      <c r="P472" s="8"/>
    </row>
    <row r="473" spans="1:16" s="3" customFormat="1" ht="18" customHeight="1" hidden="1">
      <c r="A473" s="658">
        <v>315</v>
      </c>
      <c r="B473" s="167"/>
      <c r="C473" s="163"/>
      <c r="D473" s="164" t="s">
        <v>742</v>
      </c>
      <c r="E473" s="165"/>
      <c r="F473" s="165"/>
      <c r="G473" s="166"/>
      <c r="H473" s="673" t="s">
        <v>24</v>
      </c>
      <c r="I473" s="638"/>
      <c r="J473" s="174"/>
      <c r="K473" s="174"/>
      <c r="L473" s="174"/>
      <c r="M473" s="174"/>
      <c r="N473" s="175"/>
      <c r="O473" s="8"/>
      <c r="P473" s="8"/>
    </row>
    <row r="474" spans="1:16" s="3" customFormat="1" ht="18" customHeight="1" hidden="1">
      <c r="A474" s="658">
        <v>316</v>
      </c>
      <c r="B474" s="167"/>
      <c r="C474" s="163"/>
      <c r="D474" s="164" t="s">
        <v>743</v>
      </c>
      <c r="E474" s="165"/>
      <c r="F474" s="165"/>
      <c r="G474" s="166"/>
      <c r="H474" s="673" t="s">
        <v>24</v>
      </c>
      <c r="I474" s="639"/>
      <c r="J474" s="174"/>
      <c r="K474" s="174"/>
      <c r="L474" s="174"/>
      <c r="M474" s="174"/>
      <c r="N474" s="175"/>
      <c r="O474" s="8"/>
      <c r="P474" s="8"/>
    </row>
    <row r="475" spans="1:16" s="3" customFormat="1" ht="18" customHeight="1" hidden="1">
      <c r="A475" s="658">
        <v>317</v>
      </c>
      <c r="B475" s="167"/>
      <c r="C475" s="163"/>
      <c r="D475" s="164" t="s">
        <v>594</v>
      </c>
      <c r="E475" s="165"/>
      <c r="F475" s="165"/>
      <c r="G475" s="166"/>
      <c r="H475" s="673" t="s">
        <v>24</v>
      </c>
      <c r="I475" s="639"/>
      <c r="J475" s="174"/>
      <c r="K475" s="174"/>
      <c r="L475" s="174"/>
      <c r="M475" s="174"/>
      <c r="N475" s="175"/>
      <c r="O475" s="8"/>
      <c r="P475" s="8"/>
    </row>
    <row r="476" spans="1:16" s="3" customFormat="1" ht="22.5" customHeight="1" hidden="1">
      <c r="A476" s="658">
        <v>318</v>
      </c>
      <c r="B476" s="167"/>
      <c r="C476" s="163"/>
      <c r="D476" s="186" t="s">
        <v>280</v>
      </c>
      <c r="E476" s="165"/>
      <c r="F476" s="165"/>
      <c r="G476" s="166"/>
      <c r="H476" s="673"/>
      <c r="I476" s="639"/>
      <c r="J476" s="174"/>
      <c r="K476" s="174"/>
      <c r="L476" s="174"/>
      <c r="M476" s="174"/>
      <c r="N476" s="175"/>
      <c r="O476" s="8"/>
      <c r="P476" s="8"/>
    </row>
    <row r="477" spans="1:16" s="3" customFormat="1" ht="18" customHeight="1" hidden="1">
      <c r="A477" s="658">
        <v>319</v>
      </c>
      <c r="B477" s="167"/>
      <c r="C477" s="163"/>
      <c r="D477" s="164" t="s">
        <v>596</v>
      </c>
      <c r="E477" s="165"/>
      <c r="F477" s="165"/>
      <c r="G477" s="166"/>
      <c r="H477" s="673" t="s">
        <v>24</v>
      </c>
      <c r="I477" s="639"/>
      <c r="J477" s="174"/>
      <c r="K477" s="174"/>
      <c r="L477" s="174"/>
      <c r="M477" s="174"/>
      <c r="N477" s="175"/>
      <c r="O477" s="8"/>
      <c r="P477" s="8"/>
    </row>
    <row r="478" spans="1:16" s="3" customFormat="1" ht="18" customHeight="1" hidden="1">
      <c r="A478" s="658">
        <v>320</v>
      </c>
      <c r="B478" s="167"/>
      <c r="C478" s="163"/>
      <c r="D478" s="164" t="s">
        <v>292</v>
      </c>
      <c r="E478" s="165"/>
      <c r="F478" s="165"/>
      <c r="G478" s="166"/>
      <c r="H478" s="673" t="s">
        <v>24</v>
      </c>
      <c r="I478" s="639"/>
      <c r="J478" s="174"/>
      <c r="K478" s="174"/>
      <c r="L478" s="174"/>
      <c r="M478" s="174"/>
      <c r="N478" s="175"/>
      <c r="O478" s="8"/>
      <c r="P478" s="8"/>
    </row>
    <row r="479" spans="1:16" s="3" customFormat="1" ht="18" customHeight="1" hidden="1">
      <c r="A479" s="658">
        <v>321</v>
      </c>
      <c r="B479" s="167"/>
      <c r="C479" s="163"/>
      <c r="D479" s="164" t="s">
        <v>317</v>
      </c>
      <c r="E479" s="165"/>
      <c r="F479" s="165"/>
      <c r="G479" s="166"/>
      <c r="H479" s="673" t="s">
        <v>24</v>
      </c>
      <c r="I479" s="639"/>
      <c r="J479" s="174"/>
      <c r="K479" s="174"/>
      <c r="L479" s="174"/>
      <c r="M479" s="174"/>
      <c r="N479" s="175"/>
      <c r="O479" s="8"/>
      <c r="P479" s="8"/>
    </row>
    <row r="480" spans="1:16" s="3" customFormat="1" ht="18" customHeight="1" hidden="1">
      <c r="A480" s="658">
        <v>322</v>
      </c>
      <c r="B480" s="167"/>
      <c r="C480" s="163"/>
      <c r="D480" s="164" t="s">
        <v>597</v>
      </c>
      <c r="E480" s="165"/>
      <c r="F480" s="165"/>
      <c r="G480" s="166"/>
      <c r="H480" s="673" t="s">
        <v>24</v>
      </c>
      <c r="I480" s="639"/>
      <c r="J480" s="174"/>
      <c r="K480" s="174"/>
      <c r="L480" s="174"/>
      <c r="M480" s="174"/>
      <c r="N480" s="175"/>
      <c r="O480" s="8"/>
      <c r="P480" s="8"/>
    </row>
    <row r="481" spans="1:16" s="3" customFormat="1" ht="18" customHeight="1" hidden="1">
      <c r="A481" s="658">
        <v>323</v>
      </c>
      <c r="B481" s="167"/>
      <c r="C481" s="163"/>
      <c r="D481" s="164" t="s">
        <v>598</v>
      </c>
      <c r="E481" s="165"/>
      <c r="F481" s="165"/>
      <c r="G481" s="166"/>
      <c r="H481" s="673" t="s">
        <v>24</v>
      </c>
      <c r="I481" s="639"/>
      <c r="J481" s="174"/>
      <c r="K481" s="174"/>
      <c r="L481" s="174"/>
      <c r="M481" s="174"/>
      <c r="N481" s="175"/>
      <c r="O481" s="8"/>
      <c r="P481" s="8"/>
    </row>
    <row r="482" spans="1:14" s="8" customFormat="1" ht="19.5" customHeight="1" hidden="1">
      <c r="A482" s="658">
        <v>324</v>
      </c>
      <c r="B482" s="490"/>
      <c r="C482" s="163"/>
      <c r="D482" s="491"/>
      <c r="E482" s="763"/>
      <c r="F482" s="763"/>
      <c r="G482" s="764"/>
      <c r="H482" s="673" t="s">
        <v>24</v>
      </c>
      <c r="I482" s="492"/>
      <c r="J482" s="493"/>
      <c r="K482" s="493"/>
      <c r="L482" s="493"/>
      <c r="M482" s="493"/>
      <c r="N482" s="593"/>
    </row>
    <row r="483" spans="1:14" s="8" customFormat="1" ht="19.5" customHeight="1" hidden="1">
      <c r="A483" s="658">
        <v>325</v>
      </c>
      <c r="B483" s="187"/>
      <c r="C483" s="163"/>
      <c r="D483" s="627" t="s">
        <v>463</v>
      </c>
      <c r="E483" s="201"/>
      <c r="F483" s="201"/>
      <c r="G483" s="202"/>
      <c r="H483" s="673" t="s">
        <v>24</v>
      </c>
      <c r="I483" s="657"/>
      <c r="J483" s="701"/>
      <c r="K483" s="701"/>
      <c r="L483" s="701"/>
      <c r="M483" s="701"/>
      <c r="N483" s="705"/>
    </row>
    <row r="484" spans="1:14" s="8" customFormat="1" ht="19.5" customHeight="1" hidden="1">
      <c r="A484" s="658">
        <v>326</v>
      </c>
      <c r="B484" s="167"/>
      <c r="C484" s="163"/>
      <c r="D484" s="164" t="s">
        <v>494</v>
      </c>
      <c r="E484" s="165"/>
      <c r="F484" s="165"/>
      <c r="G484" s="166"/>
      <c r="H484" s="673" t="s">
        <v>24</v>
      </c>
      <c r="I484" s="702"/>
      <c r="J484" s="174"/>
      <c r="K484" s="174"/>
      <c r="L484" s="174"/>
      <c r="M484" s="174"/>
      <c r="N484" s="175"/>
    </row>
    <row r="485" spans="1:14" s="8" customFormat="1" ht="19.5" customHeight="1" hidden="1">
      <c r="A485" s="658">
        <v>327</v>
      </c>
      <c r="B485" s="167"/>
      <c r="C485" s="163"/>
      <c r="D485" s="164" t="s">
        <v>495</v>
      </c>
      <c r="E485" s="165"/>
      <c r="F485" s="165"/>
      <c r="G485" s="166"/>
      <c r="H485" s="673" t="s">
        <v>24</v>
      </c>
      <c r="I485" s="702"/>
      <c r="J485" s="174"/>
      <c r="K485" s="174"/>
      <c r="L485" s="174"/>
      <c r="M485" s="174"/>
      <c r="N485" s="175"/>
    </row>
    <row r="486" spans="1:14" s="8" customFormat="1" ht="19.5" customHeight="1" hidden="1">
      <c r="A486" s="658">
        <v>328</v>
      </c>
      <c r="B486" s="167"/>
      <c r="C486" s="163"/>
      <c r="D486" s="164" t="s">
        <v>497</v>
      </c>
      <c r="E486" s="165"/>
      <c r="F486" s="165"/>
      <c r="G486" s="166"/>
      <c r="H486" s="673" t="s">
        <v>24</v>
      </c>
      <c r="I486" s="702"/>
      <c r="J486" s="174"/>
      <c r="K486" s="174"/>
      <c r="L486" s="174"/>
      <c r="M486" s="174"/>
      <c r="N486" s="175"/>
    </row>
    <row r="487" spans="1:14" s="8" customFormat="1" ht="19.5" customHeight="1" hidden="1">
      <c r="A487" s="658">
        <v>329</v>
      </c>
      <c r="B487" s="167"/>
      <c r="C487" s="163"/>
      <c r="D487" s="164" t="s">
        <v>398</v>
      </c>
      <c r="E487" s="165"/>
      <c r="F487" s="165"/>
      <c r="G487" s="166"/>
      <c r="H487" s="673" t="s">
        <v>24</v>
      </c>
      <c r="I487" s="702"/>
      <c r="J487" s="174"/>
      <c r="K487" s="174"/>
      <c r="L487" s="174"/>
      <c r="M487" s="174"/>
      <c r="N487" s="175"/>
    </row>
    <row r="488" spans="1:14" s="8" customFormat="1" ht="19.5" customHeight="1" hidden="1">
      <c r="A488" s="658">
        <v>330</v>
      </c>
      <c r="B488" s="167"/>
      <c r="C488" s="163"/>
      <c r="D488" s="164" t="s">
        <v>305</v>
      </c>
      <c r="E488" s="165"/>
      <c r="F488" s="165"/>
      <c r="G488" s="166"/>
      <c r="H488" s="673" t="s">
        <v>24</v>
      </c>
      <c r="I488" s="702"/>
      <c r="J488" s="174"/>
      <c r="K488" s="174"/>
      <c r="L488" s="174"/>
      <c r="M488" s="174"/>
      <c r="N488" s="175"/>
    </row>
    <row r="489" spans="1:14" s="8" customFormat="1" ht="29.25" customHeight="1" hidden="1">
      <c r="A489" s="658">
        <v>331</v>
      </c>
      <c r="B489" s="167"/>
      <c r="C489" s="626"/>
      <c r="D489" s="164" t="s">
        <v>409</v>
      </c>
      <c r="E489" s="165"/>
      <c r="F489" s="165"/>
      <c r="G489" s="166"/>
      <c r="H489" s="673" t="s">
        <v>24</v>
      </c>
      <c r="I489" s="702"/>
      <c r="J489" s="174"/>
      <c r="K489" s="174"/>
      <c r="L489" s="174"/>
      <c r="M489" s="174"/>
      <c r="N489" s="175"/>
    </row>
    <row r="490" spans="1:14" s="8" customFormat="1" ht="29.25" customHeight="1" hidden="1">
      <c r="A490" s="658">
        <v>332</v>
      </c>
      <c r="B490" s="167"/>
      <c r="C490" s="626"/>
      <c r="D490" s="164" t="s">
        <v>501</v>
      </c>
      <c r="E490" s="165"/>
      <c r="F490" s="165"/>
      <c r="G490" s="166"/>
      <c r="H490" s="673" t="s">
        <v>24</v>
      </c>
      <c r="I490" s="702"/>
      <c r="J490" s="174"/>
      <c r="K490" s="174"/>
      <c r="L490" s="174"/>
      <c r="M490" s="174"/>
      <c r="N490" s="175"/>
    </row>
    <row r="491" spans="1:14" s="8" customFormat="1" ht="19.5" customHeight="1" hidden="1">
      <c r="A491" s="658">
        <v>333</v>
      </c>
      <c r="B491" s="167"/>
      <c r="C491" s="163"/>
      <c r="D491" s="164" t="s">
        <v>276</v>
      </c>
      <c r="E491" s="165"/>
      <c r="F491" s="165"/>
      <c r="G491" s="166"/>
      <c r="H491" s="673" t="s">
        <v>24</v>
      </c>
      <c r="I491" s="702"/>
      <c r="J491" s="174"/>
      <c r="K491" s="174"/>
      <c r="L491" s="174"/>
      <c r="M491" s="174"/>
      <c r="N491" s="175"/>
    </row>
    <row r="492" spans="1:14" s="8" customFormat="1" ht="19.5" customHeight="1" hidden="1">
      <c r="A492" s="658">
        <v>334</v>
      </c>
      <c r="B492" s="167"/>
      <c r="C492" s="163"/>
      <c r="D492" s="164" t="s">
        <v>279</v>
      </c>
      <c r="E492" s="165"/>
      <c r="F492" s="165"/>
      <c r="G492" s="166"/>
      <c r="H492" s="673" t="s">
        <v>24</v>
      </c>
      <c r="I492" s="702"/>
      <c r="J492" s="174"/>
      <c r="K492" s="174"/>
      <c r="L492" s="174"/>
      <c r="M492" s="174"/>
      <c r="N492" s="175"/>
    </row>
    <row r="493" spans="1:14" s="8" customFormat="1" ht="19.5" customHeight="1" hidden="1">
      <c r="A493" s="658">
        <v>335</v>
      </c>
      <c r="B493" s="167"/>
      <c r="C493" s="163"/>
      <c r="D493" s="164" t="s">
        <v>601</v>
      </c>
      <c r="E493" s="165"/>
      <c r="F493" s="165"/>
      <c r="G493" s="166"/>
      <c r="H493" s="673" t="s">
        <v>24</v>
      </c>
      <c r="I493" s="702"/>
      <c r="J493" s="174"/>
      <c r="K493" s="174"/>
      <c r="L493" s="174"/>
      <c r="M493" s="174"/>
      <c r="N493" s="175"/>
    </row>
    <row r="494" spans="1:14" s="8" customFormat="1" ht="19.5" customHeight="1" hidden="1">
      <c r="A494" s="658">
        <v>336</v>
      </c>
      <c r="B494" s="167"/>
      <c r="C494" s="163"/>
      <c r="D494" s="164" t="s">
        <v>304</v>
      </c>
      <c r="E494" s="165"/>
      <c r="F494" s="165"/>
      <c r="G494" s="166"/>
      <c r="H494" s="673" t="s">
        <v>24</v>
      </c>
      <c r="I494" s="702"/>
      <c r="J494" s="174"/>
      <c r="K494" s="174"/>
      <c r="L494" s="174"/>
      <c r="M494" s="174"/>
      <c r="N494" s="175"/>
    </row>
    <row r="495" spans="1:14" s="8" customFormat="1" ht="19.5" customHeight="1" hidden="1">
      <c r="A495" s="658">
        <v>337</v>
      </c>
      <c r="B495" s="167"/>
      <c r="C495" s="163"/>
      <c r="D495" s="164" t="s">
        <v>434</v>
      </c>
      <c r="E495" s="165"/>
      <c r="F495" s="165"/>
      <c r="G495" s="166"/>
      <c r="H495" s="673" t="s">
        <v>24</v>
      </c>
      <c r="I495" s="702"/>
      <c r="J495" s="174"/>
      <c r="K495" s="174"/>
      <c r="L495" s="174"/>
      <c r="M495" s="174"/>
      <c r="N495" s="175"/>
    </row>
    <row r="496" spans="1:14" s="8" customFormat="1" ht="19.5" customHeight="1" hidden="1">
      <c r="A496" s="658">
        <v>338</v>
      </c>
      <c r="B496" s="167"/>
      <c r="C496" s="163"/>
      <c r="D496" s="164" t="s">
        <v>33</v>
      </c>
      <c r="E496" s="165"/>
      <c r="F496" s="165"/>
      <c r="G496" s="166"/>
      <c r="H496" s="673" t="s">
        <v>24</v>
      </c>
      <c r="I496" s="702"/>
      <c r="J496" s="174"/>
      <c r="K496" s="174"/>
      <c r="L496" s="174"/>
      <c r="M496" s="174"/>
      <c r="N496" s="175"/>
    </row>
    <row r="497" spans="1:14" s="8" customFormat="1" ht="19.5" customHeight="1" hidden="1">
      <c r="A497" s="658">
        <v>339</v>
      </c>
      <c r="B497" s="167"/>
      <c r="C497" s="163"/>
      <c r="D497" s="164" t="s">
        <v>502</v>
      </c>
      <c r="E497" s="165"/>
      <c r="F497" s="165"/>
      <c r="G497" s="166"/>
      <c r="H497" s="673" t="s">
        <v>24</v>
      </c>
      <c r="I497" s="702"/>
      <c r="J497" s="174"/>
      <c r="K497" s="174"/>
      <c r="L497" s="174"/>
      <c r="M497" s="174"/>
      <c r="N497" s="175"/>
    </row>
    <row r="498" spans="1:14" s="8" customFormat="1" ht="19.5" customHeight="1" hidden="1">
      <c r="A498" s="658">
        <v>340</v>
      </c>
      <c r="B498" s="167"/>
      <c r="C498" s="163"/>
      <c r="D498" s="164" t="s">
        <v>436</v>
      </c>
      <c r="E498" s="165"/>
      <c r="F498" s="165"/>
      <c r="G498" s="166"/>
      <c r="H498" s="673" t="s">
        <v>24</v>
      </c>
      <c r="I498" s="702"/>
      <c r="J498" s="174"/>
      <c r="K498" s="174"/>
      <c r="L498" s="174"/>
      <c r="M498" s="174"/>
      <c r="N498" s="175"/>
    </row>
    <row r="499" spans="1:14" s="8" customFormat="1" ht="19.5" customHeight="1" hidden="1">
      <c r="A499" s="658">
        <v>341</v>
      </c>
      <c r="B499" s="167"/>
      <c r="C499" s="163"/>
      <c r="D499" s="164" t="s">
        <v>435</v>
      </c>
      <c r="E499" s="165"/>
      <c r="F499" s="165"/>
      <c r="G499" s="166"/>
      <c r="H499" s="673" t="s">
        <v>24</v>
      </c>
      <c r="I499" s="702"/>
      <c r="J499" s="174"/>
      <c r="K499" s="174"/>
      <c r="L499" s="174"/>
      <c r="M499" s="174"/>
      <c r="N499" s="175"/>
    </row>
    <row r="500" spans="1:14" s="8" customFormat="1" ht="19.5" customHeight="1" hidden="1">
      <c r="A500" s="658">
        <v>342</v>
      </c>
      <c r="B500" s="167"/>
      <c r="C500" s="163"/>
      <c r="D500" s="164" t="s">
        <v>437</v>
      </c>
      <c r="E500" s="165"/>
      <c r="F500" s="165"/>
      <c r="G500" s="166"/>
      <c r="H500" s="673" t="s">
        <v>24</v>
      </c>
      <c r="I500" s="702"/>
      <c r="J500" s="174"/>
      <c r="K500" s="174"/>
      <c r="L500" s="174"/>
      <c r="M500" s="174"/>
      <c r="N500" s="175"/>
    </row>
    <row r="501" spans="1:14" s="8" customFormat="1" ht="29.25" customHeight="1" hidden="1">
      <c r="A501" s="658">
        <v>343</v>
      </c>
      <c r="B501" s="167"/>
      <c r="C501" s="626"/>
      <c r="D501" s="164" t="s">
        <v>507</v>
      </c>
      <c r="E501" s="165"/>
      <c r="F501" s="165"/>
      <c r="G501" s="166"/>
      <c r="H501" s="703" t="s">
        <v>24</v>
      </c>
      <c r="I501" s="702"/>
      <c r="J501" s="174"/>
      <c r="K501" s="174"/>
      <c r="L501" s="174"/>
      <c r="M501" s="174"/>
      <c r="N501" s="175"/>
    </row>
    <row r="502" spans="1:14" s="8" customFormat="1" ht="19.5" customHeight="1" hidden="1">
      <c r="A502" s="658">
        <v>344</v>
      </c>
      <c r="B502" s="167"/>
      <c r="C502" s="163"/>
      <c r="D502" s="164" t="s">
        <v>597</v>
      </c>
      <c r="E502" s="165"/>
      <c r="F502" s="165"/>
      <c r="G502" s="166"/>
      <c r="H502" s="673" t="s">
        <v>24</v>
      </c>
      <c r="I502" s="702"/>
      <c r="J502" s="174"/>
      <c r="K502" s="174"/>
      <c r="L502" s="174"/>
      <c r="M502" s="174"/>
      <c r="N502" s="175"/>
    </row>
    <row r="503" spans="1:14" s="8" customFormat="1" ht="19.5" customHeight="1" hidden="1" thickBot="1">
      <c r="A503" s="658">
        <v>345</v>
      </c>
      <c r="B503" s="748"/>
      <c r="C503" s="749"/>
      <c r="D503" s="750" t="s">
        <v>602</v>
      </c>
      <c r="E503" s="765"/>
      <c r="F503" s="766"/>
      <c r="G503" s="766"/>
      <c r="H503" s="751"/>
      <c r="I503" s="752"/>
      <c r="J503" s="753"/>
      <c r="K503" s="753"/>
      <c r="L503" s="753"/>
      <c r="M503" s="753"/>
      <c r="N503" s="754"/>
    </row>
    <row r="504" spans="1:16" s="115" customFormat="1" ht="33.75" customHeight="1" thickBot="1" thickTop="1">
      <c r="A504" s="658">
        <v>302</v>
      </c>
      <c r="B504" s="412"/>
      <c r="C504" s="700"/>
      <c r="D504" s="1622" t="s">
        <v>13</v>
      </c>
      <c r="E504" s="1623"/>
      <c r="F504" s="1623"/>
      <c r="G504" s="1624"/>
      <c r="H504" s="675"/>
      <c r="I504" s="494">
        <f aca="true" t="shared" si="1" ref="I504:N504">SUM(I9:I481)-I314-I150-I132-I70-I22-I122-I44</f>
        <v>5630577</v>
      </c>
      <c r="J504" s="494">
        <f t="shared" si="1"/>
        <v>165592</v>
      </c>
      <c r="K504" s="494">
        <f t="shared" si="1"/>
        <v>28844</v>
      </c>
      <c r="L504" s="494">
        <f t="shared" si="1"/>
        <v>1972869</v>
      </c>
      <c r="M504" s="494">
        <f t="shared" si="1"/>
        <v>23248</v>
      </c>
      <c r="N504" s="1308">
        <f t="shared" si="1"/>
        <v>3440024</v>
      </c>
      <c r="O504" s="646"/>
      <c r="P504" s="8"/>
    </row>
    <row r="505" spans="1:16" s="115" customFormat="1" ht="22.5" customHeight="1" thickTop="1">
      <c r="A505" s="658">
        <v>303</v>
      </c>
      <c r="B505" s="118"/>
      <c r="C505" s="119"/>
      <c r="D505" s="1642" t="s">
        <v>120</v>
      </c>
      <c r="E505" s="1643"/>
      <c r="F505" s="1643"/>
      <c r="G505" s="1644"/>
      <c r="H505" s="676"/>
      <c r="I505" s="642">
        <f>SUM(J505:N505)</f>
        <v>4410268</v>
      </c>
      <c r="J505" s="495">
        <f>J314+J310+J308+J302+J300+J298+J296+J294+J292+J290+J288+J286+J284+J282+J280+J276+J274+J271+J269+J267+J265+J256+J254+J252+J248+J246+J220+J378+J216+J212+J210+J208+J206+J200+J186+J376+J184+J182+J180+J178+J170+J152+J148+J146+J144+J116+J114+J112+J110+J10+J258+J202+J370+J338+J278+J260</f>
        <v>153862</v>
      </c>
      <c r="K505" s="495">
        <f>K314+K310+K308+K302+K300+K298+K296+K294+K292+K290+K288+K286+K284+K282+K280+K276+K274+K271+K269+K267+K265+K256+K254+K252+K248+K246+K220+K378+K216+K212+K210+K208+K206+K200+K186+K376+K184+K182+K180+K178+K170+K152+K148+K146+K144+K116+K114+K112+K110+K10+K258+K202+K370+K338+K278+K260</f>
        <v>26611</v>
      </c>
      <c r="L505" s="495">
        <f>L314+L310+L308+L302+L300+L298+L296+L294+L292+L290+L288+L286+L284+L282+L280+L276+L274+L271+L269+L267+L265+L256+L254+L252+L248+L246+L220+L378+L216+L212+L210+L208+L206+L200+L186+L376+L184+L182+L180+L178+L170+L152+L148+L146+L144+L116+L114+L112+L110+L10+L258+L202+L370+L338+L278+L260</f>
        <v>1312527</v>
      </c>
      <c r="M505" s="495">
        <f>M314+M310+M308+M302+M300+M298+M296+M294+M292+M290+M288+M286+M284+M282+M280+M276+M274+M271+M269+M267+M265+M256+M254+M252+M248+M246+M220+M378+M216+M212+M210+M208+M206+M200+M186+M376+M184+M182+M180+M178+M170+M152+M148+M146+M144+M116+M114+M112+M110+M10+M258+M202+M370+M338+M278+M260</f>
        <v>7735</v>
      </c>
      <c r="N505" s="687">
        <f>N314+N310+N308+N302+N300+N298+N296+N294+N292+N290+N288+N286+N284+N282+N280+N276+N274+N271+N269+N267+N265+N256+N254+N252+N248+N246+N220+N378+N216+N212+N210+N208+N206+N200+N186+N376+N184+N182+N180+N178+N170+N152+N148+N146+N144+N116+N114+N112+N110+N10+N258+N202+N370+N338+N278+N260</f>
        <v>2909533</v>
      </c>
      <c r="O505" s="646"/>
      <c r="P505" s="8"/>
    </row>
    <row r="506" spans="1:16" s="1460" customFormat="1" ht="18" customHeight="1">
      <c r="A506" s="658">
        <v>304</v>
      </c>
      <c r="B506" s="1414"/>
      <c r="C506" s="1415"/>
      <c r="D506" s="1645" t="s">
        <v>312</v>
      </c>
      <c r="E506" s="1646"/>
      <c r="F506" s="1646"/>
      <c r="G506" s="1647"/>
      <c r="H506" s="1419"/>
      <c r="I506" s="1459"/>
      <c r="J506" s="1410"/>
      <c r="K506" s="1410"/>
      <c r="L506" s="1410"/>
      <c r="M506" s="1410"/>
      <c r="N506" s="1411"/>
      <c r="O506" s="1420"/>
      <c r="P506" s="1420"/>
    </row>
    <row r="507" spans="1:16" s="115" customFormat="1" ht="22.5" customHeight="1">
      <c r="A507" s="658">
        <v>305</v>
      </c>
      <c r="B507" s="120"/>
      <c r="C507" s="121"/>
      <c r="D507" s="1648" t="s">
        <v>121</v>
      </c>
      <c r="E507" s="1646"/>
      <c r="F507" s="1646"/>
      <c r="G507" s="1647"/>
      <c r="H507" s="677"/>
      <c r="I507" s="648">
        <f>SUM(J507:N507)</f>
        <v>1220309</v>
      </c>
      <c r="J507" s="170">
        <f>J374+J366+J364+J362+J360+J358+J356+J354+J352+J350+J348+J346+J344+J342+J340+J336+J334+J332+J330+J328+J326+J312+J306+J304+J262+J372+J250+J244+J242+J240+J238+J236+J234+J232+J230+J228+J226+J224+J222+J218+J214+J204+J198+J196+J194+J192+J190+J188+J368+J176+J174+J172+J168+J166+J164+J162+J160+J158+J156+J154+J142+J140+J138+J136+J134+J130+J128+J126+J124+J120+J118+J108+J106+J104+J102+J100+J98+J96+J94+J92+J90+J88+J86+J84+J82+J80+J78+J76+J74+J72+J68+J66+J64+J62+J60+J58+J56+J54+J52+J50+J48+J46+J42+J40+J38+J36+J34+J32+J30+J28+J26+J24+J20+J18+J16+J14+J12</f>
        <v>11730</v>
      </c>
      <c r="K507" s="170">
        <f>K374+K366+K364+K362+K360+K358+K356+K354+K352+K350+K348+K346+K344+K342+K340+K336+K334+K332+K330+K328+K326+K312+K306+K304+K262+K372+K250+K244+K242+K240+K238+K236+K234+K232+K230+K228+K226+K224+K222+K218+K214+K204+K198+K196+K194+K192+K190+K188+K368+K176+K174+K172+K168+K166+K164+K162+K160+K158+K156+K154+K142+K140+K138+K136+K134+K130+K128+K126+K124+K120+K118+K108+K106+K104+K102+K100+K98+K96+K94+K92+K90+K88+K86+K84+K82+K80+K78+K76+K74+K72+K68+K66+K64+K62+K60+K58+K56+K54+K52+K50+K48+K46+K42+K40+K38+K36+K34+K32+K30+K28+K26+K24+K20+K18+K16+K14+K12</f>
        <v>2233</v>
      </c>
      <c r="L507" s="170">
        <f>L374+L366+L364+L362+L360+L358+L356+L354+L352+L350+L348+L346+L344+L342+L340+L336+L334+L332+L330+L328+L326+L312+L306+L304+L262+L372+L250+L244+L242+L240+L238+L236+L234+L232+L230+L228+L226+L224+L222+L218+L214+L204+L198+L196+L194+L192+L190+L188+L368+L176+L174+L172+L168+L166+L164+L162+L160+L158+L156+L154+L142+L140+L138+L136+L134+L130+L128+L126+L124+L120+L118+L108+L106+L104+L102+L100+L98+L96+L94+L92+L90+L88+L86+L84+L82+L80+L78+L76+L74+L72+L68+L66+L64+L62+L60+L58+L56+L54+L52+L50+L48+L46+L42+L40+L38+L36+L34+L32+L30+L28+L26+L24+L20+L18+L16+L14+L12</f>
        <v>660342</v>
      </c>
      <c r="M507" s="170">
        <f>M374+M366+M364+M362+M360+M358+M356+M354+M352+M350+M348+M346+M344+M342+M340+M336+M334+M332+M330+M328+M326+M312+M306+M304+M262+M372+M250+M244+M242+M240+M238+M236+M234+M232+M230+M228+M226+M224+M222+M218+M214+M204+M198+M196+M194+M192+M190+M188+M368+M176+M174+M172+M168+M166+M164+M162+M160+M158+M156+M154+M142+M140+M138+M136+M134+M130+M128+M126+M124+M120+M118+M108+M106+M104+M102+M100+M98+M96+M94+M92+M90+M88+M86+M84+M82+M80+M78+M76+M74+M72+M68+M66+M64+M62+M60+M58+M56+M54+M52+M50+M48+M46+M42+M40+M38+M36+M34+M32+M30+M28+M26+M24+M20+M18+M16+M14+M12</f>
        <v>15513</v>
      </c>
      <c r="N507" s="171">
        <f>N374+N366+N364+N362+N360+N358+N356+N354+N352+N350+N348+N346+N344+N342+N340+N336+N334+N332+N330+N328+N326+N312+N306+N304+N262+N372+N250+N244+N242+N240+N238+N236+N234+N232+N230+N228+N226+N224+N222+N218+N214+N204+N198+N196+N194+N192+N190+N188+N368+N176+N174+N172+N168+N166+N164+N162+N160+N158+N156+N154+N142+N140+N138+N136+N134+N130+N128+N126+N124+N120+N118+N108+N106+N104+N102+N100+N98+N96+N94+N92+N90+N88+N86+N84+N82+N80+N78+N76+N74+N72+N68+N66+N64+N62+N60+N58+N56+N54+N52+N50+N48+N46+N42+N40+N38+N36+N34+N32+N30+N28+N26+N24+N20+N18+N16+N14+N12</f>
        <v>530491</v>
      </c>
      <c r="O507" s="646"/>
      <c r="P507" s="8"/>
    </row>
    <row r="508" spans="1:16" s="1468" customFormat="1" ht="18" customHeight="1" thickBot="1">
      <c r="A508" s="658">
        <v>306</v>
      </c>
      <c r="B508" s="1461"/>
      <c r="C508" s="1462"/>
      <c r="D508" s="1649" t="s">
        <v>312</v>
      </c>
      <c r="E508" s="1650"/>
      <c r="F508" s="1650"/>
      <c r="G508" s="1651"/>
      <c r="H508" s="1463"/>
      <c r="I508" s="1464"/>
      <c r="J508" s="1465"/>
      <c r="K508" s="1465"/>
      <c r="L508" s="1465"/>
      <c r="M508" s="1465"/>
      <c r="N508" s="1466"/>
      <c r="O508" s="1467"/>
      <c r="P508" s="1420"/>
    </row>
    <row r="509" spans="1:14" ht="18" customHeight="1">
      <c r="A509" s="659"/>
      <c r="B509" s="1625" t="s">
        <v>27</v>
      </c>
      <c r="C509" s="1625"/>
      <c r="D509" s="1625"/>
      <c r="E509" s="160"/>
      <c r="F509" s="160"/>
      <c r="G509" s="160"/>
      <c r="H509" s="647"/>
      <c r="I509" s="161"/>
      <c r="J509" s="160"/>
      <c r="K509" s="160"/>
      <c r="L509" s="160"/>
      <c r="M509" s="160"/>
      <c r="N509" s="160"/>
    </row>
    <row r="510" spans="1:14" ht="18" customHeight="1">
      <c r="A510" s="659"/>
      <c r="B510" s="704" t="s">
        <v>28</v>
      </c>
      <c r="C510" s="704"/>
      <c r="D510" s="704"/>
      <c r="E510" s="160"/>
      <c r="F510" s="160"/>
      <c r="G510" s="160"/>
      <c r="H510" s="647"/>
      <c r="I510" s="161"/>
      <c r="J510" s="160"/>
      <c r="K510" s="160"/>
      <c r="L510" s="160"/>
      <c r="M510" s="160"/>
      <c r="N510" s="160"/>
    </row>
    <row r="511" spans="1:14" ht="18" customHeight="1">
      <c r="A511" s="659"/>
      <c r="B511" s="1625" t="s">
        <v>29</v>
      </c>
      <c r="C511" s="1625"/>
      <c r="D511" s="1625"/>
      <c r="E511" s="160"/>
      <c r="F511" s="160"/>
      <c r="G511" s="160"/>
      <c r="H511" s="647"/>
      <c r="I511" s="161"/>
      <c r="J511" s="160"/>
      <c r="K511" s="160"/>
      <c r="L511" s="160"/>
      <c r="M511" s="160"/>
      <c r="N511" s="160"/>
    </row>
    <row r="512" spans="4:14" ht="18" customHeight="1">
      <c r="D512" s="11"/>
      <c r="E512" s="411"/>
      <c r="F512" s="411"/>
      <c r="G512" s="411"/>
      <c r="H512" s="12"/>
      <c r="I512" s="411">
        <f>+I504-I505-I507</f>
        <v>0</v>
      </c>
      <c r="J512" s="411">
        <f>+J504-J505-J507</f>
        <v>0</v>
      </c>
      <c r="K512" s="411">
        <f>+K504-K505-K507</f>
        <v>0</v>
      </c>
      <c r="L512" s="411">
        <f>+L504-L505-L507</f>
        <v>0</v>
      </c>
      <c r="M512" s="411">
        <f>+M504-M505-M507</f>
        <v>0</v>
      </c>
      <c r="N512" s="411">
        <f>+N504-N505-N507</f>
        <v>0</v>
      </c>
    </row>
    <row r="513" spans="4:8" ht="18" customHeight="1">
      <c r="D513" s="11"/>
      <c r="E513" s="411"/>
      <c r="F513" s="411"/>
      <c r="G513" s="411"/>
      <c r="H513" s="12"/>
    </row>
    <row r="514" spans="4:8" ht="18" customHeight="1">
      <c r="D514" s="11"/>
      <c r="E514" s="411"/>
      <c r="F514" s="411"/>
      <c r="G514" s="411"/>
      <c r="H514" s="12"/>
    </row>
    <row r="515" spans="1:15" s="13" customFormat="1" ht="18" customHeight="1">
      <c r="A515" s="658"/>
      <c r="B515" s="3"/>
      <c r="C515" s="7"/>
      <c r="D515" s="11"/>
      <c r="E515" s="411"/>
      <c r="F515" s="411"/>
      <c r="G515" s="411"/>
      <c r="H515" s="12"/>
      <c r="J515" s="411"/>
      <c r="K515" s="411"/>
      <c r="L515" s="411"/>
      <c r="M515" s="411"/>
      <c r="N515" s="411"/>
      <c r="O515" s="4"/>
    </row>
    <row r="516" spans="1:15" s="13" customFormat="1" ht="18" customHeight="1">
      <c r="A516" s="658"/>
      <c r="B516" s="3"/>
      <c r="C516" s="7"/>
      <c r="D516" s="11"/>
      <c r="E516" s="411"/>
      <c r="F516" s="411"/>
      <c r="G516" s="411"/>
      <c r="H516" s="12"/>
      <c r="J516" s="411"/>
      <c r="K516" s="411"/>
      <c r="L516" s="411"/>
      <c r="M516" s="411"/>
      <c r="N516" s="411"/>
      <c r="O516" s="4"/>
    </row>
    <row r="517" spans="1:15" s="13" customFormat="1" ht="18" customHeight="1">
      <c r="A517" s="658"/>
      <c r="B517" s="3"/>
      <c r="C517" s="7"/>
      <c r="D517" s="11"/>
      <c r="E517" s="411"/>
      <c r="F517" s="411"/>
      <c r="G517" s="411"/>
      <c r="H517" s="12"/>
      <c r="J517" s="411"/>
      <c r="K517" s="411"/>
      <c r="L517" s="411"/>
      <c r="M517" s="411"/>
      <c r="N517" s="411"/>
      <c r="O517" s="4"/>
    </row>
    <row r="518" spans="1:15" s="13" customFormat="1" ht="18" customHeight="1">
      <c r="A518" s="658"/>
      <c r="B518" s="3"/>
      <c r="C518" s="7"/>
      <c r="D518" s="11"/>
      <c r="E518" s="411"/>
      <c r="F518" s="411"/>
      <c r="G518" s="411"/>
      <c r="H518" s="12"/>
      <c r="J518" s="411"/>
      <c r="K518" s="411"/>
      <c r="L518" s="411"/>
      <c r="M518" s="411"/>
      <c r="N518" s="411"/>
      <c r="O518" s="4"/>
    </row>
    <row r="519" spans="1:15" s="13" customFormat="1" ht="18" customHeight="1">
      <c r="A519" s="658"/>
      <c r="B519" s="3"/>
      <c r="C519" s="7"/>
      <c r="D519" s="11"/>
      <c r="E519" s="411"/>
      <c r="F519" s="411"/>
      <c r="G519" s="411"/>
      <c r="H519" s="12"/>
      <c r="J519" s="411"/>
      <c r="K519" s="411"/>
      <c r="L519" s="411"/>
      <c r="M519" s="411"/>
      <c r="N519" s="411"/>
      <c r="O519" s="4"/>
    </row>
    <row r="520" spans="1:15" s="13" customFormat="1" ht="18" customHeight="1">
      <c r="A520" s="658"/>
      <c r="B520" s="3"/>
      <c r="C520" s="7"/>
      <c r="D520" s="14"/>
      <c r="E520" s="411"/>
      <c r="F520" s="411"/>
      <c r="G520" s="411"/>
      <c r="H520" s="12"/>
      <c r="J520" s="411"/>
      <c r="K520" s="411"/>
      <c r="L520" s="411"/>
      <c r="M520" s="411"/>
      <c r="N520" s="411"/>
      <c r="O520" s="4"/>
    </row>
    <row r="521" spans="1:15" s="13" customFormat="1" ht="18" customHeight="1">
      <c r="A521" s="658"/>
      <c r="B521" s="3"/>
      <c r="C521" s="7"/>
      <c r="D521" s="14"/>
      <c r="E521" s="411"/>
      <c r="F521" s="411"/>
      <c r="G521" s="411"/>
      <c r="H521" s="12"/>
      <c r="J521" s="411"/>
      <c r="K521" s="411"/>
      <c r="L521" s="411"/>
      <c r="M521" s="411"/>
      <c r="N521" s="411"/>
      <c r="O521" s="4"/>
    </row>
    <row r="522" spans="1:15" s="13" customFormat="1" ht="18" customHeight="1">
      <c r="A522" s="658"/>
      <c r="B522" s="3"/>
      <c r="C522" s="7"/>
      <c r="D522" s="11"/>
      <c r="E522" s="411"/>
      <c r="F522" s="411"/>
      <c r="G522" s="411"/>
      <c r="H522" s="12"/>
      <c r="J522" s="411"/>
      <c r="K522" s="411"/>
      <c r="L522" s="411"/>
      <c r="M522" s="411"/>
      <c r="N522" s="411"/>
      <c r="O522" s="4"/>
    </row>
    <row r="523" spans="1:15" s="13" customFormat="1" ht="18" customHeight="1">
      <c r="A523" s="658"/>
      <c r="B523" s="3"/>
      <c r="C523" s="7"/>
      <c r="D523" s="11"/>
      <c r="E523" s="411"/>
      <c r="F523" s="411"/>
      <c r="G523" s="411"/>
      <c r="H523" s="12"/>
      <c r="J523" s="411"/>
      <c r="K523" s="411"/>
      <c r="L523" s="411"/>
      <c r="M523" s="411"/>
      <c r="N523" s="411"/>
      <c r="O523" s="4"/>
    </row>
    <row r="524" spans="1:15" s="13" customFormat="1" ht="18" customHeight="1">
      <c r="A524" s="658"/>
      <c r="B524" s="3"/>
      <c r="C524" s="7"/>
      <c r="D524" s="16"/>
      <c r="E524" s="4"/>
      <c r="F524" s="4"/>
      <c r="G524" s="4"/>
      <c r="H524" s="3"/>
      <c r="J524" s="411"/>
      <c r="K524" s="411"/>
      <c r="L524" s="411"/>
      <c r="M524" s="411"/>
      <c r="N524" s="411"/>
      <c r="O524" s="4"/>
    </row>
    <row r="525" spans="1:15" s="13" customFormat="1" ht="18" customHeight="1">
      <c r="A525" s="658"/>
      <c r="B525" s="3"/>
      <c r="C525" s="7"/>
      <c r="D525" s="16"/>
      <c r="E525" s="4"/>
      <c r="F525" s="4"/>
      <c r="G525" s="4"/>
      <c r="H525" s="3"/>
      <c r="J525" s="411"/>
      <c r="K525" s="411"/>
      <c r="L525" s="411"/>
      <c r="M525" s="411"/>
      <c r="N525" s="411"/>
      <c r="O525" s="4"/>
    </row>
    <row r="526" spans="1:15" s="13" customFormat="1" ht="18" customHeight="1">
      <c r="A526" s="658"/>
      <c r="B526" s="3"/>
      <c r="C526" s="7"/>
      <c r="D526" s="16"/>
      <c r="E526" s="4"/>
      <c r="F526" s="4"/>
      <c r="G526" s="4"/>
      <c r="H526" s="3"/>
      <c r="J526" s="411"/>
      <c r="K526" s="411"/>
      <c r="L526" s="411"/>
      <c r="M526" s="411"/>
      <c r="N526" s="411"/>
      <c r="O526" s="4"/>
    </row>
    <row r="527" spans="1:15" s="13" customFormat="1" ht="18" customHeight="1">
      <c r="A527" s="658"/>
      <c r="B527" s="3"/>
      <c r="C527" s="7"/>
      <c r="D527" s="16"/>
      <c r="E527" s="4"/>
      <c r="F527" s="4"/>
      <c r="G527" s="4"/>
      <c r="H527" s="3"/>
      <c r="J527" s="411"/>
      <c r="K527" s="411"/>
      <c r="L527" s="411"/>
      <c r="M527" s="411"/>
      <c r="N527" s="411"/>
      <c r="O527" s="4"/>
    </row>
    <row r="528" spans="1:15" s="13" customFormat="1" ht="18" customHeight="1">
      <c r="A528" s="658"/>
      <c r="B528" s="3"/>
      <c r="C528" s="7"/>
      <c r="D528" s="16"/>
      <c r="E528" s="4"/>
      <c r="F528" s="4"/>
      <c r="G528" s="4"/>
      <c r="H528" s="3"/>
      <c r="J528" s="411"/>
      <c r="K528" s="411"/>
      <c r="L528" s="411"/>
      <c r="M528" s="411"/>
      <c r="N528" s="411"/>
      <c r="O528" s="4"/>
    </row>
    <row r="529" spans="1:15" s="13" customFormat="1" ht="18" customHeight="1">
      <c r="A529" s="658"/>
      <c r="B529" s="3"/>
      <c r="C529" s="7"/>
      <c r="D529" s="16"/>
      <c r="E529" s="4"/>
      <c r="F529" s="4"/>
      <c r="G529" s="4"/>
      <c r="H529" s="3"/>
      <c r="J529" s="411"/>
      <c r="K529" s="411"/>
      <c r="L529" s="411"/>
      <c r="M529" s="411"/>
      <c r="N529" s="411"/>
      <c r="O529" s="4"/>
    </row>
    <row r="530" spans="1:15" s="13" customFormat="1" ht="18" customHeight="1">
      <c r="A530" s="658"/>
      <c r="B530" s="3"/>
      <c r="C530" s="7"/>
      <c r="D530" s="16"/>
      <c r="E530" s="4"/>
      <c r="F530" s="4"/>
      <c r="G530" s="4"/>
      <c r="H530" s="3"/>
      <c r="J530" s="411"/>
      <c r="K530" s="411"/>
      <c r="L530" s="411"/>
      <c r="M530" s="411"/>
      <c r="N530" s="411"/>
      <c r="O530" s="4"/>
    </row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spans="4:8" ht="18" customHeight="1">
      <c r="D543" s="11"/>
      <c r="E543" s="411"/>
      <c r="F543" s="411"/>
      <c r="G543" s="411"/>
      <c r="H543" s="12"/>
    </row>
    <row r="544" spans="4:8" ht="18" customHeight="1">
      <c r="D544" s="11"/>
      <c r="E544" s="411"/>
      <c r="F544" s="411"/>
      <c r="G544" s="411"/>
      <c r="H544" s="12"/>
    </row>
    <row r="545" spans="4:8" ht="18" customHeight="1">
      <c r="D545" s="11"/>
      <c r="E545" s="411"/>
      <c r="F545" s="411"/>
      <c r="G545" s="411"/>
      <c r="H545" s="12"/>
    </row>
    <row r="546" spans="4:14" ht="18" customHeight="1">
      <c r="D546" s="17"/>
      <c r="E546" s="12"/>
      <c r="F546" s="12"/>
      <c r="G546" s="12"/>
      <c r="H546" s="12"/>
      <c r="I546" s="15"/>
      <c r="J546" s="12"/>
      <c r="K546" s="12"/>
      <c r="L546" s="12"/>
      <c r="M546" s="12"/>
      <c r="N546" s="12"/>
    </row>
    <row r="547" spans="4:14" ht="18" customHeight="1">
      <c r="D547" s="17"/>
      <c r="E547" s="12"/>
      <c r="F547" s="12"/>
      <c r="G547" s="12"/>
      <c r="H547" s="12"/>
      <c r="I547" s="15"/>
      <c r="J547" s="12"/>
      <c r="K547" s="12"/>
      <c r="L547" s="12"/>
      <c r="M547" s="12"/>
      <c r="N547" s="12"/>
    </row>
    <row r="548" spans="4:14" ht="18" customHeight="1">
      <c r="D548" s="17"/>
      <c r="E548" s="12"/>
      <c r="F548" s="12"/>
      <c r="G548" s="12"/>
      <c r="H548" s="12"/>
      <c r="I548" s="15"/>
      <c r="J548" s="12"/>
      <c r="K548" s="12"/>
      <c r="L548" s="12"/>
      <c r="M548" s="12"/>
      <c r="N548" s="12"/>
    </row>
    <row r="549" spans="4:14" ht="18" customHeight="1">
      <c r="D549" s="17"/>
      <c r="E549" s="12"/>
      <c r="F549" s="12"/>
      <c r="G549" s="12"/>
      <c r="H549" s="12"/>
      <c r="I549" s="15"/>
      <c r="J549" s="12"/>
      <c r="K549" s="12"/>
      <c r="L549" s="12"/>
      <c r="M549" s="12"/>
      <c r="N549" s="12"/>
    </row>
    <row r="550" spans="4:8" ht="18" customHeight="1">
      <c r="D550" s="11"/>
      <c r="E550" s="411"/>
      <c r="F550" s="411"/>
      <c r="G550" s="411"/>
      <c r="H550" s="12"/>
    </row>
    <row r="551" spans="4:8" ht="18" customHeight="1">
      <c r="D551" s="11"/>
      <c r="E551" s="411"/>
      <c r="F551" s="411"/>
      <c r="G551" s="411"/>
      <c r="H551" s="12"/>
    </row>
    <row r="552" spans="4:8" ht="18" customHeight="1">
      <c r="D552" s="11"/>
      <c r="E552" s="411"/>
      <c r="F552" s="411"/>
      <c r="G552" s="411"/>
      <c r="H552" s="12"/>
    </row>
    <row r="553" spans="4:8" ht="18" customHeight="1">
      <c r="D553" s="11"/>
      <c r="E553" s="411"/>
      <c r="F553" s="411"/>
      <c r="G553" s="411"/>
      <c r="H553" s="12"/>
    </row>
    <row r="554" spans="4:8" ht="18" customHeight="1">
      <c r="D554" s="11"/>
      <c r="E554" s="411"/>
      <c r="F554" s="411"/>
      <c r="G554" s="411"/>
      <c r="H554" s="12"/>
    </row>
    <row r="555" spans="4:8" ht="18" customHeight="1">
      <c r="D555" s="14"/>
      <c r="E555" s="411"/>
      <c r="F555" s="411"/>
      <c r="G555" s="411"/>
      <c r="H555" s="12"/>
    </row>
    <row r="556" spans="4:8" ht="18" customHeight="1">
      <c r="D556" s="14"/>
      <c r="E556" s="411"/>
      <c r="F556" s="411"/>
      <c r="G556" s="411"/>
      <c r="H556" s="12"/>
    </row>
    <row r="557" spans="1:14" s="5" customFormat="1" ht="18" customHeight="1">
      <c r="A557" s="658"/>
      <c r="B557" s="3"/>
      <c r="C557" s="7"/>
      <c r="D557" s="18"/>
      <c r="E557" s="4"/>
      <c r="F557" s="4"/>
      <c r="G557" s="4"/>
      <c r="H557" s="3"/>
      <c r="I557" s="13"/>
      <c r="J557" s="411"/>
      <c r="K557" s="411"/>
      <c r="L557" s="411"/>
      <c r="M557" s="411"/>
      <c r="N557" s="411"/>
    </row>
    <row r="558" spans="1:14" s="5" customFormat="1" ht="18" customHeight="1">
      <c r="A558" s="658"/>
      <c r="B558" s="3"/>
      <c r="C558" s="7"/>
      <c r="D558" s="18"/>
      <c r="E558" s="4"/>
      <c r="F558" s="4"/>
      <c r="G558" s="4"/>
      <c r="H558" s="3"/>
      <c r="I558" s="13"/>
      <c r="J558" s="411"/>
      <c r="K558" s="411"/>
      <c r="L558" s="411"/>
      <c r="M558" s="411"/>
      <c r="N558" s="411"/>
    </row>
    <row r="559" spans="1:14" s="5" customFormat="1" ht="18" customHeight="1">
      <c r="A559" s="658"/>
      <c r="B559" s="3"/>
      <c r="C559" s="7"/>
      <c r="D559" s="14"/>
      <c r="E559" s="411"/>
      <c r="F559" s="411"/>
      <c r="G559" s="411"/>
      <c r="H559" s="12"/>
      <c r="I559" s="13"/>
      <c r="J559" s="411"/>
      <c r="K559" s="411"/>
      <c r="L559" s="411"/>
      <c r="M559" s="411"/>
      <c r="N559" s="411"/>
    </row>
    <row r="560" spans="1:14" s="5" customFormat="1" ht="18" customHeight="1">
      <c r="A560" s="658"/>
      <c r="B560" s="3"/>
      <c r="C560" s="7"/>
      <c r="D560" s="14"/>
      <c r="E560" s="411"/>
      <c r="F560" s="411"/>
      <c r="G560" s="411"/>
      <c r="H560" s="12"/>
      <c r="I560" s="13"/>
      <c r="J560" s="411"/>
      <c r="K560" s="411"/>
      <c r="L560" s="411"/>
      <c r="M560" s="411"/>
      <c r="N560" s="411"/>
    </row>
    <row r="561" spans="1:14" s="5" customFormat="1" ht="18" customHeight="1">
      <c r="A561" s="658"/>
      <c r="B561" s="3"/>
      <c r="C561" s="7"/>
      <c r="D561" s="14"/>
      <c r="E561" s="411"/>
      <c r="F561" s="411"/>
      <c r="G561" s="411"/>
      <c r="H561" s="12"/>
      <c r="I561" s="13"/>
      <c r="J561" s="411"/>
      <c r="K561" s="411"/>
      <c r="L561" s="411"/>
      <c r="M561" s="411"/>
      <c r="N561" s="411"/>
    </row>
    <row r="562" spans="1:14" s="5" customFormat="1" ht="18" customHeight="1">
      <c r="A562" s="658"/>
      <c r="B562" s="3"/>
      <c r="C562" s="7"/>
      <c r="D562" s="14"/>
      <c r="E562" s="411"/>
      <c r="F562" s="411"/>
      <c r="G562" s="411"/>
      <c r="H562" s="12"/>
      <c r="I562" s="13"/>
      <c r="J562" s="411"/>
      <c r="K562" s="411"/>
      <c r="L562" s="411"/>
      <c r="M562" s="411"/>
      <c r="N562" s="411"/>
    </row>
    <row r="563" spans="1:14" s="5" customFormat="1" ht="18" customHeight="1">
      <c r="A563" s="658"/>
      <c r="B563" s="3"/>
      <c r="C563" s="7"/>
      <c r="D563" s="14"/>
      <c r="E563" s="411"/>
      <c r="F563" s="411"/>
      <c r="G563" s="411"/>
      <c r="H563" s="12"/>
      <c r="I563" s="13"/>
      <c r="J563" s="411"/>
      <c r="K563" s="411"/>
      <c r="L563" s="411"/>
      <c r="M563" s="411"/>
      <c r="N563" s="411"/>
    </row>
    <row r="564" spans="4:8" ht="18" customHeight="1">
      <c r="D564" s="11"/>
      <c r="E564" s="411"/>
      <c r="F564" s="411"/>
      <c r="G564" s="411"/>
      <c r="H564" s="12"/>
    </row>
    <row r="565" spans="4:8" ht="18" customHeight="1">
      <c r="D565" s="11"/>
      <c r="E565" s="411"/>
      <c r="F565" s="411"/>
      <c r="G565" s="411"/>
      <c r="H565" s="12"/>
    </row>
    <row r="566" spans="4:8" ht="18" customHeight="1">
      <c r="D566" s="11"/>
      <c r="E566" s="411"/>
      <c r="F566" s="411"/>
      <c r="G566" s="411"/>
      <c r="H566" s="12"/>
    </row>
    <row r="567" spans="4:8" ht="18" customHeight="1">
      <c r="D567" s="11"/>
      <c r="E567" s="411"/>
      <c r="F567" s="411"/>
      <c r="G567" s="411"/>
      <c r="H567" s="12"/>
    </row>
    <row r="568" spans="4:8" ht="18" customHeight="1">
      <c r="D568" s="11"/>
      <c r="E568" s="411"/>
      <c r="F568" s="411"/>
      <c r="G568" s="411"/>
      <c r="H568" s="12"/>
    </row>
    <row r="569" spans="4:8" ht="18" customHeight="1">
      <c r="D569" s="11"/>
      <c r="E569" s="411"/>
      <c r="F569" s="411"/>
      <c r="G569" s="411"/>
      <c r="H569" s="12"/>
    </row>
    <row r="570" spans="4:8" ht="18" customHeight="1">
      <c r="D570" s="11"/>
      <c r="E570" s="411"/>
      <c r="F570" s="411"/>
      <c r="G570" s="411"/>
      <c r="H570" s="12"/>
    </row>
    <row r="571" spans="4:8" ht="18" customHeight="1">
      <c r="D571" s="11"/>
      <c r="E571" s="411"/>
      <c r="F571" s="411"/>
      <c r="G571" s="411"/>
      <c r="H571" s="12"/>
    </row>
    <row r="572" spans="4:8" ht="18" customHeight="1">
      <c r="D572" s="11"/>
      <c r="E572" s="411"/>
      <c r="F572" s="411"/>
      <c r="G572" s="411"/>
      <c r="H572" s="12"/>
    </row>
    <row r="573" spans="4:8" ht="18" customHeight="1">
      <c r="D573" s="11"/>
      <c r="E573" s="411"/>
      <c r="F573" s="411"/>
      <c r="G573" s="411"/>
      <c r="H573" s="12"/>
    </row>
    <row r="574" spans="4:8" ht="18" customHeight="1">
      <c r="D574" s="11"/>
      <c r="E574" s="411"/>
      <c r="F574" s="411"/>
      <c r="G574" s="411"/>
      <c r="H574" s="12"/>
    </row>
    <row r="575" spans="4:8" ht="18" customHeight="1">
      <c r="D575" s="11"/>
      <c r="E575" s="411"/>
      <c r="F575" s="411"/>
      <c r="G575" s="411"/>
      <c r="H575" s="12"/>
    </row>
    <row r="576" spans="4:8" ht="18" customHeight="1">
      <c r="D576" s="11"/>
      <c r="E576" s="411"/>
      <c r="F576" s="411"/>
      <c r="G576" s="411"/>
      <c r="H576" s="12"/>
    </row>
    <row r="577" spans="1:14" s="5" customFormat="1" ht="18" customHeight="1">
      <c r="A577" s="658"/>
      <c r="B577" s="3"/>
      <c r="C577" s="7"/>
      <c r="D577" s="14"/>
      <c r="E577" s="411"/>
      <c r="F577" s="411"/>
      <c r="G577" s="411"/>
      <c r="H577" s="12"/>
      <c r="I577" s="13"/>
      <c r="J577" s="411"/>
      <c r="K577" s="411"/>
      <c r="L577" s="411"/>
      <c r="M577" s="411"/>
      <c r="N577" s="411"/>
    </row>
    <row r="578" spans="4:8" ht="18" customHeight="1">
      <c r="D578" s="11"/>
      <c r="E578" s="411"/>
      <c r="F578" s="411"/>
      <c r="G578" s="411"/>
      <c r="H578" s="12"/>
    </row>
    <row r="579" spans="1:15" s="13" customFormat="1" ht="18" customHeight="1">
      <c r="A579" s="658"/>
      <c r="B579" s="3"/>
      <c r="C579" s="7"/>
      <c r="D579" s="11"/>
      <c r="E579" s="411"/>
      <c r="F579" s="411"/>
      <c r="G579" s="411"/>
      <c r="H579" s="12"/>
      <c r="J579" s="411"/>
      <c r="K579" s="411"/>
      <c r="L579" s="411"/>
      <c r="M579" s="411"/>
      <c r="N579" s="411"/>
      <c r="O579" s="4"/>
    </row>
    <row r="580" spans="1:15" s="13" customFormat="1" ht="18" customHeight="1">
      <c r="A580" s="658"/>
      <c r="B580" s="3"/>
      <c r="C580" s="7"/>
      <c r="D580" s="11"/>
      <c r="E580" s="411"/>
      <c r="F580" s="411"/>
      <c r="G580" s="411"/>
      <c r="H580" s="12"/>
      <c r="J580" s="411"/>
      <c r="K580" s="411"/>
      <c r="L580" s="411"/>
      <c r="M580" s="411"/>
      <c r="N580" s="411"/>
      <c r="O580" s="4"/>
    </row>
    <row r="581" spans="1:15" s="13" customFormat="1" ht="17.25">
      <c r="A581" s="658"/>
      <c r="B581" s="3"/>
      <c r="C581" s="7"/>
      <c r="D581" s="11"/>
      <c r="E581" s="411"/>
      <c r="F581" s="411"/>
      <c r="G581" s="411"/>
      <c r="H581" s="12"/>
      <c r="J581" s="411"/>
      <c r="K581" s="411"/>
      <c r="L581" s="411"/>
      <c r="M581" s="411"/>
      <c r="N581" s="411"/>
      <c r="O581" s="4"/>
    </row>
    <row r="582" spans="1:15" s="13" customFormat="1" ht="17.25">
      <c r="A582" s="658"/>
      <c r="B582" s="3"/>
      <c r="C582" s="7"/>
      <c r="D582" s="11"/>
      <c r="E582" s="411"/>
      <c r="F582" s="411"/>
      <c r="G582" s="411"/>
      <c r="H582" s="12"/>
      <c r="J582" s="411"/>
      <c r="K582" s="411"/>
      <c r="L582" s="411"/>
      <c r="M582" s="411"/>
      <c r="N582" s="411"/>
      <c r="O582" s="4"/>
    </row>
    <row r="583" spans="1:15" s="13" customFormat="1" ht="17.25">
      <c r="A583" s="658"/>
      <c r="B583" s="3"/>
      <c r="C583" s="7"/>
      <c r="D583" s="11"/>
      <c r="E583" s="411"/>
      <c r="F583" s="411"/>
      <c r="G583" s="411"/>
      <c r="H583" s="12"/>
      <c r="J583" s="411"/>
      <c r="K583" s="411"/>
      <c r="L583" s="411"/>
      <c r="M583" s="411"/>
      <c r="N583" s="411"/>
      <c r="O583" s="4"/>
    </row>
    <row r="584" spans="1:15" s="13" customFormat="1" ht="17.25">
      <c r="A584" s="658"/>
      <c r="B584" s="3"/>
      <c r="C584" s="7"/>
      <c r="D584" s="11"/>
      <c r="E584" s="411"/>
      <c r="F584" s="411"/>
      <c r="G584" s="411"/>
      <c r="H584" s="12"/>
      <c r="J584" s="411"/>
      <c r="K584" s="411"/>
      <c r="L584" s="411"/>
      <c r="M584" s="411"/>
      <c r="N584" s="411"/>
      <c r="O584" s="4"/>
    </row>
    <row r="585" spans="1:15" s="13" customFormat="1" ht="17.25">
      <c r="A585" s="658"/>
      <c r="B585" s="3"/>
      <c r="C585" s="7"/>
      <c r="D585" s="11"/>
      <c r="E585" s="411"/>
      <c r="F585" s="411"/>
      <c r="G585" s="411"/>
      <c r="H585" s="12"/>
      <c r="J585" s="411"/>
      <c r="K585" s="411"/>
      <c r="L585" s="411"/>
      <c r="M585" s="411"/>
      <c r="N585" s="411"/>
      <c r="O585" s="4"/>
    </row>
    <row r="586" spans="1:15" s="13" customFormat="1" ht="17.25">
      <c r="A586" s="658"/>
      <c r="B586" s="3"/>
      <c r="C586" s="7"/>
      <c r="D586" s="11"/>
      <c r="E586" s="411"/>
      <c r="F586" s="411"/>
      <c r="G586" s="411"/>
      <c r="H586" s="12"/>
      <c r="J586" s="411"/>
      <c r="K586" s="411"/>
      <c r="L586" s="411"/>
      <c r="M586" s="411"/>
      <c r="N586" s="411"/>
      <c r="O586" s="4"/>
    </row>
    <row r="587" spans="1:15" s="13" customFormat="1" ht="17.25">
      <c r="A587" s="658"/>
      <c r="B587" s="3"/>
      <c r="C587" s="7"/>
      <c r="D587" s="11"/>
      <c r="E587" s="411"/>
      <c r="F587" s="411"/>
      <c r="G587" s="411"/>
      <c r="H587" s="12"/>
      <c r="J587" s="411"/>
      <c r="K587" s="411"/>
      <c r="L587" s="411"/>
      <c r="M587" s="411"/>
      <c r="N587" s="411"/>
      <c r="O587" s="4"/>
    </row>
    <row r="588" spans="1:15" s="13" customFormat="1" ht="17.25">
      <c r="A588" s="658"/>
      <c r="B588" s="3"/>
      <c r="C588" s="7"/>
      <c r="D588" s="11"/>
      <c r="E588" s="411"/>
      <c r="F588" s="411"/>
      <c r="G588" s="411"/>
      <c r="H588" s="12"/>
      <c r="J588" s="411"/>
      <c r="K588" s="411"/>
      <c r="L588" s="411"/>
      <c r="M588" s="411"/>
      <c r="N588" s="411"/>
      <c r="O588" s="4"/>
    </row>
    <row r="589" spans="1:15" s="13" customFormat="1" ht="17.25">
      <c r="A589" s="658"/>
      <c r="B589" s="3"/>
      <c r="C589" s="7"/>
      <c r="D589" s="11"/>
      <c r="E589" s="411"/>
      <c r="F589" s="411"/>
      <c r="G589" s="411"/>
      <c r="H589" s="12"/>
      <c r="J589" s="411"/>
      <c r="K589" s="411"/>
      <c r="L589" s="411"/>
      <c r="M589" s="411"/>
      <c r="N589" s="411"/>
      <c r="O589" s="4"/>
    </row>
    <row r="590" spans="1:15" s="13" customFormat="1" ht="17.25">
      <c r="A590" s="658"/>
      <c r="B590" s="3"/>
      <c r="C590" s="7"/>
      <c r="D590" s="11"/>
      <c r="E590" s="411"/>
      <c r="F590" s="411"/>
      <c r="G590" s="411"/>
      <c r="H590" s="12"/>
      <c r="J590" s="411"/>
      <c r="K590" s="411"/>
      <c r="L590" s="411"/>
      <c r="M590" s="411"/>
      <c r="N590" s="411"/>
      <c r="O590" s="4"/>
    </row>
    <row r="591" spans="1:15" s="13" customFormat="1" ht="17.25">
      <c r="A591" s="658"/>
      <c r="B591" s="3"/>
      <c r="C591" s="7"/>
      <c r="D591" s="11"/>
      <c r="E591" s="411"/>
      <c r="F591" s="411"/>
      <c r="G591" s="411"/>
      <c r="H591" s="12"/>
      <c r="J591" s="411"/>
      <c r="K591" s="411"/>
      <c r="L591" s="411"/>
      <c r="M591" s="411"/>
      <c r="N591" s="411"/>
      <c r="O591" s="4"/>
    </row>
    <row r="592" spans="1:15" s="13" customFormat="1" ht="17.25">
      <c r="A592" s="658"/>
      <c r="B592" s="3"/>
      <c r="C592" s="7"/>
      <c r="D592" s="11"/>
      <c r="E592" s="411"/>
      <c r="F592" s="411"/>
      <c r="G592" s="411"/>
      <c r="H592" s="12"/>
      <c r="J592" s="411"/>
      <c r="K592" s="411"/>
      <c r="L592" s="411"/>
      <c r="M592" s="411"/>
      <c r="N592" s="411"/>
      <c r="O592" s="4"/>
    </row>
    <row r="593" spans="1:15" s="13" customFormat="1" ht="17.25">
      <c r="A593" s="658"/>
      <c r="B593" s="3"/>
      <c r="C593" s="7"/>
      <c r="D593" s="11"/>
      <c r="E593" s="411"/>
      <c r="F593" s="411"/>
      <c r="G593" s="411"/>
      <c r="H593" s="12"/>
      <c r="J593" s="411"/>
      <c r="K593" s="411"/>
      <c r="L593" s="411"/>
      <c r="M593" s="411"/>
      <c r="N593" s="411"/>
      <c r="O593" s="4"/>
    </row>
    <row r="594" spans="1:15" s="13" customFormat="1" ht="17.25">
      <c r="A594" s="658"/>
      <c r="B594" s="3"/>
      <c r="C594" s="7"/>
      <c r="D594" s="11"/>
      <c r="E594" s="411"/>
      <c r="F594" s="411"/>
      <c r="G594" s="411"/>
      <c r="H594" s="12"/>
      <c r="J594" s="411"/>
      <c r="K594" s="411"/>
      <c r="L594" s="411"/>
      <c r="M594" s="411"/>
      <c r="N594" s="411"/>
      <c r="O594" s="4"/>
    </row>
    <row r="595" spans="1:15" s="13" customFormat="1" ht="17.25">
      <c r="A595" s="658"/>
      <c r="B595" s="3"/>
      <c r="C595" s="7"/>
      <c r="D595" s="11"/>
      <c r="E595" s="411"/>
      <c r="F595" s="411"/>
      <c r="G595" s="411"/>
      <c r="H595" s="12"/>
      <c r="J595" s="411"/>
      <c r="K595" s="411"/>
      <c r="L595" s="411"/>
      <c r="M595" s="411"/>
      <c r="N595" s="411"/>
      <c r="O595" s="4"/>
    </row>
    <row r="596" spans="1:15" s="13" customFormat="1" ht="17.25">
      <c r="A596" s="658"/>
      <c r="B596" s="3"/>
      <c r="C596" s="7"/>
      <c r="D596" s="11"/>
      <c r="E596" s="411"/>
      <c r="F596" s="411"/>
      <c r="G596" s="411"/>
      <c r="H596" s="12"/>
      <c r="J596" s="411"/>
      <c r="K596" s="411"/>
      <c r="L596" s="411"/>
      <c r="M596" s="411"/>
      <c r="N596" s="411"/>
      <c r="O596" s="4"/>
    </row>
    <row r="597" spans="1:15" s="13" customFormat="1" ht="17.25">
      <c r="A597" s="658"/>
      <c r="B597" s="3"/>
      <c r="C597" s="7"/>
      <c r="D597" s="11"/>
      <c r="E597" s="411"/>
      <c r="F597" s="411"/>
      <c r="G597" s="411"/>
      <c r="H597" s="12"/>
      <c r="J597" s="411"/>
      <c r="K597" s="411"/>
      <c r="L597" s="411"/>
      <c r="M597" s="411"/>
      <c r="N597" s="411"/>
      <c r="O597" s="4"/>
    </row>
    <row r="598" spans="1:15" s="13" customFormat="1" ht="17.25">
      <c r="A598" s="658"/>
      <c r="B598" s="3"/>
      <c r="C598" s="7"/>
      <c r="D598" s="11"/>
      <c r="E598" s="411"/>
      <c r="F598" s="411"/>
      <c r="G598" s="411"/>
      <c r="H598" s="12"/>
      <c r="J598" s="411"/>
      <c r="K598" s="411"/>
      <c r="L598" s="411"/>
      <c r="M598" s="411"/>
      <c r="N598" s="411"/>
      <c r="O598" s="4"/>
    </row>
    <row r="599" spans="1:15" s="13" customFormat="1" ht="17.25">
      <c r="A599" s="658"/>
      <c r="B599" s="3"/>
      <c r="C599" s="7"/>
      <c r="D599" s="11"/>
      <c r="E599" s="411"/>
      <c r="F599" s="411"/>
      <c r="G599" s="411"/>
      <c r="H599" s="12"/>
      <c r="J599" s="411"/>
      <c r="K599" s="411"/>
      <c r="L599" s="411"/>
      <c r="M599" s="411"/>
      <c r="N599" s="411"/>
      <c r="O599" s="4"/>
    </row>
    <row r="600" spans="1:15" s="13" customFormat="1" ht="17.25">
      <c r="A600" s="658"/>
      <c r="B600" s="3"/>
      <c r="C600" s="7"/>
      <c r="D600" s="11"/>
      <c r="E600" s="411"/>
      <c r="F600" s="411"/>
      <c r="G600" s="411"/>
      <c r="H600" s="12"/>
      <c r="J600" s="411"/>
      <c r="K600" s="411"/>
      <c r="L600" s="411"/>
      <c r="M600" s="411"/>
      <c r="N600" s="411"/>
      <c r="O600" s="4"/>
    </row>
    <row r="601" spans="1:15" s="13" customFormat="1" ht="17.25">
      <c r="A601" s="658"/>
      <c r="B601" s="3"/>
      <c r="C601" s="7"/>
      <c r="D601" s="11"/>
      <c r="E601" s="411"/>
      <c r="F601" s="411"/>
      <c r="G601" s="411"/>
      <c r="H601" s="12"/>
      <c r="J601" s="411"/>
      <c r="K601" s="411"/>
      <c r="L601" s="411"/>
      <c r="M601" s="411"/>
      <c r="N601" s="411"/>
      <c r="O601" s="4"/>
    </row>
    <row r="602" spans="1:15" s="13" customFormat="1" ht="17.25">
      <c r="A602" s="658"/>
      <c r="B602" s="3"/>
      <c r="C602" s="7"/>
      <c r="D602" s="11"/>
      <c r="E602" s="411"/>
      <c r="F602" s="411"/>
      <c r="G602" s="411"/>
      <c r="H602" s="12"/>
      <c r="J602" s="411"/>
      <c r="K602" s="411"/>
      <c r="L602" s="411"/>
      <c r="M602" s="411"/>
      <c r="N602" s="411"/>
      <c r="O602" s="4"/>
    </row>
    <row r="603" spans="1:15" s="13" customFormat="1" ht="17.25">
      <c r="A603" s="658"/>
      <c r="B603" s="3"/>
      <c r="C603" s="7"/>
      <c r="D603" s="11"/>
      <c r="E603" s="411"/>
      <c r="F603" s="411"/>
      <c r="G603" s="411"/>
      <c r="H603" s="12"/>
      <c r="J603" s="411"/>
      <c r="K603" s="411"/>
      <c r="L603" s="411"/>
      <c r="M603" s="411"/>
      <c r="N603" s="411"/>
      <c r="O603" s="4"/>
    </row>
    <row r="604" spans="1:15" s="13" customFormat="1" ht="17.25">
      <c r="A604" s="658"/>
      <c r="B604" s="3"/>
      <c r="C604" s="7"/>
      <c r="D604" s="11"/>
      <c r="E604" s="411"/>
      <c r="F604" s="411"/>
      <c r="G604" s="411"/>
      <c r="H604" s="12"/>
      <c r="J604" s="411"/>
      <c r="K604" s="411"/>
      <c r="L604" s="411"/>
      <c r="M604" s="411"/>
      <c r="N604" s="411"/>
      <c r="O604" s="4"/>
    </row>
    <row r="605" spans="1:15" s="13" customFormat="1" ht="17.25">
      <c r="A605" s="658"/>
      <c r="B605" s="3"/>
      <c r="C605" s="7"/>
      <c r="D605" s="11"/>
      <c r="E605" s="411"/>
      <c r="F605" s="411"/>
      <c r="G605" s="411"/>
      <c r="H605" s="12"/>
      <c r="J605" s="411"/>
      <c r="K605" s="411"/>
      <c r="L605" s="411"/>
      <c r="M605" s="411"/>
      <c r="N605" s="411"/>
      <c r="O605" s="4"/>
    </row>
    <row r="606" spans="1:15" s="13" customFormat="1" ht="17.25">
      <c r="A606" s="658"/>
      <c r="B606" s="3"/>
      <c r="C606" s="7"/>
      <c r="D606" s="11"/>
      <c r="E606" s="411"/>
      <c r="F606" s="411"/>
      <c r="G606" s="411"/>
      <c r="H606" s="12"/>
      <c r="J606" s="411"/>
      <c r="K606" s="411"/>
      <c r="L606" s="411"/>
      <c r="M606" s="411"/>
      <c r="N606" s="411"/>
      <c r="O606" s="4"/>
    </row>
    <row r="607" spans="1:15" s="13" customFormat="1" ht="17.25">
      <c r="A607" s="658"/>
      <c r="B607" s="3"/>
      <c r="C607" s="7"/>
      <c r="D607" s="11"/>
      <c r="E607" s="411"/>
      <c r="F607" s="411"/>
      <c r="G607" s="411"/>
      <c r="H607" s="12"/>
      <c r="J607" s="411"/>
      <c r="K607" s="411"/>
      <c r="L607" s="411"/>
      <c r="M607" s="411"/>
      <c r="N607" s="411"/>
      <c r="O607" s="4"/>
    </row>
    <row r="608" spans="1:15" s="13" customFormat="1" ht="17.25">
      <c r="A608" s="658"/>
      <c r="B608" s="3"/>
      <c r="C608" s="7"/>
      <c r="D608" s="11"/>
      <c r="E608" s="411"/>
      <c r="F608" s="411"/>
      <c r="G608" s="411"/>
      <c r="H608" s="12"/>
      <c r="J608" s="411"/>
      <c r="K608" s="411"/>
      <c r="L608" s="411"/>
      <c r="M608" s="411"/>
      <c r="N608" s="411"/>
      <c r="O608" s="4"/>
    </row>
    <row r="609" spans="1:15" s="13" customFormat="1" ht="17.25">
      <c r="A609" s="658"/>
      <c r="B609" s="3"/>
      <c r="C609" s="7"/>
      <c r="D609" s="11"/>
      <c r="E609" s="411"/>
      <c r="F609" s="411"/>
      <c r="G609" s="411"/>
      <c r="H609" s="12"/>
      <c r="J609" s="411"/>
      <c r="K609" s="411"/>
      <c r="L609" s="411"/>
      <c r="M609" s="411"/>
      <c r="N609" s="411"/>
      <c r="O609" s="4"/>
    </row>
    <row r="610" spans="1:15" s="13" customFormat="1" ht="17.25">
      <c r="A610" s="658"/>
      <c r="B610" s="3"/>
      <c r="C610" s="7"/>
      <c r="D610" s="11"/>
      <c r="E610" s="411"/>
      <c r="F610" s="411"/>
      <c r="G610" s="411"/>
      <c r="H610" s="12"/>
      <c r="J610" s="411"/>
      <c r="K610" s="411"/>
      <c r="L610" s="411"/>
      <c r="M610" s="411"/>
      <c r="N610" s="411"/>
      <c r="O610" s="4"/>
    </row>
    <row r="611" spans="1:15" s="13" customFormat="1" ht="17.25">
      <c r="A611" s="658"/>
      <c r="B611" s="3"/>
      <c r="C611" s="7"/>
      <c r="D611" s="11"/>
      <c r="E611" s="411"/>
      <c r="F611" s="411"/>
      <c r="G611" s="411"/>
      <c r="H611" s="12"/>
      <c r="J611" s="411"/>
      <c r="K611" s="411"/>
      <c r="L611" s="411"/>
      <c r="M611" s="411"/>
      <c r="N611" s="411"/>
      <c r="O611" s="4"/>
    </row>
    <row r="612" spans="1:15" s="13" customFormat="1" ht="17.25">
      <c r="A612" s="658"/>
      <c r="B612" s="3"/>
      <c r="C612" s="7"/>
      <c r="D612" s="11"/>
      <c r="E612" s="411"/>
      <c r="F612" s="411"/>
      <c r="G612" s="411"/>
      <c r="H612" s="12"/>
      <c r="J612" s="411"/>
      <c r="K612" s="411"/>
      <c r="L612" s="411"/>
      <c r="M612" s="411"/>
      <c r="N612" s="411"/>
      <c r="O612" s="4"/>
    </row>
    <row r="613" spans="1:15" s="13" customFormat="1" ht="17.25">
      <c r="A613" s="658"/>
      <c r="B613" s="3"/>
      <c r="C613" s="7"/>
      <c r="D613" s="11"/>
      <c r="E613" s="411"/>
      <c r="F613" s="411"/>
      <c r="G613" s="411"/>
      <c r="H613" s="12"/>
      <c r="J613" s="411"/>
      <c r="K613" s="411"/>
      <c r="L613" s="411"/>
      <c r="M613" s="411"/>
      <c r="N613" s="411"/>
      <c r="O613" s="4"/>
    </row>
    <row r="614" spans="1:15" s="13" customFormat="1" ht="17.25">
      <c r="A614" s="658"/>
      <c r="B614" s="3"/>
      <c r="C614" s="7"/>
      <c r="D614" s="11"/>
      <c r="E614" s="411"/>
      <c r="F614" s="411"/>
      <c r="G614" s="411"/>
      <c r="H614" s="12"/>
      <c r="J614" s="411"/>
      <c r="K614" s="411"/>
      <c r="L614" s="411"/>
      <c r="M614" s="411"/>
      <c r="N614" s="411"/>
      <c r="O614" s="4"/>
    </row>
    <row r="615" spans="1:15" s="13" customFormat="1" ht="17.25">
      <c r="A615" s="658"/>
      <c r="B615" s="3"/>
      <c r="C615" s="7"/>
      <c r="D615" s="11"/>
      <c r="E615" s="411"/>
      <c r="F615" s="411"/>
      <c r="G615" s="411"/>
      <c r="H615" s="12"/>
      <c r="J615" s="411"/>
      <c r="K615" s="411"/>
      <c r="L615" s="411"/>
      <c r="M615" s="411"/>
      <c r="N615" s="411"/>
      <c r="O615" s="4"/>
    </row>
    <row r="616" spans="1:15" s="13" customFormat="1" ht="17.25">
      <c r="A616" s="658"/>
      <c r="B616" s="3"/>
      <c r="C616" s="7"/>
      <c r="D616" s="11"/>
      <c r="E616" s="411"/>
      <c r="F616" s="411"/>
      <c r="G616" s="411"/>
      <c r="H616" s="12"/>
      <c r="J616" s="411"/>
      <c r="K616" s="411"/>
      <c r="L616" s="411"/>
      <c r="M616" s="411"/>
      <c r="N616" s="411"/>
      <c r="O616" s="4"/>
    </row>
    <row r="617" spans="1:15" s="13" customFormat="1" ht="17.25">
      <c r="A617" s="658"/>
      <c r="B617" s="3"/>
      <c r="C617" s="7"/>
      <c r="D617" s="11"/>
      <c r="E617" s="411"/>
      <c r="F617" s="411"/>
      <c r="G617" s="411"/>
      <c r="H617" s="12"/>
      <c r="J617" s="411"/>
      <c r="K617" s="411"/>
      <c r="L617" s="411"/>
      <c r="M617" s="411"/>
      <c r="N617" s="411"/>
      <c r="O617" s="4"/>
    </row>
    <row r="618" spans="1:15" s="13" customFormat="1" ht="17.25">
      <c r="A618" s="658"/>
      <c r="B618" s="3"/>
      <c r="C618" s="7"/>
      <c r="D618" s="11"/>
      <c r="E618" s="411"/>
      <c r="F618" s="411"/>
      <c r="G618" s="411"/>
      <c r="H618" s="12"/>
      <c r="J618" s="411"/>
      <c r="K618" s="411"/>
      <c r="L618" s="411"/>
      <c r="M618" s="411"/>
      <c r="N618" s="411"/>
      <c r="O618" s="4"/>
    </row>
    <row r="619" spans="1:15" s="13" customFormat="1" ht="17.25">
      <c r="A619" s="658"/>
      <c r="B619" s="3"/>
      <c r="C619" s="7"/>
      <c r="D619" s="11"/>
      <c r="E619" s="411"/>
      <c r="F619" s="411"/>
      <c r="G619" s="411"/>
      <c r="H619" s="12"/>
      <c r="J619" s="411"/>
      <c r="K619" s="411"/>
      <c r="L619" s="411"/>
      <c r="M619" s="411"/>
      <c r="N619" s="411"/>
      <c r="O619" s="4"/>
    </row>
    <row r="620" spans="1:15" s="13" customFormat="1" ht="17.25">
      <c r="A620" s="658"/>
      <c r="B620" s="3"/>
      <c r="C620" s="7"/>
      <c r="D620" s="11"/>
      <c r="E620" s="411"/>
      <c r="F620" s="411"/>
      <c r="G620" s="411"/>
      <c r="H620" s="12"/>
      <c r="J620" s="411"/>
      <c r="K620" s="411"/>
      <c r="L620" s="411"/>
      <c r="M620" s="411"/>
      <c r="N620" s="411"/>
      <c r="O620" s="4"/>
    </row>
    <row r="621" spans="1:15" s="13" customFormat="1" ht="17.25">
      <c r="A621" s="658"/>
      <c r="B621" s="3"/>
      <c r="C621" s="7"/>
      <c r="D621" s="11"/>
      <c r="E621" s="411"/>
      <c r="F621" s="411"/>
      <c r="G621" s="411"/>
      <c r="H621" s="12"/>
      <c r="J621" s="411"/>
      <c r="K621" s="411"/>
      <c r="L621" s="411"/>
      <c r="M621" s="411"/>
      <c r="N621" s="411"/>
      <c r="O621" s="4"/>
    </row>
    <row r="622" spans="1:15" s="13" customFormat="1" ht="17.25">
      <c r="A622" s="658"/>
      <c r="B622" s="3"/>
      <c r="C622" s="7"/>
      <c r="D622" s="16"/>
      <c r="E622" s="4"/>
      <c r="F622" s="4"/>
      <c r="G622" s="4"/>
      <c r="H622" s="3"/>
      <c r="J622" s="411"/>
      <c r="K622" s="411"/>
      <c r="L622" s="411"/>
      <c r="M622" s="411"/>
      <c r="N622" s="411"/>
      <c r="O622" s="4"/>
    </row>
    <row r="623" spans="1:15" s="13" customFormat="1" ht="17.25">
      <c r="A623" s="658"/>
      <c r="B623" s="3"/>
      <c r="C623" s="7"/>
      <c r="D623" s="16"/>
      <c r="E623" s="4"/>
      <c r="F623" s="4"/>
      <c r="G623" s="4"/>
      <c r="H623" s="3"/>
      <c r="J623" s="411"/>
      <c r="K623" s="411"/>
      <c r="L623" s="411"/>
      <c r="M623" s="411"/>
      <c r="N623" s="411"/>
      <c r="O623" s="4"/>
    </row>
    <row r="624" spans="1:15" s="13" customFormat="1" ht="17.25">
      <c r="A624" s="658"/>
      <c r="B624" s="3"/>
      <c r="C624" s="7"/>
      <c r="D624" s="16"/>
      <c r="E624" s="4"/>
      <c r="F624" s="4"/>
      <c r="G624" s="4"/>
      <c r="H624" s="3"/>
      <c r="J624" s="411"/>
      <c r="K624" s="411"/>
      <c r="L624" s="411"/>
      <c r="M624" s="411"/>
      <c r="N624" s="411"/>
      <c r="O624" s="4"/>
    </row>
    <row r="625" spans="1:15" s="13" customFormat="1" ht="17.25">
      <c r="A625" s="658"/>
      <c r="B625" s="3"/>
      <c r="C625" s="7"/>
      <c r="D625" s="16"/>
      <c r="E625" s="4"/>
      <c r="F625" s="4"/>
      <c r="G625" s="4"/>
      <c r="H625" s="3"/>
      <c r="J625" s="411"/>
      <c r="K625" s="411"/>
      <c r="L625" s="411"/>
      <c r="M625" s="411"/>
      <c r="N625" s="411"/>
      <c r="O625" s="4"/>
    </row>
    <row r="626" spans="1:15" s="13" customFormat="1" ht="17.25">
      <c r="A626" s="658"/>
      <c r="B626" s="3"/>
      <c r="C626" s="7"/>
      <c r="D626" s="16"/>
      <c r="E626" s="4"/>
      <c r="F626" s="4"/>
      <c r="G626" s="4"/>
      <c r="H626" s="3"/>
      <c r="J626" s="411"/>
      <c r="K626" s="411"/>
      <c r="L626" s="411"/>
      <c r="M626" s="411"/>
      <c r="N626" s="411"/>
      <c r="O626" s="4"/>
    </row>
    <row r="627" spans="1:15" s="13" customFormat="1" ht="17.25">
      <c r="A627" s="658"/>
      <c r="B627" s="3"/>
      <c r="C627" s="7"/>
      <c r="D627" s="16"/>
      <c r="E627" s="4"/>
      <c r="F627" s="4"/>
      <c r="G627" s="4"/>
      <c r="H627" s="3"/>
      <c r="J627" s="411"/>
      <c r="K627" s="411"/>
      <c r="L627" s="411"/>
      <c r="M627" s="411"/>
      <c r="N627" s="411"/>
      <c r="O627" s="4"/>
    </row>
    <row r="628" spans="1:15" s="13" customFormat="1" ht="17.25">
      <c r="A628" s="658"/>
      <c r="B628" s="3"/>
      <c r="C628" s="7"/>
      <c r="D628" s="16"/>
      <c r="E628" s="4"/>
      <c r="F628" s="4"/>
      <c r="G628" s="4"/>
      <c r="H628" s="3"/>
      <c r="J628" s="411"/>
      <c r="K628" s="411"/>
      <c r="L628" s="411"/>
      <c r="M628" s="411"/>
      <c r="N628" s="411"/>
      <c r="O628" s="4"/>
    </row>
    <row r="629" spans="1:15" s="13" customFormat="1" ht="17.25">
      <c r="A629" s="658"/>
      <c r="B629" s="3"/>
      <c r="C629" s="7"/>
      <c r="D629" s="16"/>
      <c r="E629" s="4"/>
      <c r="F629" s="4"/>
      <c r="G629" s="4"/>
      <c r="H629" s="3"/>
      <c r="J629" s="411"/>
      <c r="K629" s="411"/>
      <c r="L629" s="411"/>
      <c r="M629" s="411"/>
      <c r="N629" s="411"/>
      <c r="O629" s="4"/>
    </row>
    <row r="630" spans="1:15" s="13" customFormat="1" ht="17.25">
      <c r="A630" s="658"/>
      <c r="B630" s="3"/>
      <c r="C630" s="7"/>
      <c r="D630" s="16"/>
      <c r="E630" s="4"/>
      <c r="F630" s="4"/>
      <c r="G630" s="4"/>
      <c r="H630" s="3"/>
      <c r="J630" s="411"/>
      <c r="K630" s="411"/>
      <c r="L630" s="411"/>
      <c r="M630" s="411"/>
      <c r="N630" s="411"/>
      <c r="O630" s="4"/>
    </row>
    <row r="631" spans="1:15" s="13" customFormat="1" ht="17.25">
      <c r="A631" s="658"/>
      <c r="B631" s="3"/>
      <c r="C631" s="7"/>
      <c r="D631" s="16"/>
      <c r="E631" s="4"/>
      <c r="F631" s="4"/>
      <c r="G631" s="4"/>
      <c r="H631" s="3"/>
      <c r="J631" s="411"/>
      <c r="K631" s="411"/>
      <c r="L631" s="411"/>
      <c r="M631" s="411"/>
      <c r="N631" s="411"/>
      <c r="O631" s="4"/>
    </row>
  </sheetData>
  <sheetProtection/>
  <mergeCells count="21">
    <mergeCell ref="B1:D1"/>
    <mergeCell ref="G1:I1"/>
    <mergeCell ref="B2:N2"/>
    <mergeCell ref="B3:N3"/>
    <mergeCell ref="M4:N4"/>
    <mergeCell ref="D504:G504"/>
    <mergeCell ref="B509:D509"/>
    <mergeCell ref="B511:D511"/>
    <mergeCell ref="I6:I7"/>
    <mergeCell ref="J6:N6"/>
    <mergeCell ref="E6:E7"/>
    <mergeCell ref="B6:B7"/>
    <mergeCell ref="C6:C7"/>
    <mergeCell ref="G6:G7"/>
    <mergeCell ref="D6:D7"/>
    <mergeCell ref="F6:F7"/>
    <mergeCell ref="H6:H7"/>
    <mergeCell ref="D505:G505"/>
    <mergeCell ref="D506:G506"/>
    <mergeCell ref="D507:G507"/>
    <mergeCell ref="D508:G50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5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B1" sqref="B1"/>
    </sheetView>
  </sheetViews>
  <sheetFormatPr defaultColWidth="9.125" defaultRowHeight="12.75"/>
  <cols>
    <col min="1" max="1" width="3.75390625" style="756" customWidth="1"/>
    <col min="2" max="2" width="79.875" style="305" bestFit="1" customWidth="1"/>
    <col min="3" max="3" width="12.75390625" style="305" customWidth="1"/>
    <col min="4" max="4" width="9.125" style="305" customWidth="1"/>
    <col min="5" max="5" width="90.375" style="305" customWidth="1"/>
    <col min="6" max="16384" width="9.125" style="305" customWidth="1"/>
  </cols>
  <sheetData>
    <row r="1" spans="1:3" s="516" customFormat="1" ht="16.5">
      <c r="A1" s="1148"/>
      <c r="B1" s="1149" t="s">
        <v>1011</v>
      </c>
      <c r="C1" s="1150"/>
    </row>
    <row r="2" spans="1:3" ht="19.5" customHeight="1">
      <c r="A2" s="1148"/>
      <c r="B2" s="1655" t="s">
        <v>122</v>
      </c>
      <c r="C2" s="1655"/>
    </row>
    <row r="3" spans="1:3" ht="19.5" customHeight="1">
      <c r="A3" s="1148"/>
      <c r="B3" s="1655" t="s">
        <v>319</v>
      </c>
      <c r="C3" s="1655"/>
    </row>
    <row r="4" spans="1:3" ht="33.75" customHeight="1">
      <c r="A4" s="1148"/>
      <c r="B4" s="1657" t="s">
        <v>688</v>
      </c>
      <c r="C4" s="1657"/>
    </row>
    <row r="5" spans="1:3" s="1151" customFormat="1" ht="19.5" customHeight="1">
      <c r="A5" s="1147"/>
      <c r="B5" s="1658" t="s">
        <v>0</v>
      </c>
      <c r="C5" s="1658"/>
    </row>
    <row r="6" spans="1:3" s="146" customFormat="1" ht="15" thickBot="1">
      <c r="A6" s="755"/>
      <c r="B6" s="1098" t="s">
        <v>1</v>
      </c>
      <c r="C6" s="1097" t="s">
        <v>3</v>
      </c>
    </row>
    <row r="7" spans="1:3" ht="19.5" customHeight="1">
      <c r="A7" s="204"/>
      <c r="B7" s="1659" t="s">
        <v>325</v>
      </c>
      <c r="C7" s="1661" t="s">
        <v>320</v>
      </c>
    </row>
    <row r="8" spans="1:3" ht="19.5" customHeight="1" thickBot="1">
      <c r="A8" s="204"/>
      <c r="B8" s="1660"/>
      <c r="C8" s="1662"/>
    </row>
    <row r="9" spans="1:5" s="306" customFormat="1" ht="18" customHeight="1" thickTop="1">
      <c r="A9" s="203">
        <v>1</v>
      </c>
      <c r="B9" s="196" t="s">
        <v>469</v>
      </c>
      <c r="C9" s="197">
        <v>1500</v>
      </c>
      <c r="D9" s="307"/>
      <c r="E9" s="308"/>
    </row>
    <row r="10" spans="1:5" s="306" customFormat="1" ht="18" customHeight="1">
      <c r="A10" s="203">
        <v>2</v>
      </c>
      <c r="B10" s="196" t="s">
        <v>470</v>
      </c>
      <c r="C10" s="197">
        <v>425</v>
      </c>
      <c r="D10" s="307"/>
      <c r="E10" s="308"/>
    </row>
    <row r="11" spans="1:5" s="306" customFormat="1" ht="18" customHeight="1">
      <c r="A11" s="203">
        <v>3</v>
      </c>
      <c r="B11" s="196" t="s">
        <v>850</v>
      </c>
      <c r="C11" s="197">
        <v>2550</v>
      </c>
      <c r="D11" s="307"/>
      <c r="E11" s="308"/>
    </row>
    <row r="12" spans="1:5" s="306" customFormat="1" ht="18" customHeight="1">
      <c r="A12" s="203">
        <v>4</v>
      </c>
      <c r="B12" s="196" t="s">
        <v>851</v>
      </c>
      <c r="C12" s="197">
        <v>2550</v>
      </c>
      <c r="D12" s="307"/>
      <c r="E12" s="308"/>
    </row>
    <row r="13" spans="1:5" s="306" customFormat="1" ht="18" customHeight="1">
      <c r="A13" s="203">
        <v>5</v>
      </c>
      <c r="B13" s="196" t="s">
        <v>852</v>
      </c>
      <c r="C13" s="197">
        <v>850</v>
      </c>
      <c r="D13" s="307"/>
      <c r="E13" s="308"/>
    </row>
    <row r="14" spans="1:5" s="306" customFormat="1" ht="18" customHeight="1">
      <c r="A14" s="203">
        <v>6</v>
      </c>
      <c r="B14" s="196" t="s">
        <v>604</v>
      </c>
      <c r="C14" s="197">
        <v>553</v>
      </c>
      <c r="D14" s="307"/>
      <c r="E14" s="308"/>
    </row>
    <row r="15" spans="1:5" s="306" customFormat="1" ht="18" customHeight="1">
      <c r="A15" s="203">
        <v>7</v>
      </c>
      <c r="B15" s="196" t="s">
        <v>400</v>
      </c>
      <c r="C15" s="197">
        <v>25975</v>
      </c>
      <c r="D15" s="307"/>
      <c r="E15" s="308"/>
    </row>
    <row r="16" spans="1:5" s="306" customFormat="1" ht="18" customHeight="1">
      <c r="A16" s="203">
        <v>8</v>
      </c>
      <c r="B16" s="196" t="s">
        <v>322</v>
      </c>
      <c r="C16" s="197">
        <v>6460</v>
      </c>
      <c r="D16" s="307"/>
      <c r="E16" s="308"/>
    </row>
    <row r="17" spans="1:5" s="306" customFormat="1" ht="18" customHeight="1">
      <c r="A17" s="203">
        <v>9</v>
      </c>
      <c r="B17" s="196" t="s">
        <v>865</v>
      </c>
      <c r="C17" s="197">
        <v>425</v>
      </c>
      <c r="D17" s="307"/>
      <c r="E17" s="308"/>
    </row>
    <row r="18" spans="1:5" s="306" customFormat="1" ht="18" customHeight="1">
      <c r="A18" s="203">
        <v>10</v>
      </c>
      <c r="B18" s="196" t="s">
        <v>854</v>
      </c>
      <c r="C18" s="197">
        <v>2550</v>
      </c>
      <c r="D18" s="597"/>
      <c r="E18" s="308"/>
    </row>
    <row r="19" spans="1:5" s="306" customFormat="1" ht="18" customHeight="1">
      <c r="A19" s="203">
        <v>11</v>
      </c>
      <c r="B19" s="196" t="s">
        <v>866</v>
      </c>
      <c r="C19" s="197">
        <v>425</v>
      </c>
      <c r="D19" s="597"/>
      <c r="E19" s="308"/>
    </row>
    <row r="20" spans="1:5" s="306" customFormat="1" ht="18" customHeight="1">
      <c r="A20" s="203">
        <v>12</v>
      </c>
      <c r="B20" s="196" t="s">
        <v>321</v>
      </c>
      <c r="C20" s="197">
        <v>11900</v>
      </c>
      <c r="D20" s="597"/>
      <c r="E20" s="308"/>
    </row>
    <row r="21" spans="1:5" s="306" customFormat="1" ht="18" customHeight="1">
      <c r="A21" s="203">
        <v>13</v>
      </c>
      <c r="B21" s="196" t="s">
        <v>521</v>
      </c>
      <c r="C21" s="197">
        <v>60000</v>
      </c>
      <c r="D21" s="597"/>
      <c r="E21" s="308"/>
    </row>
    <row r="22" spans="1:5" s="306" customFormat="1" ht="30.75" customHeight="1">
      <c r="A22" s="203">
        <v>14</v>
      </c>
      <c r="B22" s="196" t="s">
        <v>867</v>
      </c>
      <c r="C22" s="197">
        <v>1275</v>
      </c>
      <c r="D22" s="597"/>
      <c r="E22" s="308"/>
    </row>
    <row r="23" spans="1:5" s="306" customFormat="1" ht="18" customHeight="1">
      <c r="A23" s="203">
        <v>15</v>
      </c>
      <c r="B23" s="196" t="s">
        <v>518</v>
      </c>
      <c r="C23" s="197">
        <v>17000</v>
      </c>
      <c r="D23" s="597"/>
      <c r="E23" s="308"/>
    </row>
    <row r="24" spans="1:5" s="306" customFormat="1" ht="18" customHeight="1">
      <c r="A24" s="203">
        <v>16</v>
      </c>
      <c r="B24" s="196" t="s">
        <v>519</v>
      </c>
      <c r="C24" s="197">
        <v>28000</v>
      </c>
      <c r="D24" s="597"/>
      <c r="E24" s="308"/>
    </row>
    <row r="25" spans="1:5" s="306" customFormat="1" ht="18" customHeight="1">
      <c r="A25" s="203">
        <v>17</v>
      </c>
      <c r="B25" s="196" t="s">
        <v>359</v>
      </c>
      <c r="C25" s="197">
        <v>30000</v>
      </c>
      <c r="D25" s="597"/>
      <c r="E25" s="308"/>
    </row>
    <row r="26" spans="1:5" s="306" customFormat="1" ht="18" customHeight="1" thickBot="1">
      <c r="A26" s="203">
        <v>18</v>
      </c>
      <c r="B26" s="196" t="s">
        <v>870</v>
      </c>
      <c r="C26" s="197">
        <v>25000</v>
      </c>
      <c r="D26" s="597"/>
      <c r="E26" s="308"/>
    </row>
    <row r="27" spans="1:3" ht="30" customHeight="1" thickBot="1">
      <c r="A27" s="203">
        <v>19</v>
      </c>
      <c r="B27" s="198" t="s">
        <v>13</v>
      </c>
      <c r="C27" s="199">
        <f>SUM(C9:C26)</f>
        <v>217438</v>
      </c>
    </row>
  </sheetData>
  <sheetProtection/>
  <mergeCells count="6">
    <mergeCell ref="B2:C2"/>
    <mergeCell ref="B3:C3"/>
    <mergeCell ref="B4:C4"/>
    <mergeCell ref="B5:C5"/>
    <mergeCell ref="B7:B8"/>
    <mergeCell ref="C7:C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2020-02-14T09:32:57Z</cp:lastPrinted>
  <dcterms:created xsi:type="dcterms:W3CDTF">2015-02-11T07:38:58Z</dcterms:created>
  <dcterms:modified xsi:type="dcterms:W3CDTF">2020-03-02T13:25:09Z</dcterms:modified>
  <cp:category/>
  <cp:version/>
  <cp:contentType/>
  <cp:contentStatus/>
</cp:coreProperties>
</file>