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tabRatio="934" activeTab="2"/>
  </bookViews>
  <sheets>
    <sheet name="1.Onbe" sheetId="1" r:id="rId1"/>
    <sheet name="1.A Norm" sheetId="2" r:id="rId2"/>
    <sheet name="2.Onki" sheetId="3" r:id="rId3"/>
    <sheet name="3.Inbe " sheetId="4" r:id="rId4"/>
    <sheet name="3.A Inbe" sheetId="5" r:id="rId5"/>
    <sheet name="4.Inki" sheetId="6" r:id="rId6"/>
    <sheet name="5.Infelhki" sheetId="7" r:id="rId7"/>
    <sheet name="6.Önk.műk." sheetId="8" r:id="rId8"/>
    <sheet name="6.A Alapítv" sheetId="9" r:id="rId9"/>
    <sheet name="7.Beruh." sheetId="10" r:id="rId10"/>
    <sheet name="8.Felúj." sheetId="11" r:id="rId11"/>
    <sheet name="9.Projekt" sheetId="12" r:id="rId12"/>
    <sheet name="10.MVP és hazai" sheetId="13" r:id="rId13"/>
    <sheet name="11.EKF" sheetId="14" r:id="rId14"/>
    <sheet name="12.Mérleg" sheetId="15" r:id="rId15"/>
    <sheet name="13.Létszám" sheetId="16" r:id="rId16"/>
    <sheet name="14. Többéves" sheetId="17" r:id="rId17"/>
    <sheet name="15.Hitel állomány" sheetId="18" r:id="rId18"/>
    <sheet name="15.A Beruh.hitel" sheetId="19" r:id="rId19"/>
    <sheet name="15.B Beruh.hitel" sheetId="20" r:id="rId20"/>
    <sheet name="16.EU" sheetId="21" r:id="rId21"/>
    <sheet name="17.Közv.tám." sheetId="22" r:id="rId22"/>
  </sheets>
  <externalReferences>
    <externalReference r:id="rId25"/>
  </externalReferences>
  <definedNames>
    <definedName name="_4._sz._sor_részletezése" localSheetId="1">#REF!</definedName>
    <definedName name="_4._sz._sor_részletezése" localSheetId="0">#REF!</definedName>
    <definedName name="_4._sz._sor_részletezése" localSheetId="12">#REF!</definedName>
    <definedName name="_4._sz._sor_részletezése" localSheetId="13">#REF!</definedName>
    <definedName name="_4._sz._sor_részletezése" localSheetId="20">#REF!</definedName>
    <definedName name="_4._sz._sor_részletezése" localSheetId="21">#REF!</definedName>
    <definedName name="_4._sz._sor_részletezése" localSheetId="6">#REF!</definedName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 localSheetId="11">#REF!</definedName>
    <definedName name="_4._sz._sor_részletezése">#REF!</definedName>
    <definedName name="_xlnm.Print_Titles" localSheetId="0">'1.Onbe'!$4:$6</definedName>
    <definedName name="_xlnm.Print_Titles" localSheetId="12">'10.MVP és hazai'!$4:$8</definedName>
    <definedName name="_xlnm.Print_Titles" localSheetId="13">'11.EKF'!$4:$8</definedName>
    <definedName name="_xlnm.Print_Titles" localSheetId="15">'13.Létszám'!$5:$5</definedName>
    <definedName name="_xlnm.Print_Titles" localSheetId="16">'14. Többéves'!$5:$8</definedName>
    <definedName name="_xlnm.Print_Titles" localSheetId="20">'16.EU'!$5:$9</definedName>
    <definedName name="_xlnm.Print_Titles" localSheetId="2">'2.Onki'!$4:$6</definedName>
    <definedName name="_xlnm.Print_Titles" localSheetId="4">'3.A Inbe'!$4:$7</definedName>
    <definedName name="_xlnm.Print_Titles" localSheetId="3">'3.Inbe '!$4:$7</definedName>
    <definedName name="_xlnm.Print_Titles" localSheetId="5">'4.Inki'!$4:$7</definedName>
    <definedName name="_xlnm.Print_Titles" localSheetId="6">'5.Infelhki'!$4:$7</definedName>
    <definedName name="_xlnm.Print_Titles" localSheetId="8">'6.A Alapítv'!$5:$8</definedName>
    <definedName name="_xlnm.Print_Titles" localSheetId="7">'6.Önk.műk.'!$4:$7</definedName>
    <definedName name="_xlnm.Print_Titles" localSheetId="9">'7.Beruh.'!$4:$8</definedName>
    <definedName name="_xlnm.Print_Titles" localSheetId="10">'8.Felúj.'!$4:$8</definedName>
    <definedName name="_xlnm.Print_Titles" localSheetId="11">'9.Projekt'!$4:$8</definedName>
    <definedName name="_xlnm.Print_Area" localSheetId="1">'1.A Norm'!$A$1:$E$43</definedName>
    <definedName name="_xlnm.Print_Area" localSheetId="0">'1.Onbe'!$A$1:$J$62</definedName>
    <definedName name="_xlnm.Print_Area" localSheetId="12">'10.MVP és hazai'!$A$1:$P$46</definedName>
    <definedName name="_xlnm.Print_Area" localSheetId="13">'11.EKF'!$A$1:$Q$53</definedName>
    <definedName name="_xlnm.Print_Area" localSheetId="14">'12.Mérleg'!$A$1:$G$38</definedName>
    <definedName name="_xlnm.Print_Area" localSheetId="15">'13.Létszám'!$A$1:$G$32</definedName>
    <definedName name="_xlnm.Print_Area" localSheetId="16">'14. Többéves'!$A$1:$F$79</definedName>
    <definedName name="_xlnm.Print_Area" localSheetId="18">'15.A Beruh.hitel'!$A$1:$E$34</definedName>
    <definedName name="_xlnm.Print_Area" localSheetId="19">'15.B Beruh.hitel'!$A$1:$E$21</definedName>
    <definedName name="_xlnm.Print_Area" localSheetId="17">'15.Hitel állomány'!$A$1:$T$16</definedName>
    <definedName name="_xlnm.Print_Area" localSheetId="2">'2.Onki'!$A$1:$J$40</definedName>
    <definedName name="_xlnm.Print_Area" localSheetId="4">'3.A Inbe'!$A$1:$H$29</definedName>
    <definedName name="_xlnm.Print_Area" localSheetId="3">'3.Inbe '!$A$1:$O$69</definedName>
    <definedName name="_xlnm.Print_Area" localSheetId="5">'4.Inki'!$A$1:$R$147</definedName>
    <definedName name="_xlnm.Print_Area" localSheetId="6">'5.Infelhki'!$A$1:$I$129</definedName>
    <definedName name="_xlnm.Print_Area" localSheetId="8">'6.A Alapítv'!$A$1:$C$17</definedName>
    <definedName name="_xlnm.Print_Area" localSheetId="7">'6.Önk.műk.'!$A$1:$N$331</definedName>
    <definedName name="_xlnm.Print_Area" localSheetId="9">'7.Beruh.'!$A$1:$M$53</definedName>
    <definedName name="_xlnm.Print_Area" localSheetId="10">'8.Felúj.'!$A$1:$L$15</definedName>
    <definedName name="_xlnm.Print_Area" localSheetId="11">'9.Projekt'!$A$1:$P$64</definedName>
  </definedNames>
  <calcPr fullCalcOnLoad="1"/>
</workbook>
</file>

<file path=xl/comments12.xml><?xml version="1.0" encoding="utf-8"?>
<comments xmlns="http://schemas.openxmlformats.org/spreadsheetml/2006/main">
  <authors>
    <author>Eckert Szilvia</author>
  </authors>
  <commentList>
    <comment ref="E6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Hivatalt és intézményeket is beletegyük?</t>
        </r>
      </text>
    </comment>
  </commentList>
</comments>
</file>

<file path=xl/sharedStrings.xml><?xml version="1.0" encoding="utf-8"?>
<sst xmlns="http://schemas.openxmlformats.org/spreadsheetml/2006/main" count="2151" uniqueCount="951">
  <si>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</si>
  <si>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</si>
  <si>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</si>
  <si>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</si>
  <si>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</si>
  <si>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</si>
  <si>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</si>
  <si>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</si>
  <si>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</si>
  <si>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</si>
  <si>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</si>
  <si>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</si>
  <si>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</si>
  <si>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</si>
  <si>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</si>
  <si>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</si>
  <si>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</si>
  <si>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</si>
  <si>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</si>
  <si>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</si>
  <si>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</si>
  <si>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</si>
  <si>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</si>
  <si>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</si>
  <si>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</si>
  <si>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</si>
  <si>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</si>
  <si>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</si>
  <si>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</si>
  <si>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</si>
  <si>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</si>
  <si>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</si>
  <si>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</si>
  <si>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</si>
  <si>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</si>
  <si>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</si>
  <si>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</si>
  <si>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</si>
  <si>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</si>
  <si>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</si>
  <si>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</si>
  <si>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</si>
  <si>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</si>
  <si>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</si>
  <si>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</si>
  <si>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</si>
  <si>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</si>
  <si>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</si>
  <si>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</si>
  <si>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</si>
  <si>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</si>
  <si>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</si>
  <si>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</si>
  <si>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</si>
  <si>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</si>
  <si>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</si>
  <si>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</si>
  <si>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</si>
  <si>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</si>
  <si>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</si>
  <si>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</si>
  <si>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</si>
  <si>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</si>
  <si>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</si>
  <si>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</si>
  <si>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</si>
  <si>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</si>
  <si>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</si>
  <si>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</si>
  <si>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</si>
  <si>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</si>
  <si>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</si>
  <si>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</si>
  <si>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</si>
  <si>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</si>
  <si>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Máltai Szeretetszolgálatnak pénzeszköz átadás (ellátási szerződés)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</si>
  <si>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</si>
  <si>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</si>
  <si>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</si>
  <si>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</si>
  <si>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</si>
  <si>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</si>
  <si>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</si>
  <si>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</si>
  <si>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</si>
  <si>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</si>
  <si>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</si>
  <si>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</si>
  <si>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</si>
  <si>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</si>
  <si>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</si>
  <si>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</si>
  <si>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</si>
  <si>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</si>
  <si>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</si>
  <si>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</si>
  <si>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</si>
  <si>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</si>
  <si>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</si>
  <si>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</si>
  <si>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</si>
  <si>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</si>
  <si>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</si>
  <si>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</si>
  <si>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</si>
  <si>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</si>
  <si>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</si>
  <si>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</si>
  <si>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</si>
  <si>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</si>
  <si>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</si>
  <si>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</si>
  <si>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</si>
  <si>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</si>
  <si>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</si>
  <si>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Megjegyzés</t>
  </si>
  <si>
    <t>Göllesz Viktor Fogyatékos Személyek Nappali Intézménye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</si>
  <si>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</si>
  <si>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</si>
  <si>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</si>
  <si>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</si>
  <si>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</si>
  <si>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</si>
  <si>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</si>
  <si>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</si>
  <si>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</si>
  <si>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</si>
  <si>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</si>
  <si>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</si>
  <si>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</si>
  <si>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</si>
  <si>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</si>
  <si>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Összesen: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</si>
  <si>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</si>
  <si>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</si>
  <si>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</si>
  <si>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</si>
  <si>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</si>
  <si>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</si>
  <si>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</si>
  <si>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</si>
  <si>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</si>
  <si>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</si>
  <si>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</si>
  <si>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</si>
  <si>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</si>
  <si>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</si>
  <si>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</si>
  <si>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</si>
  <si>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</si>
  <si>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</si>
  <si>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</si>
  <si>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</si>
  <si>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</si>
  <si>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</si>
  <si>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</si>
  <si>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</si>
  <si>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</si>
  <si>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</si>
  <si>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</si>
  <si>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</si>
  <si>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</si>
  <si>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</si>
  <si>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</si>
  <si>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</si>
  <si>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</si>
  <si>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</si>
  <si>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</si>
  <si>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</si>
  <si>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</si>
  <si>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</si>
  <si>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</si>
  <si>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</si>
  <si>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</si>
  <si>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</si>
  <si>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</si>
  <si>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</si>
  <si>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</si>
  <si>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</si>
  <si>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</si>
  <si>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</si>
  <si>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</si>
  <si>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</si>
  <si>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</si>
  <si>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</si>
  <si>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</si>
  <si>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</si>
  <si>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</si>
  <si>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</si>
  <si>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</si>
  <si>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</si>
  <si>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</si>
  <si>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</si>
  <si>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</si>
  <si>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</si>
  <si>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</si>
  <si>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</si>
  <si>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 xml:space="preserve"> - Előző évi hitelszerződéshez kapcs. feladat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</si>
  <si>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</si>
  <si>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</si>
  <si>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</si>
  <si>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</si>
  <si>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</si>
  <si>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</si>
  <si>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</si>
  <si>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</si>
  <si>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</si>
  <si>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</si>
  <si>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</si>
  <si>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</si>
  <si>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</si>
  <si>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</si>
  <si>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</si>
  <si>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</si>
  <si>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</si>
  <si>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</si>
  <si>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</si>
  <si>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</si>
  <si>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</si>
  <si>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</si>
  <si>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</si>
  <si>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</si>
  <si>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</si>
  <si>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</si>
  <si>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</si>
  <si>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</si>
  <si>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</si>
  <si>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</si>
  <si>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</si>
  <si>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</si>
  <si>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</si>
  <si>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</si>
  <si>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</si>
  <si>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</si>
  <si>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</si>
  <si>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</si>
  <si>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</si>
  <si>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</si>
  <si>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</si>
  <si>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</si>
  <si>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</si>
  <si>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</si>
  <si>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</si>
  <si>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</si>
  <si>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</si>
  <si>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</si>
  <si>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</si>
  <si>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</si>
  <si>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</si>
  <si>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</si>
  <si>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</si>
  <si>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</si>
  <si>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</si>
  <si>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</si>
  <si>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</si>
  <si>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</si>
  <si>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</si>
  <si>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</si>
  <si>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</si>
  <si>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</si>
  <si>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</si>
  <si>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</si>
  <si>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</si>
  <si>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Végleges forgalomba helyezéshez szükséges ingatlanrendezés</t>
  </si>
  <si>
    <t>Pápai u.-Jutasi u. belső krt mellékkötelezettségek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</si>
  <si>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</si>
  <si>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</si>
  <si>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</si>
  <si>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</si>
  <si>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</si>
  <si>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</si>
  <si>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</si>
  <si>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</si>
  <si>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</si>
  <si>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</si>
  <si>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</si>
  <si>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</si>
  <si>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</si>
  <si>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</si>
  <si>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</si>
  <si>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</si>
  <si>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</si>
  <si>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</si>
  <si>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</si>
  <si>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</si>
  <si>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</si>
  <si>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</si>
  <si>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</si>
  <si>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</si>
  <si>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</si>
  <si>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</si>
  <si>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</si>
  <si>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</si>
  <si>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</si>
  <si>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</si>
  <si>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</si>
  <si>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</si>
  <si>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Bérlakások üzemeltetési költségei</t>
  </si>
  <si>
    <t>Veszprém Megyei Jogú Város Önkormányzata által</t>
  </si>
  <si>
    <t>Támogatás összege</t>
  </si>
  <si>
    <t>Veszprémi Ifjúsági Közalapítvány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</si>
  <si>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</si>
  <si>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</si>
  <si>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</si>
  <si>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</si>
  <si>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Polgármester, Alpolgármesterek</t>
  </si>
  <si>
    <t>Változás %-a</t>
  </si>
  <si>
    <t>Óvodaműködtetési támogatás</t>
  </si>
  <si>
    <t>Szociális étkeztetés</t>
  </si>
  <si>
    <t>Házi segítségnyújtás</t>
  </si>
  <si>
    <t>Időskorúak nappali intézményi ellátása</t>
  </si>
  <si>
    <t>Idősek átmeneti és tartós szociális szakosított ellátásának támogatása</t>
  </si>
  <si>
    <t>Rászoruló gyermekek intézményen kívüli szünidei étkeztetése</t>
  </si>
  <si>
    <t>Megyei hatáskörű városi múzeumok  feladatainak támogatása</t>
  </si>
  <si>
    <t>Megyei könyvtárak feladatainak támogatása</t>
  </si>
  <si>
    <t>Megyeszékhely megyei jogú városok közművelődési támogatása</t>
  </si>
  <si>
    <t>Megyei könyvtár kistelepülési könyvtári célú kiegészítő támogatása</t>
  </si>
  <si>
    <t>Zenekarok támogatása</t>
  </si>
  <si>
    <t>(Csillagvár Waldorf Tagóvoda, Vadvirág Óvoda)</t>
  </si>
  <si>
    <t>tájékoztató jelleggel az Áht. 24.§ (4) bekezdés b) pontja alapján</t>
  </si>
  <si>
    <t>Sorszám</t>
  </si>
  <si>
    <t>hiteltörlesztésének, hitelállományának és egyéb kötelezettségeinek alakulásáról</t>
  </si>
  <si>
    <t>Q</t>
  </si>
  <si>
    <t>Hitel megnevezése</t>
  </si>
  <si>
    <t>Hitelt nyújtó pénzintézet</t>
  </si>
  <si>
    <t>Hitelszerződés dátuma</t>
  </si>
  <si>
    <t>Lejárat idő- pontja</t>
  </si>
  <si>
    <t>Hitelkeret</t>
  </si>
  <si>
    <t>OTP Bank</t>
  </si>
  <si>
    <t>Beruházási hitel - SMO 2011.</t>
  </si>
  <si>
    <t>UniCredit Bank</t>
  </si>
  <si>
    <t>Beruházási hitel - MFB 2013.</t>
  </si>
  <si>
    <t>Takarékbank</t>
  </si>
  <si>
    <t>7.</t>
  </si>
  <si>
    <t>Pénzintézetekkel szemben fenálló kötelezettségek összesen</t>
  </si>
  <si>
    <t xml:space="preserve">                  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</si>
  <si>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</si>
  <si>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</si>
  <si>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</si>
  <si>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Adóhivatal: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</si>
  <si>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</si>
  <si>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</si>
  <si>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</si>
  <si>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</si>
  <si>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</si>
  <si>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</si>
  <si>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</si>
  <si>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TOP-6.2.1-15-VP1-2016-00002 Gyulafirátóti óvoda újjáépítése</t>
  </si>
  <si>
    <t>ELENA projekt előkészítési feladatokra konzorciumi hozzájárulás</t>
  </si>
  <si>
    <t xml:space="preserve">           - Veszprémi Ifjúsági Közalapítvány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</si>
  <si>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</si>
  <si>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</si>
  <si>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</si>
  <si>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</si>
  <si>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</si>
  <si>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</si>
  <si>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</si>
  <si>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 xml:space="preserve">Család- és gyermekjóléti szolgálat </t>
  </si>
  <si>
    <t>Család- és gyermekjóléti központ</t>
  </si>
  <si>
    <t>Fogyatékos személyek nappali intézményi ellátása</t>
  </si>
  <si>
    <t>Demens személyek nappali intézményi ellátása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</si>
  <si>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</si>
  <si>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</si>
  <si>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</si>
  <si>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</si>
  <si>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</si>
  <si>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</si>
  <si>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</si>
  <si>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Projekt költség megbontás</t>
  </si>
  <si>
    <t>2016. évi            tény</t>
  </si>
  <si>
    <t>2016. évi                tény</t>
  </si>
  <si>
    <t>1-16</t>
  </si>
  <si>
    <t>Rövid lejáratú hitel (1500M Ft)</t>
  </si>
  <si>
    <t>Beruházási hitel  - MFB 2014</t>
  </si>
  <si>
    <t>Beruházási hitel - Célhitel 2014</t>
  </si>
  <si>
    <t>a Veszprém Megyei Jogú Város Önkormányzata Támogatási Szerződéssel rendelkező</t>
  </si>
  <si>
    <t>Eü. Alapellátás</t>
  </si>
  <si>
    <t>Megyei Könyvtár kistelepülési könyvtári és közművelődési célú kiegészítő állami támogatás</t>
  </si>
  <si>
    <t>Gépkocsi gumiabroncs beszerzés</t>
  </si>
  <si>
    <t>Mihály-napi búcsú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</si>
  <si>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</si>
  <si>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</si>
  <si>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</si>
  <si>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</si>
  <si>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</si>
  <si>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</si>
  <si>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</si>
  <si>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</si>
  <si>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</si>
  <si>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</si>
  <si>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</si>
  <si>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</si>
  <si>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</si>
  <si>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</si>
  <si>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</si>
  <si>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Térinformatikai rendszer adatfeltöltés, fakataszter</t>
  </si>
  <si>
    <t>TOP-6.4.1-15-VP1-2016-00001"Közlekedésbiztonsági és kerékpárosbarát fejlesztések megvalósulása Veszprém város területén"</t>
  </si>
  <si>
    <t>DAT térképfrissítés, földkönyv, közműnyilvántartás, GPS</t>
  </si>
  <si>
    <t>Hiány finanszírozása belső finanszírozásra szolgáló költségvetési bevétel összegével</t>
  </si>
  <si>
    <t>Hiány finanszírozása külső finanszírozásra szolgáló költségvetési bevétel összegével</t>
  </si>
  <si>
    <t>DTP1-1-311-2.2 Interreg Duna Nemzetközi Program Networld*</t>
  </si>
  <si>
    <t>KÖFOP-1.2.1-VEKOP-16-2017-01268, Veszprém Megyei Jogú Város Önkormányzata ASP Központhoz való csatlakozása</t>
  </si>
  <si>
    <t>Csillagvár Waldorf Tagóvoda</t>
  </si>
  <si>
    <t>Hársfa Tagóvoda</t>
  </si>
  <si>
    <t>Nárcisz Tagóvoda</t>
  </si>
  <si>
    <t>Cholnoky Jenő Ltp. Tagóvoda</t>
  </si>
  <si>
    <t>Ficánka Tagóvoda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</si>
  <si>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</si>
  <si>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</si>
  <si>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</si>
  <si>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</si>
  <si>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</si>
  <si>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</si>
  <si>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Állatmenhelyek támogatása</t>
  </si>
  <si>
    <t>Helikoni Ünnepségek Keszthelyen (diákok nevezési díjai)</t>
  </si>
  <si>
    <t>Hatósági engedélyek beszerzése, hatályban tartása</t>
  </si>
  <si>
    <t>Gyulafirátót 10089/4 hrsz-ú ingatlan közműfejlesztési költségei</t>
  </si>
  <si>
    <t>TOP-6.3.3-16-VP1-2017-00001 Dózsaváros, Pápai úti csapadékvíz-elvezető rendszer fejlesztése</t>
  </si>
  <si>
    <t>EFOP-1.9.9-17-2017-00004 Még jobb kezekben - Veszprémben</t>
  </si>
  <si>
    <t>Veszprém, Pápai út 37. szám alatti ingatlanon munkásszállás kialakítása</t>
  </si>
  <si>
    <t>Gyulafirátót Németh u. útrekonstrukció I. ütem csapadékvíz elvezetés</t>
  </si>
  <si>
    <t>Török I.u. - Aulich összekötés</t>
  </si>
  <si>
    <t>Máltai Szeretetszolgálat</t>
  </si>
  <si>
    <t>Kulturális kínálat bővítés/ amatőr művészeti csoportok támogatása</t>
  </si>
  <si>
    <t>Tőke-törlesztés 2021</t>
  </si>
  <si>
    <t>Kamat 2021</t>
  </si>
  <si>
    <t>Veszprémi Kistérségi Társulásnak pénzeszköz átadás (Egyesített Szoc.Int.)</t>
  </si>
  <si>
    <t>Közutak, hidak fenntartása</t>
  </si>
  <si>
    <t xml:space="preserve"> - Viziközmű fejlesztés</t>
  </si>
  <si>
    <t>Művészetek Háza Veszprém Művelődési Ház és Kiállítóhely</t>
  </si>
  <si>
    <t>Kabóca Bábszínház</t>
  </si>
  <si>
    <t xml:space="preserve">Kabóca Bábszínház </t>
  </si>
  <si>
    <t>2017. évi tény</t>
  </si>
  <si>
    <t>TOP-6.6.1-16-VP1-2017-00002 Kádártai rendelő felújítása</t>
  </si>
  <si>
    <t>601835-CITIZ-1-2018-1-HU-CITIZ-NT Reveal YouropEaN Cultural Heritage/Tárd fel  európai kulturális örökségedet (ENriCH)</t>
  </si>
  <si>
    <t>TOP-6.4.1-15-VP1-2016-00001 Közlekedésbiztonsági és kerékpárosbarát fejlesztések megvalósulása Veszprém város területén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</si>
  <si>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</si>
  <si>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</si>
  <si>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</si>
  <si>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</si>
  <si>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</si>
  <si>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Nemzetiségi pótlék</t>
  </si>
  <si>
    <t>Óvodai és iskolaiszociális segítő tevékenység támogatása</t>
  </si>
  <si>
    <t>Napsugár Bölcsőde</t>
  </si>
  <si>
    <t>TOP-6.4.1-16-VP1-2018-00002 Kerékpárút építése Márkó-Bánd települések irányába</t>
  </si>
  <si>
    <t>Veszprém Város Vegyeskar utánpótlás/Dúdoló Kórus</t>
  </si>
  <si>
    <t>Oktatási intézmények támogatása</t>
  </si>
  <si>
    <t>Téli rezsicsökkentésben nem részesültek egyszeri támogatása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</si>
  <si>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</si>
  <si>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</si>
  <si>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orvosi rendelők felújításához tartozó költöztetési munkák</t>
  </si>
  <si>
    <t>Felújításra kerülő bölcsődék költöztetési, eszközszállítási feladatai</t>
  </si>
  <si>
    <t>Infrastruktúra fejlesztési feladatokhoz kapcsolódó kiadások</t>
  </si>
  <si>
    <t>GINOP - 7.1.9-17-2018-00023 Veszprém kulturális turisztikai kínálatának fejlesztése</t>
  </si>
  <si>
    <t>Festő utca rekonstrukciója, tervezés</t>
  </si>
  <si>
    <t>Polgármesteri Hivatal felújítási munkák</t>
  </si>
  <si>
    <t>Védett sírok felújítása az Alsóvárosi temetőben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</si>
  <si>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</si>
  <si>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</si>
  <si>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</si>
  <si>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</si>
  <si>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</si>
  <si>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R</t>
  </si>
  <si>
    <t>S</t>
  </si>
  <si>
    <t>Tőke-törlesztés 2022</t>
  </si>
  <si>
    <t>Kamat 2022</t>
  </si>
  <si>
    <t>8.</t>
  </si>
  <si>
    <t>TOP-6.2.1-16-VP1-2018-00002 Egry úti óvoda újjáépítése</t>
  </si>
  <si>
    <t>URBACT Innova Tor</t>
  </si>
  <si>
    <t>Projekt teljes költség</t>
  </si>
  <si>
    <t>2023. évi előirányzat</t>
  </si>
  <si>
    <t>TOP-6.5.1-16-VP1-2018-00005 - Március 15. utcai Sportcsarnok és Uszoda energetikai megújítása</t>
  </si>
  <si>
    <t>TOP-6.5.1-16-VP1-2018-00002 Völgyikút utca 2. szám alatti épület energetikai megújítása</t>
  </si>
  <si>
    <t>TOP-6.2.1-16-VP1-2018-00001  A Veszprémi Bölcsődei és Egészségügyi Alapellátási Integrált Intézmény Módszertani Bölcsődéje megújítása, illetve bölcsődei eszközbeszerzések</t>
  </si>
  <si>
    <t xml:space="preserve"> - Beruházási kiadásokra képzett céltartalék                     </t>
  </si>
  <si>
    <t xml:space="preserve"> - Intézményi beruházáshoz kapcsolódó létszámbővítés</t>
  </si>
  <si>
    <t xml:space="preserve">          - Beiskolázási támogatás</t>
  </si>
  <si>
    <t>Magyarország gazdasági stabilitásáról szóló 2011. évi CXCIV. törvény szerint Kormányengedélyhez kötött, adósságot keletkeztető ügylet</t>
  </si>
  <si>
    <t>2020. év</t>
  </si>
  <si>
    <t>2021. év</t>
  </si>
  <si>
    <t>2022. év</t>
  </si>
  <si>
    <t>Több éves kihatással járó döntések számszerűsítése éves bontásban</t>
  </si>
  <si>
    <t>2018. évi tény</t>
  </si>
  <si>
    <t>VMJV Polgármesteri Hivatal összesen:</t>
  </si>
  <si>
    <t>Veszprémi Bóbita Körzeti Óvoda                                                                    (Hársfa Tagóvoda, Bóbita Óvoda)</t>
  </si>
  <si>
    <t>Veszprémi Ringató Körzeti Óvoda                                                              (Ringató Óvoda, Erdei Tagóvoda, Kuckó Tagóvoda)</t>
  </si>
  <si>
    <t>Veszprémi Egry úti Körzeti Óvoda                                                                          (Egry ltp. Óvoda, Nárcisz Tagóvoda)</t>
  </si>
  <si>
    <t>Veszprémi Csillag úti Körzeti Óvoda                                                                   (Csillag úti Óvoda, Cholnoky ltp. Óvoda)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</si>
  <si>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</si>
  <si>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</si>
  <si>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</si>
  <si>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</si>
  <si>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</si>
  <si>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</si>
  <si>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</rPr>
      <t>TOP – 6.9.2 -16-VP1-2018-00001</t>
    </r>
    <r>
      <rPr>
        <sz val="10"/>
        <rFont val="Palatino Linotype"/>
        <family val="1"/>
      </rPr>
      <t xml:space="preserve"> Közösségfejlesztés Veszprém város településrészein</t>
    </r>
  </si>
  <si>
    <t>Európa Parlament tagjainak 2019. évi választása</t>
  </si>
  <si>
    <t>Helyi és nemzetiségi önkormányzati képviselők 2019. évi választása</t>
  </si>
  <si>
    <t xml:space="preserve"> - Működési kiadásokra képzett céltartalék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</si>
  <si>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</si>
  <si>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</si>
  <si>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</si>
  <si>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</si>
  <si>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>TOP-6.6.1-16-VP1-2018-0003 "Jutasi u. 59. sz. alatti orvosi rendelők megújítása"</t>
  </si>
  <si>
    <t xml:space="preserve">Előir. csop. </t>
  </si>
  <si>
    <t>Kie-melt előir.</t>
  </si>
  <si>
    <t xml:space="preserve">Kie-melt előir. </t>
  </si>
  <si>
    <t xml:space="preserve"> Erdei és Kuckó Tagóvoda</t>
  </si>
  <si>
    <t>Önkormányzati működési kiadások</t>
  </si>
  <si>
    <t>INTÉZMÉNYEK BERUHÁZÁSI KIADÁSAI ÖSSZESEN:</t>
  </si>
  <si>
    <t>VMJV  Polgármesteri Hivatal beruházási kiadásai összesen:</t>
  </si>
  <si>
    <t>BERUHÁZÁSI KIADÁSOK MINDÖSSZESEN:</t>
  </si>
  <si>
    <t>2020. évi engedélyezett létszám</t>
  </si>
  <si>
    <t>TOP-6.5.1-16-VP1-2018-00004 Aprófalvi bölcsőde energetikai korszerűsítése</t>
  </si>
  <si>
    <t>TOP-6.5.1-16-VP1-2018-00006 Módszertani bölcsőde energetikai megújítása</t>
  </si>
  <si>
    <t>TOP-6.6.1-16-VP1-2018-00004 Vilonyai utca 2/B szám alatti orvosi rendelő megújítása</t>
  </si>
  <si>
    <t>TOP-6.6.1-16-VP1-2018-00005 Ördögárok u. 5.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</si>
  <si>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</si>
  <si>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</si>
  <si>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</si>
  <si>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</si>
  <si>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 xml:space="preserve">Urbact Innova-tor 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</si>
  <si>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</si>
  <si>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</si>
  <si>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</si>
  <si>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</si>
  <si>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Erasmus+ KA1 " Media of the Future</t>
  </si>
  <si>
    <t>Iparos Park</t>
  </si>
  <si>
    <t>Veszprémi Petőfi Színház komplex fejlesztése</t>
  </si>
  <si>
    <t>Kittenberger Kálmán Növény- és Vadaspark fejlesztése és bővítése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</si>
  <si>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</si>
  <si>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</si>
  <si>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felújítása - I. ütem</t>
  </si>
  <si>
    <t>Veszprémi Atlétikai Stadion megvalósítás - II. ütem</t>
  </si>
  <si>
    <t>MVP feladatok előkészítés költségei</t>
  </si>
  <si>
    <t>Beruházások közműdíjai</t>
  </si>
  <si>
    <t>Leégett párizsi Notre Dame Katedrális támogatása</t>
  </si>
  <si>
    <t>Csererdő csapadékvíz -tervezés</t>
  </si>
  <si>
    <t>6.vk. Gyalogátkelőhely tervezése (Ady E. u)</t>
  </si>
  <si>
    <t>Parkoló tervezése a Halle u.-i szám előtti területen</t>
  </si>
  <si>
    <t>Egry úti Óvoda újjáépítése miatt szükséges óvodai felújítások, konténer ovi telepítése</t>
  </si>
  <si>
    <t>Nagyfelületű út- és járdafelújítások</t>
  </si>
  <si>
    <t>Vízrendezési feladatok, árkok felújítása</t>
  </si>
  <si>
    <t>Kertvárosi utcák felújítása víziközmű rekonstrukció után</t>
  </si>
  <si>
    <t>Európa Kulturális Fővárosa II. ütem</t>
  </si>
  <si>
    <t>Működési kiadások</t>
  </si>
  <si>
    <t>Felhalmozási kiadások</t>
  </si>
  <si>
    <t>Önkormányzati érdekeket érintő településrendezése eszközök módosítása-2019</t>
  </si>
  <si>
    <t>Vörösmarty tér tömbbelső fejlesztés, I. ütem (csapadékvíz elvezetés kiépítése) + II. ütem</t>
  </si>
  <si>
    <t>Kulturális negyed tervezése II. ütem</t>
  </si>
  <si>
    <t>Egry utcai óvoda új villamos és gáz betáp vezeték tervezése és kiépítése, villamos kapacitásbővítés</t>
  </si>
  <si>
    <t>82-es út közlekedésbiztonsági fejlesztése</t>
  </si>
  <si>
    <t>Veszprém 0105/1 hrsz.alatti nem veszélyes hulladéklerakó részletes tényfeltárása</t>
  </si>
  <si>
    <t>Közvilágítás fejlesztése (Zrínyi Miklós utca és a Káposztáskert utca)</t>
  </si>
  <si>
    <t>Barátság park sport fejlesztések előkészítése, közmű ellátása</t>
  </si>
  <si>
    <t>CLLD - Városrészi közösségi és kulturális terek infrastrukturális felújítása, átépítése</t>
  </si>
  <si>
    <t>Járásszékhely múzeumok szakmai támogatása</t>
  </si>
  <si>
    <t>Káposztáskert utcai távközlési kábel áthelyezése és új kiépítése</t>
  </si>
  <si>
    <t>Magyar Kórusok találkozója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</si>
  <si>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</si>
  <si>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</si>
  <si>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</si>
  <si>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</si>
  <si>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Veszprém - Balaton 2023 Zrt. törzstőke emelés</t>
  </si>
  <si>
    <t>Veszprém - Balaton 2023 Zrt. tőketartalékba helyezés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</si>
  <si>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</si>
  <si>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</si>
  <si>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</si>
  <si>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 xml:space="preserve"> - Képviselői keret</t>
  </si>
  <si>
    <r>
      <t xml:space="preserve">Tárgyi eszközök beszerzése </t>
    </r>
    <r>
      <rPr>
        <i/>
        <sz val="10"/>
        <rFont val="Palatino Linotype"/>
        <family val="1"/>
      </rPr>
      <t>(mosógép, hűtőszekrény)</t>
    </r>
  </si>
  <si>
    <t>Gyulafirátóti Bölcsőde</t>
  </si>
  <si>
    <t>Védőnői Szolgálat</t>
  </si>
  <si>
    <r>
      <rPr>
        <b/>
        <sz val="10"/>
        <rFont val="Palatino Linotype"/>
        <family val="1"/>
      </rPr>
      <t xml:space="preserve">TOP – 6.9.2 -16-VP1-2018-00001 </t>
    </r>
    <r>
      <rPr>
        <sz val="10"/>
        <rFont val="Palatino Linotype"/>
        <family val="1"/>
      </rPr>
      <t>Közösségfejlesztés Veszprém város településrészein</t>
    </r>
  </si>
  <si>
    <r>
      <rPr>
        <b/>
        <sz val="10"/>
        <rFont val="Palatino Linotype"/>
        <family val="1"/>
      </rPr>
      <t xml:space="preserve">EFOP-4.1.9-16-2017-00014 </t>
    </r>
    <r>
      <rPr>
        <sz val="10"/>
        <rFont val="Palatino Linotype"/>
        <family val="1"/>
      </rPr>
      <t>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</si>
  <si>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</si>
  <si>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</si>
  <si>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</si>
  <si>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</si>
  <si>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</si>
  <si>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</si>
  <si>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</si>
  <si>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</si>
  <si>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</si>
  <si>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</si>
  <si>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</si>
  <si>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</si>
  <si>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</si>
  <si>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</si>
  <si>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</si>
  <si>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</si>
  <si>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Swing-Swing Kft. üzletrész vásárlás</t>
  </si>
  <si>
    <t>II. ütem összesen</t>
  </si>
  <si>
    <t>Kelet-nyugati gyűjtőút zajvédő létesítmény tervezése</t>
  </si>
  <si>
    <t>Tőke-törlesztés 2023</t>
  </si>
  <si>
    <t>Kamat 2023</t>
  </si>
  <si>
    <t xml:space="preserve"> 2020.06.01</t>
  </si>
  <si>
    <t>Adósságot Keletkeztető Ügyletek fejlesztési célok szerinti besorolása</t>
  </si>
  <si>
    <t>Közutak, hidak építése, felújítása</t>
  </si>
  <si>
    <t>TOP-6.9.2-16-VP1-2018-00001 Közösségfejlesztés Veszprém város településrészein</t>
  </si>
  <si>
    <t>2023. év</t>
  </si>
  <si>
    <t>Környezetvédelemhez és természeti katasztrófák elhárításához kapcsolódó beruházási célok (szennyvízelvezetés és szennyvíztisztítás, csapadékvíz-elvezetés, hulladékkezelés, árvíz/belvíz elleni védekezés stb.)</t>
  </si>
  <si>
    <t>Közoktatási célú beruházási célok (óvodák, iskolák, tornaterem, tanuszoda, egyéb köznevelési intézmények építése, felújítása stb.)</t>
  </si>
  <si>
    <t>Szociális, gyermekjóléti és gyermekvédelmi célok (bölcsődék, időskorúak ellátását, gyermekek és családok átmeneti gondozását szolgáló beruházások stb.)</t>
  </si>
  <si>
    <t>TOP-6.5.1-16-VPI-2018-00006 Módszertani Bölcsőde energetikai megújítása</t>
  </si>
  <si>
    <t>TOP-6.2.1-16-VP1-2018-00001 Módszertani Bölcsőde megújítása – eszközbeszerzés</t>
  </si>
  <si>
    <t>TOP-6.5.1 Aprófalvi Bölcsőde energetikai megújítása</t>
  </si>
  <si>
    <t>TOP-6.5.1 Völgyikút utca 2. szám alatti épület energetikai megújítása</t>
  </si>
  <si>
    <t>Egészségügyi szolgáltatások fejlesztése (egészségházak, orvosi, gyermekorvosi, fogorvosi szakrendelők felújítása, eszközbeszerzések stb.)</t>
  </si>
  <si>
    <t>TOP - Vilonyai u. 2/B sz. gyermekorvosi rendelők felújítása</t>
  </si>
  <si>
    <t>TOP - Ördögárok u. 5. sz. gyermekorvosi rendelők felújítása</t>
  </si>
  <si>
    <t>Egyéb feladatokhoz kapcsolódó célok (közutak építése, felújítása, közbiztonság növelése, egyéb önkormányzati tulajdonú létesítmények felújítása, fejlesztése, város és település-rehabilitáció stb.)</t>
  </si>
  <si>
    <t>Petőfi Sándor utca rekonstrukciója III. ütem</t>
  </si>
  <si>
    <t>Török I. u. - Aulich L. u. összekötés</t>
  </si>
  <si>
    <t>Közvilágítás bővítések (tervezés, kivitelezés) 2011. évi CLXXXIX törvény</t>
  </si>
  <si>
    <t xml:space="preserve">A  </t>
  </si>
  <si>
    <t>T</t>
  </si>
  <si>
    <t>2019. évi tény</t>
  </si>
  <si>
    <t>2018-2021</t>
  </si>
  <si>
    <t>2018-2019</t>
  </si>
  <si>
    <t>2019-2020</t>
  </si>
  <si>
    <t>2016-2021</t>
  </si>
  <si>
    <t>2017-2020</t>
  </si>
  <si>
    <t>2018-2020</t>
  </si>
  <si>
    <t>2016-2019</t>
  </si>
  <si>
    <t>2019-2021</t>
  </si>
  <si>
    <t>2019-2022</t>
  </si>
  <si>
    <t>Urbact Innova-tor *</t>
  </si>
  <si>
    <t>* Az Urbact Innova-tor támogatása a szerződésben €-ban van meghatározva, az átszámítás 316.39 Ft/EUR-val történt</t>
  </si>
  <si>
    <t>ebből: - Európa Kulturális Főváros II. ütem</t>
  </si>
  <si>
    <t>Projekthez kapcsolódó működési bevétel (ÁFA)</t>
  </si>
  <si>
    <t>új hitelszerződésen alapuló beruházási hitelfelvétele feladatonként</t>
  </si>
  <si>
    <t>Adósságot keletkeztető ügyletek összesen</t>
  </si>
  <si>
    <t>Újjáépítésre kerülő óvodák költöztetési munkák</t>
  </si>
  <si>
    <t>Veszprémi Stadion gázellátása és villamos kapacitásbővítése</t>
  </si>
  <si>
    <t>Sportterület közmű-, út infrastruktúra fejlesztés</t>
  </si>
  <si>
    <t>határozott idejű foglalkozatottak létszáma                 (2020. március 1 - 2021. december 31)</t>
  </si>
  <si>
    <t xml:space="preserve">          - Comitatus Társadalomkutató Egyesület - Comitatus Önkormányzati Szemle</t>
  </si>
  <si>
    <t>V-Busz Kft. szolgáltatás vásárlás</t>
  </si>
  <si>
    <t>**Az intézményeknél kimutatott adatokat is tartalmazza</t>
  </si>
  <si>
    <t>** Az intézményeknél kimutatott adatokat is tartalmazza</t>
  </si>
  <si>
    <t>1. melléklet az .../2021. (II....) önkormányzati rendelethez</t>
  </si>
  <si>
    <t>1.A. melléklet az .../2021. (II....) önkormányzati rendelethez</t>
  </si>
  <si>
    <t>2. melléklet az .../2021. (II....) önkormányzati rendelethez</t>
  </si>
  <si>
    <t>3. melléklet az .../2021. (II....) önkormányzati rendelethez</t>
  </si>
  <si>
    <t>3.A. melléklet az .../2021. (II....) önkormányzati rendelethez</t>
  </si>
  <si>
    <t>4. melléklet az .../2021. (II....) önkormányzati rendelethez</t>
  </si>
  <si>
    <t>5. melléklet az .../2021. (II....) önkormányzati rendelethez</t>
  </si>
  <si>
    <t>6. melléklet az .../2021. (II....) önkormányzati rendelethez</t>
  </si>
  <si>
    <t>6.A. melléklet az .../2021. (II....) önkormányzati rendelethez</t>
  </si>
  <si>
    <t>7. melléklet az .../2021. (II....) önkormányzati rendelethez</t>
  </si>
  <si>
    <t>8. melléklet az .../2021. (II....) önkormányzati rendelethez</t>
  </si>
  <si>
    <t>9. melléklet az .../2021. (II....) önkormányzati rendelethez</t>
  </si>
  <si>
    <t>10. melléklet az .../2021. (II....) önkormányzati rendelethez</t>
  </si>
  <si>
    <t>12. melléklet az .../2021. (II....) önkormányzati rendelethez</t>
  </si>
  <si>
    <t>13. melléklet az .../2021. (II....) önkormányzati rendelethez</t>
  </si>
  <si>
    <t>14. melléklet az .../2021. (II....) önkormányzati rendelethez</t>
  </si>
  <si>
    <t>15.A. melléklet az .../2021. (II....) önkormányzati rendelethez</t>
  </si>
  <si>
    <t>15.B. melléklet az .../2021. (II....) önkormányzati rendelethez</t>
  </si>
  <si>
    <t>16. melléklet az .../2021. (II....) önkormányzati rendelethez</t>
  </si>
  <si>
    <t>17. melléklet az .../2021. (II....) önkormányzati rendelethez</t>
  </si>
  <si>
    <t>2021. évi költségvetési bevételei</t>
  </si>
  <si>
    <t>2019. évi              tény</t>
  </si>
  <si>
    <t>2020. évi eredeti előirányzat</t>
  </si>
  <si>
    <t>2020. évi várható</t>
  </si>
  <si>
    <t>2021. évi előirányzat</t>
  </si>
  <si>
    <t>2021. évi költségvetési kiadásai</t>
  </si>
  <si>
    <t>ERASMUS+ Program</t>
  </si>
  <si>
    <t>2021. évi saját bevételei</t>
  </si>
  <si>
    <t>2019. évi           tény</t>
  </si>
  <si>
    <t>2021. évi  előirányzat</t>
  </si>
  <si>
    <t>2021. évi felhalmozási költségvetési kiadások előirányzata</t>
  </si>
  <si>
    <t>2021. évi bevételi előirányzat</t>
  </si>
  <si>
    <t>2021. évi kiadási előirányzat</t>
  </si>
  <si>
    <t>Koronavírus elleni védekezés költségeire</t>
  </si>
  <si>
    <t>Népszámlálás 2021.</t>
  </si>
  <si>
    <t>KÖLTSÉGVETÉSI BEVÉTELEI ÉS KIADÁSAI 2021. ÉVBEN</t>
  </si>
  <si>
    <t>2021. évi   előirányzat</t>
  </si>
  <si>
    <t>2021. évi    előirányzat</t>
  </si>
  <si>
    <t>a 2021. évi engedélyezett létszámról</t>
  </si>
  <si>
    <t>2021. évi engedélyezett létszám</t>
  </si>
  <si>
    <t>2021. január 1-től 1fő</t>
  </si>
  <si>
    <t>2024. év</t>
  </si>
  <si>
    <t>a 2021. évi közvetett támogatásokról</t>
  </si>
  <si>
    <r>
      <t xml:space="preserve">Informatikai eszközök beszerzése </t>
    </r>
    <r>
      <rPr>
        <i/>
        <sz val="10"/>
        <rFont val="Palatino Linotype"/>
        <family val="1"/>
      </rPr>
      <t>(laptop)</t>
    </r>
  </si>
  <si>
    <t>Klímaberendezés</t>
  </si>
  <si>
    <t>Ülő bútozat (aulába)</t>
  </si>
  <si>
    <t>Csoportszoba bútorzat</t>
  </si>
  <si>
    <t>Rönkbútor</t>
  </si>
  <si>
    <t>Okos tv hozdozható szekrénnyel</t>
  </si>
  <si>
    <r>
      <t xml:space="preserve">Tárgyi eszközök beszerzése </t>
    </r>
    <r>
      <rPr>
        <i/>
        <sz val="10"/>
        <rFont val="Palatino Linotype"/>
        <family val="1"/>
      </rPr>
      <t>(öltözőszekrények, párakapu)</t>
    </r>
  </si>
  <si>
    <t>Fészekhinta állvánnyal</t>
  </si>
  <si>
    <t>Udvati játékok (egyensúlyozó gerenda, kézi malpmkő)</t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</si>
  <si>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redőny, roló, szúnyogháló, konyhai kisgépek, saválló asztal, karnis, irodai szék, magasnyomású mosó, ágyazószekrény)</t>
    </r>
  </si>
  <si>
    <t>Mosógép</t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</si>
  <si>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bútorzat)</t>
    </r>
  </si>
  <si>
    <t>Informatikai eszközök beszerzése (laptop)</t>
  </si>
  <si>
    <t>Tárgyi eszközök beszerzése</t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</si>
  <si>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nyomtató)</t>
    </r>
  </si>
  <si>
    <t>Fénymásológép</t>
  </si>
  <si>
    <t>Konyhai eszközök, gépek</t>
  </si>
  <si>
    <r>
      <t xml:space="preserve">Tárgyi eszközök beszerzése </t>
    </r>
    <r>
      <rPr>
        <i/>
        <sz val="10"/>
        <rFont val="Palatino Linotype"/>
        <family val="1"/>
      </rPr>
      <t>(ruhaállávnyok, szőnyegek, konyhai eszközök, informatikai eszközök, csúszdatest, telefon, porszívó, székek, ipari botmixer)</t>
    </r>
  </si>
  <si>
    <t>Csoportszoba bútor</t>
  </si>
  <si>
    <r>
      <t xml:space="preserve">Tárgyi eszközök beszerzése </t>
    </r>
    <r>
      <rPr>
        <i/>
        <sz val="10"/>
        <rFont val="Palatino Linotype"/>
        <family val="1"/>
      </rPr>
      <t>(homokozó ponyva, mobil fogadó egység, gőztisztító gép, szappanadagoló, tároló kosarak, hosszabítók, ruhafogas)</t>
    </r>
  </si>
  <si>
    <t>Száratós mosógép</t>
  </si>
  <si>
    <t xml:space="preserve">Tárgyi eszközök beszerzése </t>
  </si>
  <si>
    <t>Mozgásfejlesztő udvari játék (mászóvár)</t>
  </si>
  <si>
    <t>Öltözöszekrények</t>
  </si>
  <si>
    <r>
      <t>Tárgyi eszközök beszerzésére</t>
    </r>
    <r>
      <rPr>
        <i/>
        <sz val="10"/>
        <rFont val="Palatino Linotype"/>
        <family val="1"/>
      </rPr>
      <t xml:space="preserve"> (hangszóró, könyvállvány, hangszerkészlet, udvari faasztalok-székek, sőrpad garnítura, bluetooth hangszórók)</t>
    </r>
  </si>
  <si>
    <t>Elektromos főzőlap</t>
  </si>
  <si>
    <t>Kombinálható akadálypálya</t>
  </si>
  <si>
    <t>Légkonícionálók</t>
  </si>
  <si>
    <t>Tabletek</t>
  </si>
  <si>
    <t>Okostábla és tartóállvány</t>
  </si>
  <si>
    <r>
      <t>Tárgyi eszközök beszerzésére</t>
    </r>
    <r>
      <rPr>
        <i/>
        <sz val="10"/>
        <rFont val="Palatino Linotype"/>
        <family val="1"/>
      </rPr>
      <t xml:space="preserve"> (ventilátorok, vasaló, napvitorlák, függönyök, udvari fapadok, hangszerkészlet, sőrpad garnítura, bluetooth hangszórók)</t>
    </r>
  </si>
  <si>
    <t>Öltözőszekrények</t>
  </si>
  <si>
    <t>Udvari fajátékok</t>
  </si>
  <si>
    <r>
      <t>Tárgyi eszközök beszerzése</t>
    </r>
    <r>
      <rPr>
        <i/>
        <sz val="10"/>
        <rFont val="Palatino Linotype"/>
        <family val="1"/>
      </rPr>
      <t xml:space="preserve"> (napvitorlák)</t>
    </r>
  </si>
  <si>
    <r>
      <t xml:space="preserve">Tárgyi eszközök beszerzése </t>
    </r>
    <r>
      <rPr>
        <i/>
        <sz val="10"/>
        <rFont val="Palatino Linotype"/>
        <family val="1"/>
      </rPr>
      <t>(hűtőszekrény, mosógép)</t>
    </r>
  </si>
  <si>
    <r>
      <t xml:space="preserve">Tárgyi eszközök beszerzése </t>
    </r>
    <r>
      <rPr>
        <i/>
        <sz val="10"/>
        <rFont val="Palatino Linotype"/>
        <family val="1"/>
      </rPr>
      <t>(mosógép, szárítógép)</t>
    </r>
  </si>
  <si>
    <r>
      <t xml:space="preserve">Tárgyi eszközök beszerzése </t>
    </r>
    <r>
      <rPr>
        <i/>
        <sz val="10"/>
        <rFont val="Palatino Linotype"/>
        <family val="1"/>
      </rPr>
      <t>(mosógép, laptop, szekrények, asztalok, székek, nyyomtató)</t>
    </r>
  </si>
  <si>
    <r>
      <t xml:space="preserve">Tárgyi eszközök beszerzése </t>
    </r>
    <r>
      <rPr>
        <i/>
        <sz val="10"/>
        <rFont val="Palatino Linotype"/>
        <family val="1"/>
      </rPr>
      <t>(kartotékszekrény, forgószékek, kerékpártároló)</t>
    </r>
  </si>
  <si>
    <r>
      <t xml:space="preserve">Informatikai eszközök beszerzése </t>
    </r>
    <r>
      <rPr>
        <i/>
        <sz val="10"/>
        <rFont val="Palatino Linotype"/>
        <family val="1"/>
      </rPr>
      <t>(számítógépek, nyomtatók)</t>
    </r>
  </si>
  <si>
    <r>
      <t xml:space="preserve">Tárgyi eszközök beszerzése </t>
    </r>
    <r>
      <rPr>
        <i/>
        <sz val="10"/>
        <rFont val="Palatino Linotype"/>
        <family val="1"/>
      </rPr>
      <t>(telefonok)</t>
    </r>
  </si>
  <si>
    <r>
      <t xml:space="preserve">Tárgyi eszközök beszerzése </t>
    </r>
    <r>
      <rPr>
        <b/>
        <sz val="10"/>
        <rFont val="Palatino Linotype"/>
        <family val="1"/>
      </rPr>
      <t xml:space="preserve">Mikszáth K.u.13. </t>
    </r>
    <r>
      <rPr>
        <i/>
        <sz val="10"/>
        <rFont val="Palatino Linotype"/>
        <family val="1"/>
      </rPr>
      <t>(digitális lázmérő, fertőtlenítő állomás, kártyaolvasó, bútor, szőnyeg, függöny, mobiltelefon, mikró, kávéfőző, vízmelegítő, tűzhely,ventilátor/hősugárzó, külső winchester, router, iratmegsemmisítő, porszívó,  játék/társasjáték)</t>
    </r>
  </si>
  <si>
    <r>
      <t xml:space="preserve">Tárgyi eszközök beszerzése </t>
    </r>
    <r>
      <rPr>
        <b/>
        <sz val="10"/>
        <rFont val="Palatino Linotype"/>
        <family val="1"/>
      </rPr>
      <t>Pápai út 37. - CSÁO</t>
    </r>
    <r>
      <rPr>
        <sz val="10"/>
        <rFont val="Palatino Linotype"/>
        <family val="1"/>
      </rPr>
      <t xml:space="preserve"> </t>
    </r>
    <r>
      <rPr>
        <i/>
        <sz val="10"/>
        <rFont val="Palatino Linotype"/>
        <family val="1"/>
      </rPr>
      <t>(digitális lázmérő, légzésfigyelő, elektromos streizáló (cumisüveg), fertőtlenítő állomás, bébiőr,  hűtő/fagyasztó, boyler,  bútor, szőnyeg, függöny, mobiltelefon, mikró, kávéfőző, vízmelegítő, ventilátor/hősugárzó, külső winchester, router, iratmegsemmisítő, porszívó, mérleg,  szárítógép)</t>
    </r>
  </si>
  <si>
    <r>
      <t xml:space="preserve">Tárgyi eszközök beszerzése </t>
    </r>
    <r>
      <rPr>
        <b/>
        <sz val="10"/>
        <rFont val="Palatino Linotype"/>
        <family val="1"/>
      </rPr>
      <t>Rózsa u. 48</t>
    </r>
    <r>
      <rPr>
        <sz val="10"/>
        <rFont val="Palatino Linotype"/>
        <family val="1"/>
      </rPr>
      <t xml:space="preserve">  </t>
    </r>
    <r>
      <rPr>
        <i/>
        <sz val="10"/>
        <rFont val="Palatino Linotype"/>
        <family val="1"/>
      </rPr>
      <t>(fertőtlenítő állomás, digitális lázmérő, bútor, szőnyeg, függöny, mobiltelefon, mikró, kávéfőző, vízmelegítő, ventilátor /hősugárzó, külső winchester, router, iratmegsemmisítő, porszívó, játék/társasjáték)</t>
    </r>
  </si>
  <si>
    <r>
      <t xml:space="preserve">Informatikai eszközök beszerzése </t>
    </r>
    <r>
      <rPr>
        <i/>
        <sz val="10"/>
        <rFont val="Palatino Linotype"/>
        <family val="1"/>
      </rPr>
      <t>(laptopok szoftverrel, nyomtató, telefon)</t>
    </r>
  </si>
  <si>
    <r>
      <t xml:space="preserve">Informatikai eszközök beszerzése </t>
    </r>
    <r>
      <rPr>
        <i/>
        <sz val="10"/>
        <rFont val="Palatino Linotype"/>
        <family val="1"/>
      </rPr>
      <t>(számítogépek, szoftver)</t>
    </r>
  </si>
  <si>
    <r>
      <t xml:space="preserve">Gyűjteménygyarapítás </t>
    </r>
    <r>
      <rPr>
        <i/>
        <sz val="10"/>
        <rFont val="Palatino Linotype"/>
        <family val="1"/>
      </rPr>
      <t>(pályázasthoz kapcsolódó)</t>
    </r>
  </si>
  <si>
    <t>Könyvtári könyvek, egyéb doc. (CD, DVD stb.) jogszabályi előírás szerint</t>
  </si>
  <si>
    <r>
      <t xml:space="preserve">Informatikai eszközök beszerzése </t>
    </r>
    <r>
      <rPr>
        <i/>
        <sz val="10"/>
        <rFont val="Palatino Linotype"/>
        <family val="1"/>
      </rPr>
      <t>(számítogépek)</t>
    </r>
  </si>
  <si>
    <t>Dózsavárosi könyvtár székek beszerzés</t>
  </si>
  <si>
    <r>
      <t xml:space="preserve">Tárgyi eszközök beszerzésére </t>
    </r>
    <r>
      <rPr>
        <i/>
        <sz val="10"/>
        <rFont val="Palatino Linotype"/>
        <family val="1"/>
      </rPr>
      <t>(pályázatokhoz kapcsolódó)</t>
    </r>
  </si>
  <si>
    <t>Informatikai eszközök beszerzése</t>
  </si>
  <si>
    <t xml:space="preserve">Vírusirtó program </t>
  </si>
  <si>
    <t>Monari gyűjtemény nyilvántartó program bővítése</t>
  </si>
  <si>
    <t xml:space="preserve">Régészeti nyilvántartó program </t>
  </si>
  <si>
    <r>
      <t xml:space="preserve">Tárgyi eszközök beszerzése </t>
    </r>
    <r>
      <rPr>
        <i/>
        <sz val="10"/>
        <rFont val="Palatino Linotype"/>
        <family val="1"/>
      </rPr>
      <t>(irodai székek, címkéző)</t>
    </r>
  </si>
  <si>
    <t>Beépített szekrények, polcok</t>
  </si>
  <si>
    <t>Nagyteljesítményű nyomtatók beszerzése</t>
  </si>
  <si>
    <t>Tűzjelző rendszer tervezése</t>
  </si>
  <si>
    <t>Szünetmentee áramforrás I.ütem</t>
  </si>
  <si>
    <t>Bútorok beszerzése</t>
  </si>
  <si>
    <t>Kisértékű tárgyi eszközök beszerzése</t>
  </si>
  <si>
    <t>Koronavírus elleni védekezéshez kapcsolódó beszerzések</t>
  </si>
  <si>
    <t>Informatika</t>
  </si>
  <si>
    <t>Európai Uniós forrásból finanszírozott támogatással megvalósuló programok, projektek 2021. évi költségvetési kiadásainak előirányzata</t>
  </si>
  <si>
    <t>2021. év utáni javaslat</t>
  </si>
  <si>
    <t>Teljesítés                      2019.          12.31.-ig*</t>
  </si>
  <si>
    <t>2020. évi              várható*</t>
  </si>
  <si>
    <t>TOP-6.4.1-16-VP1-17-00001 Szabadságpuszta településrész és Felsőörs Község közötti kerékpárút beruházása</t>
  </si>
  <si>
    <t>TOP-6.3.4.1-16 Kerékpárút és kerékpárforgalmi létesítmények építése Veszprém-Gyulafirátót</t>
  </si>
  <si>
    <t>TOP-7.1.1-16-VP1-2020-00002 Kulturális negyed</t>
  </si>
  <si>
    <t>TOP-6.5.1-16-VP1-2017-00001 Veszprém városára vonatkozó Fenntartható Energia és Klíma Akcióterv (SECAP) elkészítése című projekt fenntartási jelentése</t>
  </si>
  <si>
    <t>Modern Városok Program és más hazai finanszírozásból megvalósuló feladatok 2021. évi költségvetési kiadásainak előirányzata</t>
  </si>
  <si>
    <t>Teljesítés                      2019.          12.31.-ig**</t>
  </si>
  <si>
    <t>Illegális hulladéklerakó felszámolása</t>
  </si>
  <si>
    <t>EMMI és Belügyminisztérium "Idősbarát Önkormányzati Díj"</t>
  </si>
  <si>
    <t>Nagyfelületű útfelújítás pályázat önerő</t>
  </si>
  <si>
    <t>Állatvédelmi Kompetencia Központ beruházás - törzstőke emelés</t>
  </si>
  <si>
    <t>Európa Kulturális Főváros 2021. évi költségvetési kiadásainak előirányzata</t>
  </si>
  <si>
    <t>Vár u. 10. volt piarista gimnázium</t>
  </si>
  <si>
    <t>Jókai utca 8.</t>
  </si>
  <si>
    <t>Acticity - Hóvirág u. 1.</t>
  </si>
  <si>
    <t>Vasútállomás és környezetének fejlesztése</t>
  </si>
  <si>
    <t>Európa Kulturális Fővárosa III. ütem</t>
  </si>
  <si>
    <t>Játszóeszközök felújítása</t>
  </si>
  <si>
    <t>III. ütem összesen</t>
  </si>
  <si>
    <t>Európa Kulturális Fővárosa IV. ütem</t>
  </si>
  <si>
    <t>Ingatlanvásárlás (volt bútorgyár) Veszprém belterület 4061 hrsz és 4038/1 hrsz ingatlanok</t>
  </si>
  <si>
    <t>Ingatalnvásárlás (SZMT) Veszprém, belterület 4073/3 hrsz és 4073/3/A ingatlanok</t>
  </si>
  <si>
    <t>IV. ütem összesen</t>
  </si>
  <si>
    <t>V. ütem összesen</t>
  </si>
  <si>
    <t>Európa Kulturális Főváros 2023 beruházások előkészítése (önerő)</t>
  </si>
  <si>
    <t>2020. évi tény</t>
  </si>
  <si>
    <t>2021.</t>
  </si>
  <si>
    <t>2022-től</t>
  </si>
  <si>
    <t>TOP-6.2.1-16-VP1-2020-00003 A Veszprémi Bölcsődei és Egészségügyi Alapellátási Integrált Intézmény Módszertani Bölcsődéje megújítása, illetve bölcsődei eszközbeszerzések</t>
  </si>
  <si>
    <t>2020-2021</t>
  </si>
  <si>
    <t>TOP-6.4.1-16-VP1-2019-00003 Kerékpárút és kerékpárforgalmi létesítmények építése Veszprém - Gyulafirátót szakaszon</t>
  </si>
  <si>
    <t>TOP-6.3.2-16-VP1-2020-00002 Kulturális negyed</t>
  </si>
  <si>
    <t>2021-2022</t>
  </si>
  <si>
    <t>2020-2022</t>
  </si>
  <si>
    <t>2020-202</t>
  </si>
  <si>
    <t>*** A projekt a támogatási szerződés szerint nettó módon finanszírozott.</t>
  </si>
  <si>
    <t>GINOP - 7.1.9-17-2018-00023 Veszprém kulturális turisztikai kínálatának fejlesztése***</t>
  </si>
  <si>
    <t>2021. évi beruházási és egyéb felhalmozási célú kiadások előirányzata</t>
  </si>
  <si>
    <t>GFT beruházás: FI-2014-604
Veszprém 1. számú (Zrínyi utca) nyomásfokozó, Nemesvámosi nyomásfokozó: HARIBO termelési üzem fejlesztése III. ütemhez kapcsolódóan a nyomásfokozó kapacitásbővítése (1 db átemelő szivattyú)</t>
  </si>
  <si>
    <t>GFT beruházás: FI-2014-16
Veszprém ivóvíz-hálózat, Szabályozott fertőtlenítő rendszer fejlesztése</t>
  </si>
  <si>
    <t>GFT beruházás: FI-2014-1461
Veszprém Sédvölgyi vízbázis, Belső védőterület bővítés</t>
  </si>
  <si>
    <t>GFT beruházás: FI-2014-1291
Veszprém Szennyvíztisztító Telep, Rácsgépház: csigaszivattyúk elé kőfogó telepítése (1 db)</t>
  </si>
  <si>
    <t>1. számú Török Ignác utcai Idősek Otthona - lift építés</t>
  </si>
  <si>
    <t>Városgazdálkodás (hulladékgyűjtők, kutyaürülék gyűjtők, síkosságmentesítő ládák elhelyezése)</t>
  </si>
  <si>
    <t>Jégpálya bekötőút HM Verga Zrt területén</t>
  </si>
  <si>
    <t>Ingatlanrendezési ügyek (kisajátítások, más célú haszn.,humuszvédelmi terv, erdővédelmi járulék)</t>
  </si>
  <si>
    <t>Stadion dobópálya világítása, felújítás</t>
  </si>
  <si>
    <t>VESZOL - Veszprém, Pápai u. 37. sz. munkásszálló működetési feladatai - tönkrement bútorok pótlása</t>
  </si>
  <si>
    <t>8-as főút felújításának terelőút építéséhez kapcsolódó ingatlanrendezés</t>
  </si>
  <si>
    <t>MLSZ ovifoci program önrész és területelőkészítés</t>
  </si>
  <si>
    <t>Kiskúti Csárda építéstörténeti dokumentációja</t>
  </si>
  <si>
    <t>Március 15. u. 4/B. orvosi rendelő - bejárat mellett nyitható ablak</t>
  </si>
  <si>
    <t>V-Busz Kft. (használt autóbusz vásárlás)</t>
  </si>
  <si>
    <t>Teljesítés                      2019.          12.31.-ig</t>
  </si>
  <si>
    <t>2020. évi              várható</t>
  </si>
  <si>
    <t>2021. évi felújítási kiadások előirányzata</t>
  </si>
  <si>
    <t>Önkormányzati feladatok és egyéb kötelezettségek 2021. évi működési költségvetési kiadásai</t>
  </si>
  <si>
    <t>Jégcsarnok üzemidő- és szolgáltatás vásárlás</t>
  </si>
  <si>
    <t>Repülőtér üzemeltetése, szolgáltatás vásárlás</t>
  </si>
  <si>
    <t xml:space="preserve">          - Vészhelyzeti támogatás (krízis segély)</t>
  </si>
  <si>
    <t>Ebrendészeti feladatok</t>
  </si>
  <si>
    <t>Közterület Felügyelet</t>
  </si>
  <si>
    <t>TOP és MVP beruházásokhoz kapcsolódó energetikai tanusítvány</t>
  </si>
  <si>
    <t>UNESCO Zene városa</t>
  </si>
  <si>
    <t>Európa Ifjúsági Fővárosa 2024 pályázat benyújtása</t>
  </si>
  <si>
    <t>Szociális bérlakás felújítások (vasútállomás rehabilitáció érdekében)</t>
  </si>
  <si>
    <t>Európa Kulturális Fővárosa V. ütem</t>
  </si>
  <si>
    <t>Európa Kulturális Fővárosa VI. ütem</t>
  </si>
  <si>
    <t>VI. ütem összesen</t>
  </si>
  <si>
    <t>Ingatlanvásárlás (Ady Endre u. 5. volt szikvízparkoló) 4726/2 hrsz-ú ingatlan</t>
  </si>
  <si>
    <t>Ingatlanvásárlás (Cserhát ltp. 8.  volt húsáruház)23 hrsz-ú ingatlan</t>
  </si>
  <si>
    <t>Koronavírus védekezés költségeire és gazdasági hatásának enyhítésére</t>
  </si>
  <si>
    <t>Cipőmúzeum</t>
  </si>
  <si>
    <t>Polgármesteri Hivatal</t>
  </si>
  <si>
    <t>Integrált irányítási rendszer fenntartása (ISO, GDPR)</t>
  </si>
  <si>
    <t xml:space="preserve"> - Intézményi felmentési idő, jub.jut., végkielégítés és működési kiadások</t>
  </si>
  <si>
    <t xml:space="preserve">Európa Kulturális Fővárosa III. ütem </t>
  </si>
  <si>
    <t>Európa Kulturális Fővárosa I. ütem</t>
  </si>
  <si>
    <r>
      <t xml:space="preserve">Tárgyi eszközök beszerzése </t>
    </r>
    <r>
      <rPr>
        <i/>
        <sz val="10"/>
        <rFont val="Palatino Linotype"/>
        <family val="1"/>
      </rPr>
      <t>(irodai szék, szőnyeg, párakapu, hangszerkészlet</t>
    </r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</si>
  <si>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</si>
  <si>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</si>
  <si>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</si>
  <si>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 xml:space="preserve">A települési önkormányzatok általános működésének, ágazati feladatainak </t>
  </si>
  <si>
    <t>és egyéb kiegészítő támogatáinak alakulása 2020. és 2021. évben</t>
  </si>
  <si>
    <t>2021/2020.</t>
  </si>
  <si>
    <t>1. A települési önkormányzatok működésének általános támogatása</t>
  </si>
  <si>
    <t>Önkormányzati hivatalok működésének támogatása</t>
  </si>
  <si>
    <t>Egyéb önkormányzati feladatok támogatása</t>
  </si>
  <si>
    <t>Lakott külterülettel kapcsolatos feladatok támogatása</t>
  </si>
  <si>
    <t>2. A települési önkormányzatok egyes köznevelési feladatainak támogatása</t>
  </si>
  <si>
    <t>Az óvodában foglalkoztatott pedagógusok átlagbéralapú támogatása</t>
  </si>
  <si>
    <t>Kiegészítő támogatás a pedagógusok és a pedagógus szakképzettséggel rendelkező segítők minősítéséből adódó többletkiadásokhoz</t>
  </si>
  <si>
    <t>Az óvodában foglalkozatott pedagógusok nevelőmunkáját közvetlenül segítők átlagbér-alapú támogatása</t>
  </si>
  <si>
    <t>3. A települési önkormányzatok egyes szociális és gyermekjóléti  feladatainak támogatása</t>
  </si>
  <si>
    <t>Bölcsőde, mini bölcsőde támogatása (kedvezményes étk. támog. nélkül)</t>
  </si>
  <si>
    <t>Családok átmeneti otthonában biztosított ellátásának támogatása</t>
  </si>
  <si>
    <t>4. A települési önkormányzatok gyermekétkeztetési feladatainak támogatása</t>
  </si>
  <si>
    <t>Intézményi gyermekétkeztetés támogatása</t>
  </si>
  <si>
    <t>5. A települési önkormányzatok kulturális feladatainak támogatása</t>
  </si>
  <si>
    <t>2020. dec. 31-ig 1,5 fő határozott időtartamra volt foglalkoztatva és  0,5 fő nem szükséges.</t>
  </si>
  <si>
    <t>Alkohol Drogrsegély Ambulancia</t>
  </si>
  <si>
    <t>Hitel-állomány 2020.12.31</t>
  </si>
  <si>
    <t>Hitelfelvétel 2021</t>
  </si>
  <si>
    <t>Hitel-állomány  2021.12.31</t>
  </si>
  <si>
    <t>Tőke-törlesztés 2024</t>
  </si>
  <si>
    <t>Tőke-törlesztés 2025-tól</t>
  </si>
  <si>
    <t>Kamat 2024</t>
  </si>
  <si>
    <t>Felhalmozási hitel - Célhitel 2017</t>
  </si>
  <si>
    <t>Felhalmozási hitel - Célhitel 2019</t>
  </si>
  <si>
    <t>Felhalmozási célhitel 2021</t>
  </si>
  <si>
    <t>2031.</t>
  </si>
  <si>
    <t>Hitelmaradvány</t>
  </si>
  <si>
    <t>I. számú Török Ignác utcai idősek otthona lift építés</t>
  </si>
  <si>
    <t>* Magyarország gazdasági stabilitásáról szóló 2011. évi CXCIV. törvény szerint Kormányengedélyhez kötött, adósságot keletkeztető ügylet jóváhagyása megtörtént az önkormányzatok adósságot keletkeztető, valamint kezesség-, illetve garanciavállalásra vonatkozó ügyleteihez történő 2019. áprilisi előzetes kormányzati hozzájárulásról szóló 1356/2019. (VI.14.) Korm. határozatában.</t>
  </si>
  <si>
    <t>Veszprém Megyei Jogú Város Önkormányzatának 2021. évi</t>
  </si>
  <si>
    <t>Hitel összege 2021. év</t>
  </si>
  <si>
    <t>Környezetvédelemhez és természeti katasztrófák elhárításához kapcsolódó beruházási célok</t>
  </si>
  <si>
    <t>Kulturális és sportcélú infrastruktúra kialakítása</t>
  </si>
  <si>
    <t>Nagyfelületű útfelújítások pályázati önerő</t>
  </si>
  <si>
    <t>Egyéb rendezési tervekhez kapcsolódó infrastrukturális beruházások</t>
  </si>
  <si>
    <t>Szociális bérlakásfelújítások (vasútállomás rehabilitáció érdekében)</t>
  </si>
  <si>
    <t>Város- és település-rehabilitáció</t>
  </si>
  <si>
    <t>V2</t>
  </si>
  <si>
    <t>alapítványoknak, egyesületeknek, civil szervezeteknek, társadalmi szervezeteknek nyújtott támogatásokról 2021. évben</t>
  </si>
  <si>
    <t>Hitelfelvétel 2019. (előző évek hitel-szerződésén alapuló)</t>
  </si>
  <si>
    <t>Bank</t>
  </si>
  <si>
    <t>Veszprém Megyei Jogú Város Önkormányzat 2019. évben megkötött hitelszerződésének le nem hívott rész beruházási hitelkerete feladatonként *</t>
  </si>
  <si>
    <t>ÖNKORMÁNYZATI KIADÁSOK ÖSSZESEN:</t>
  </si>
  <si>
    <t>Víziközmű szolgáltatónál, Bakonykarszt Zrt. - tőketartalékba helyezés</t>
  </si>
  <si>
    <t>Víziközmű szolgáltatónál, Bakonykarszt Zrt. - törzstőke emelés</t>
  </si>
  <si>
    <t xml:space="preserve">Rekultivációt megelőző telephely fenntartási költség </t>
  </si>
  <si>
    <t>Kittenberger Kálmán Növény és Vadaspark Szolgáltató Közhasznú Nonprofit Kft. működéséhez hozzájárulás</t>
  </si>
  <si>
    <t>Városi TV közszolgálati  műsorok támogatása</t>
  </si>
  <si>
    <t xml:space="preserve">Swing-Swing Kft. törzstőke emelés, tőketartalékba helyezés (Hangvilla üzletrész vásárlás) </t>
  </si>
  <si>
    <t>Swing-Swing Kft. nem önkormányzati tulajdonban lévő üzletrészeinek megvásárlása</t>
  </si>
  <si>
    <t>Swing-Swing Kft. (Hangvilla) szolgáltatás vásárlás</t>
  </si>
  <si>
    <t xml:space="preserve">V-Busz Kft. szolgáltatás vásárlás </t>
  </si>
  <si>
    <t xml:space="preserve">       Parkfenntartás</t>
  </si>
  <si>
    <t xml:space="preserve">       Köztisztasági feladatok</t>
  </si>
  <si>
    <t xml:space="preserve">       Egyéb városüzemeltetési feladatok</t>
  </si>
  <si>
    <t xml:space="preserve">      Temetők üzemeltetésével kapcsolatos feladatok</t>
  </si>
  <si>
    <t>VKSZ Zrt. által ellátott intézményüzemeltetési feladatok:</t>
  </si>
  <si>
    <t xml:space="preserve">       Intézményi karbantartási költségek</t>
  </si>
  <si>
    <t xml:space="preserve">       Intézményi működtetők költsége</t>
  </si>
  <si>
    <t xml:space="preserve">       Intézményi közüzemi költségek</t>
  </si>
  <si>
    <t>Villamos energia beszerzésre irányuló pénzügyi kötelezettségvállalás (Intézmények)</t>
  </si>
  <si>
    <t>Villamos energia beszerzésre irányuló pénzügyi kötelezettségvállalás (Közvilágítás célú)</t>
  </si>
  <si>
    <t>Földgáz energia beszerzésre irányuló pénzügyi kötelezettségvállalás</t>
  </si>
  <si>
    <t>Veszprém város önkormányzati bel- és külterületi közútjainak, járdáinak és úthoz tartozó műtárgyainak fenntartásával és karbantartásával kapcsolatos pénzügyi kötelezettségvállalás</t>
  </si>
  <si>
    <t>Veszprém Stromfeld A. u. 9/E. szám alatti ingatlanrész rendőrségi körzeti megbízotti iroda működtetése céljára</t>
  </si>
  <si>
    <t>Sport marketing tárgyú több éves szolgáltatásvásárlási szerződés megkötése érdekében pénzügyi kötelezettségvállalás</t>
  </si>
  <si>
    <t>Veszprémi Egyetemi és Diák Atlétikai Clubbal megkötött együttműködési megállapodás</t>
  </si>
  <si>
    <t>Veszprém Kosárlabda Korlátolt Felelősségű Társasággal megkötött együttműködési megállapodás (Veszprémi Egyetemi SC kosárlabda szakosztály)</t>
  </si>
  <si>
    <t>Veszprémi Foci Centrum Utánpótlás Sportegyesülettel együttműködési megállapodás megkötése</t>
  </si>
  <si>
    <t>Az 1. Futsal Club Veszprémmel megkötött együttműködési megállapodás</t>
  </si>
  <si>
    <t>Veszprémi Labdarúgó és Sportszervező Korlátolt Felelősségű Társasággal megkötött együttműködési megállapodás</t>
  </si>
  <si>
    <t>Jutasi úti műfüves sportpálya fenntartási és működési költségeihez történő hozzájárulás</t>
  </si>
  <si>
    <t>Signator Audit Könyvvizsgáló Kft-vel kötött megbízási szerződés könyvvizsgálói feladatok ellátására</t>
  </si>
  <si>
    <t>VMJV Önkormányzatánál, költségvetési szerveinél, valamint a Veszprémi Kistérség Többcélú Társulása Egyesített Szociális Intézménynél foglalkozás-egészségügyi szolgáltatás ellátásával kapcsolatos pénzügyi kötelezettségvállalás</t>
  </si>
  <si>
    <t>Cuha Völgye Egyesületi tagdíj (5 Ft/lakos)</t>
  </si>
  <si>
    <t>ÖKOpolisz Klaszter tagdíj</t>
  </si>
  <si>
    <t>A Települési Önkormányzatok Országos Szövetségéhez történő csatlakozásról</t>
  </si>
  <si>
    <t>A Klímabarát Települések Szövetségéhez történő csatlakozásról</t>
  </si>
  <si>
    <t>Balatoni Szövetség</t>
  </si>
  <si>
    <t>Megyei Jogú Városok Szövetsége tagdíj</t>
  </si>
  <si>
    <t>Európai Városok Szövetsége tagdíj</t>
  </si>
  <si>
    <t>Szenvedélybetegek ellátásának működési kiadásaihoz támogatás (Alkohol-Drogsegély Ambulancia - ellátási szerződés)</t>
  </si>
  <si>
    <t>Máltai Szeretetszolgálat (ellátási szerződés)</t>
  </si>
  <si>
    <t>Bérlakások üzemeltetési költségei: „VESZOL” Veszprémi Közösségi Lakásügynökség Nonprofit Kft.-vel megkötött szolgáltatásvásárlási szerződés</t>
  </si>
  <si>
    <t>Polgármesteri Hivatal használatában lévő nyomatkészítő eszközök bérletét és üzemeltetését érintő, 2021-2022. évi előzetes pénzügyi kötelezettségvállalás</t>
  </si>
  <si>
    <t>Megállapodás megkötése üzemidő hasznosítás tárgyában  a Veszprémi Programiroda Rendezvényszervező és Kulturális Szolgáltató Kft.-vel</t>
  </si>
  <si>
    <t>Kertek és Kolostorok működtetése</t>
  </si>
  <si>
    <t>Városi kiemelt fesztiválok körének meghatározása</t>
  </si>
  <si>
    <t>Az Önkormányzat vagyonbiztosításával kapcsolatos pénzügyi kötelezettségvállalás</t>
  </si>
  <si>
    <t>Veszprém Megyei Jogú Város Polgármesteri Hivatal „Takarítási feladatainak ellátásával” kapcsolatos pénzügyi kötelezettségvállalás</t>
  </si>
  <si>
    <t>Veszprém Megyei Jogú Város Polgármesteri Hivatal „Őrzés-védelmi és portaszolgálat” feladatainak ellátásával kapcsolatos pénzügyi kötelezettségvállalás</t>
  </si>
  <si>
    <t>Az alapellátási központi orvosi ügyelet működtetésével kapcsolatos pénzügyi kötelezettségvállalás</t>
  </si>
  <si>
    <t>Egészségügyi feladatok ellátása - Veszprémi Csolnoky Ferenc Kórházzal kötött használati szerződés</t>
  </si>
  <si>
    <t>Döntés „VMJV Önkormányzatánál, költségvetési szerveinél, valamint a Veszprémi Kistérség Többcélú Társulása Egyesített Szociális Intézménynél munka- és tűzvédelmi feladatok” ellátásával kapcsolatos pénzügyi kötelezettségvállalásról</t>
  </si>
  <si>
    <t>Német Nemzetiségi Önk. helyiségének bérleti díja</t>
  </si>
  <si>
    <t>Előzetes kötelezettségvállalás diákétkeztetésre</t>
  </si>
  <si>
    <t>A gyermekétkeztetés biztosításával kapcsolatos előzetes pénzügyi kötelezettségvállalás</t>
  </si>
  <si>
    <t>A Veszprémi Intézményi Szolgáltató Szervezet diákétkeztetési
közfeladatainak ellátásához szükséges étkezési nyilvántartó program beszerzésével kapcsolatos pénzügyi kötelezettségvállalás</t>
  </si>
  <si>
    <t>Aveszprémi óvodák gyermekétkeztetési közfeladat ellátása érdekében  élelmezési nyilvántartó program és közkonyha szoftver beszerzéséhez szükséges pénzügyi kötelezettségvállalás</t>
  </si>
  <si>
    <t>A 2021. évi szünidei gyermekétkeztetés költségével kapcsolatos előzetes pénzügyi kötelezettségvállalás</t>
  </si>
  <si>
    <t>Veszprémi Csillag Úti Körzeti Óvoda gyermekétkeztetésést érintő előzetes pénzügyi kötelezettségvállalás</t>
  </si>
  <si>
    <t>VMJV Polgármesteri Hivatal adószámla kivonat elkészítésével kapcsolatos pénzügyi kötelezettségvállalás</t>
  </si>
  <si>
    <t>Polgármesteri Hivatal mobil távközlési szolgáltatások igénybevételével kapcsolatos pénzügyi kötelezettségvállalás</t>
  </si>
  <si>
    <t>A 2021. évi köztemetések költségével kapcsolatos előzetes pénzügyi kötelezettségvállalás</t>
  </si>
  <si>
    <t>Támogatási igény benyújtása és 2021-2022. évi előzetes pénzügyi kötelezettségvállalás a belterületi utak megújítása érdekében</t>
  </si>
  <si>
    <t>Az ebrendészeti feladatok külső szolgáltatóval történő ellátásáról 2021. évben és az előzetes pénzügyi kötelezettségvállalás</t>
  </si>
  <si>
    <t>A Laczkó Dezső Múzeummal kötendő műtárgykölcsönzési szerződést érintő 2021-2025. évi előzetes pénzügyi kötelezettségvállalás</t>
  </si>
  <si>
    <t>Határozati rendelkezések hatályon kívül helyezése és az adatvédelmi, valamint információbiztonsági szolgáltatás beszerzését érintő előzetes pénzügyi kötelezettségvállalás</t>
  </si>
  <si>
    <r>
      <t>VKSZ Zrt. által ellátott városüzemeltetési feladatok</t>
    </r>
    <r>
      <rPr>
        <sz val="10"/>
        <rFont val="Palatino Linotype"/>
        <family val="1"/>
      </rPr>
      <t xml:space="preserve"> közszolgáltatási keretmegállapodás alapján:</t>
    </r>
  </si>
  <si>
    <t xml:space="preserve">         - Veszprém várostörténeti kiadványok előkészítése</t>
  </si>
  <si>
    <t xml:space="preserve">          - Ex Symposion Alapítvány</t>
  </si>
  <si>
    <t>Település üzemeltetés - zöldterület-gazdálkodás támogatása</t>
  </si>
  <si>
    <t>Település üzemeltetés - közvilágítás támogatása</t>
  </si>
  <si>
    <t>Település üzemeltetés - köztemető támogatása</t>
  </si>
  <si>
    <t>Település üzemeltetés - közutak támogatása</t>
  </si>
  <si>
    <t>15. melléklet a /2021. (II....) önkormányzati rendelethez</t>
  </si>
  <si>
    <t>Volt Büfé helyett tárgyaló kialakítás, adálymentes vizesblokk megvalósítása, nyílászáró csere</t>
  </si>
  <si>
    <t>3.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</si>
</sst>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96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Palatino Linotype"/>
      <family val="1"/>
    </font>
    <font>
      <u val="single"/>
      <sz val="10"/>
      <name val="Palatino Linotype"/>
      <family val="1"/>
    </font>
    <font>
      <sz val="11"/>
      <color indexed="10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sz val="11"/>
      <color indexed="16"/>
      <name val="Palatino Linotype"/>
      <family val="1"/>
    </font>
    <font>
      <sz val="11"/>
      <color indexed="16"/>
      <name val="Palatino Linotype"/>
      <family val="1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i/>
      <sz val="11"/>
      <color indexed="16"/>
      <name val="Palatino Linotype"/>
      <family val="1"/>
    </font>
    <font>
      <b/>
      <sz val="9"/>
      <color indexed="16"/>
      <name val="Palatino Linotype"/>
      <family val="1"/>
    </font>
    <font>
      <b/>
      <sz val="11"/>
      <color indexed="8"/>
      <name val="Calibri"/>
      <family val="2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.5"/>
      <name val="Palatino Linotype"/>
      <family val="1"/>
    </font>
    <font>
      <sz val="10.5"/>
      <name val="Palatino Linotype"/>
      <family val="1"/>
    </font>
    <font>
      <sz val="10"/>
      <color indexed="8"/>
      <name val="Palatino Linotyp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b/>
      <sz val="10"/>
      <color theme="5" tint="-0.4999699890613556"/>
      <name val="Arial CE"/>
      <family val="0"/>
    </font>
    <font>
      <b/>
      <i/>
      <sz val="10"/>
      <color theme="5" tint="-0.4999699890613556"/>
      <name val="Arial CE"/>
      <family val="0"/>
    </font>
    <font>
      <b/>
      <sz val="11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i/>
      <sz val="11"/>
      <color theme="5" tint="-0.4999699890613556"/>
      <name val="Palatino Linotype"/>
      <family val="1"/>
    </font>
    <font>
      <b/>
      <sz val="9"/>
      <color theme="5" tint="-0.4999699890613556"/>
      <name val="Palatino Linotype"/>
      <family val="1"/>
    </font>
    <font>
      <sz val="10"/>
      <color theme="5" tint="-0.4999699890613556"/>
      <name val="Palatino Linotype"/>
      <family val="1"/>
    </font>
    <font>
      <i/>
      <sz val="10"/>
      <color theme="5" tint="-0.4999699890613556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hair"/>
      <bottom style="hair"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double"/>
    </border>
    <border>
      <left style="hair"/>
      <right style="hair"/>
      <top style="medium"/>
      <bottom style="medium"/>
    </border>
    <border>
      <left style="double"/>
      <right style="hair"/>
      <top/>
      <bottom style="hair"/>
    </border>
    <border>
      <left style="medium"/>
      <right style="hair"/>
      <top style="hair"/>
      <bottom/>
    </border>
    <border>
      <left style="hair"/>
      <right/>
      <top style="medium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/>
      <right/>
      <top style="medium"/>
      <bottom/>
    </border>
    <border>
      <left style="hair"/>
      <right style="hair"/>
      <top style="hair"/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hair"/>
      <top/>
      <bottom style="hair"/>
    </border>
    <border>
      <left/>
      <right style="double"/>
      <top style="thin"/>
      <bottom style="thin"/>
    </border>
    <border>
      <left style="double"/>
      <right style="hair"/>
      <top style="double"/>
      <bottom style="hair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/>
      <right/>
      <top/>
      <bottom style="double"/>
    </border>
    <border>
      <left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medium"/>
      <bottom/>
    </border>
    <border>
      <left style="hair"/>
      <right style="medium"/>
      <top style="medium"/>
      <bottom style="double"/>
    </border>
    <border>
      <left style="hair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hair"/>
      <right/>
      <top style="medium"/>
      <bottom style="double"/>
    </border>
    <border>
      <left style="hair"/>
      <right style="hair"/>
      <top/>
      <bottom/>
    </border>
    <border>
      <left style="hair"/>
      <right style="hair"/>
      <top style="double"/>
      <bottom style="medium"/>
    </border>
    <border>
      <left style="hair"/>
      <right style="medium"/>
      <top style="double"/>
      <bottom style="hair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medium"/>
      <bottom/>
    </border>
    <border>
      <left style="hair"/>
      <right style="hair"/>
      <top style="medium"/>
      <bottom/>
    </border>
    <border>
      <left style="double"/>
      <right style="hair"/>
      <top style="medium"/>
      <bottom style="medium"/>
    </border>
    <border>
      <left/>
      <right/>
      <top style="hair"/>
      <bottom/>
    </border>
    <border>
      <left style="hair"/>
      <right style="medium"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/>
    </border>
    <border>
      <left/>
      <right style="hair"/>
      <top style="medium"/>
      <bottom style="medium"/>
    </border>
    <border>
      <left style="hair"/>
      <right/>
      <top/>
      <bottom style="medium"/>
    </border>
    <border>
      <left style="double"/>
      <right style="hair"/>
      <top style="hair"/>
      <bottom/>
    </border>
    <border>
      <left style="hair"/>
      <right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medium"/>
      <bottom style="medium"/>
    </border>
    <border>
      <left style="medium"/>
      <right style="medium"/>
      <top/>
      <bottom/>
    </border>
    <border>
      <left style="hair"/>
      <right/>
      <top style="double"/>
      <bottom style="medium"/>
    </border>
    <border>
      <left style="hair"/>
      <right/>
      <top style="medium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medium"/>
      <bottom/>
    </border>
    <border>
      <left/>
      <right style="hair"/>
      <top/>
      <bottom/>
    </border>
    <border>
      <left style="double"/>
      <right style="hair"/>
      <top style="medium"/>
      <bottom/>
    </border>
    <border>
      <left style="hair"/>
      <right style="medium"/>
      <top style="medium"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double"/>
      <top style="hair"/>
      <bottom style="medium"/>
    </border>
    <border>
      <left style="medium"/>
      <right style="hair"/>
      <top style="hair"/>
      <bottom style="double"/>
    </border>
    <border>
      <left style="hair"/>
      <right style="double"/>
      <top/>
      <bottom style="hair"/>
    </border>
    <border>
      <left style="medium"/>
      <right/>
      <top style="hair"/>
      <bottom/>
    </border>
    <border>
      <left style="hair"/>
      <right style="double"/>
      <top style="hair"/>
      <bottom/>
    </border>
    <border>
      <left style="double"/>
      <right style="double"/>
      <top style="hair"/>
      <bottom/>
    </border>
    <border>
      <left style="double"/>
      <right style="double"/>
      <top style="hair"/>
      <bottom style="medium"/>
    </border>
    <border>
      <left/>
      <right style="medium"/>
      <top style="hair"/>
      <bottom style="hair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 style="double"/>
    </border>
    <border>
      <left/>
      <right style="hair"/>
      <top style="double"/>
      <bottom style="double"/>
    </border>
    <border>
      <left style="medium"/>
      <right style="hair"/>
      <top style="hair"/>
      <bottom style="thin"/>
    </border>
    <border>
      <left style="medium"/>
      <right style="hair"/>
      <top style="thin"/>
      <bottom style="double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double"/>
      <right style="medium"/>
      <top style="hair"/>
      <bottom/>
    </border>
    <border>
      <left style="double"/>
      <right style="medium"/>
      <top style="double"/>
      <bottom style="double"/>
    </border>
    <border>
      <left style="hair"/>
      <right/>
      <top style="double"/>
      <bottom style="double"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 style="double"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/>
      <top style="double"/>
      <bottom style="hair"/>
    </border>
    <border>
      <left style="medium"/>
      <right/>
      <top style="medium"/>
      <bottom style="hair"/>
    </border>
    <border>
      <left style="thin"/>
      <right/>
      <top style="medium"/>
      <bottom/>
    </border>
    <border>
      <left/>
      <right style="hair"/>
      <top style="double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medium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 style="medium"/>
      <top/>
      <bottom style="double"/>
    </border>
    <border>
      <left/>
      <right style="double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medium"/>
    </border>
    <border>
      <left/>
      <right style="double"/>
      <top style="medium"/>
      <bottom/>
    </border>
    <border>
      <left style="thin"/>
      <right style="double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64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88" applyNumberFormat="1" applyFont="1" applyFill="1" applyAlignment="1">
      <alignment horizontal="center"/>
      <protection/>
    </xf>
    <xf numFmtId="3" fontId="2" fillId="0" borderId="0" xfId="88" applyNumberFormat="1" applyFont="1" applyFill="1">
      <alignment/>
      <protection/>
    </xf>
    <xf numFmtId="3" fontId="4" fillId="0" borderId="0" xfId="88" applyNumberFormat="1" applyFont="1" applyFill="1">
      <alignment/>
      <protection/>
    </xf>
    <xf numFmtId="3" fontId="2" fillId="0" borderId="0" xfId="88" applyNumberFormat="1" applyFont="1" applyFill="1" applyAlignment="1">
      <alignment vertical="center"/>
      <protection/>
    </xf>
    <xf numFmtId="3" fontId="2" fillId="0" borderId="0" xfId="88" applyNumberFormat="1" applyFont="1" applyFill="1" applyAlignment="1">
      <alignment horizontal="center" vertical="top"/>
      <protection/>
    </xf>
    <xf numFmtId="3" fontId="2" fillId="0" borderId="0" xfId="88" applyNumberFormat="1" applyFont="1" applyFill="1" applyAlignment="1">
      <alignment horizontal="center" vertical="center"/>
      <protection/>
    </xf>
    <xf numFmtId="3" fontId="5" fillId="0" borderId="0" xfId="88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88" applyNumberFormat="1" applyFont="1" applyFill="1" applyBorder="1" applyAlignment="1">
      <alignment vertical="top" wrapText="1"/>
      <protection/>
    </xf>
    <xf numFmtId="3" fontId="2" fillId="0" borderId="0" xfId="88" applyNumberFormat="1" applyFont="1" applyFill="1" applyBorder="1" applyAlignment="1">
      <alignment horizontal="center"/>
      <protection/>
    </xf>
    <xf numFmtId="3" fontId="4" fillId="0" borderId="0" xfId="88" applyNumberFormat="1" applyFont="1" applyFill="1" applyBorder="1">
      <alignment/>
      <protection/>
    </xf>
    <xf numFmtId="3" fontId="4" fillId="0" borderId="0" xfId="88" applyNumberFormat="1" applyFont="1" applyFill="1" applyBorder="1" applyAlignment="1">
      <alignment vertical="top" wrapText="1"/>
      <protection/>
    </xf>
    <xf numFmtId="3" fontId="4" fillId="0" borderId="0" xfId="88" applyNumberFormat="1" applyFont="1" applyFill="1" applyBorder="1" applyAlignment="1">
      <alignment horizontal="center"/>
      <protection/>
    </xf>
    <xf numFmtId="3" fontId="2" fillId="0" borderId="0" xfId="88" applyNumberFormat="1" applyFont="1" applyFill="1" applyAlignment="1">
      <alignment vertical="top" wrapText="1"/>
      <protection/>
    </xf>
    <xf numFmtId="3" fontId="2" fillId="0" borderId="0" xfId="88" applyNumberFormat="1" applyFont="1" applyFill="1" applyBorder="1" applyAlignment="1">
      <alignment horizontal="center" vertical="top" wrapText="1"/>
      <protection/>
    </xf>
    <xf numFmtId="3" fontId="4" fillId="0" borderId="0" xfId="88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0" fillId="0" borderId="16" xfId="87" applyNumberFormat="1" applyFont="1" applyFill="1" applyBorder="1" applyAlignment="1">
      <alignment horizontal="center" vertical="center" wrapText="1"/>
      <protection/>
    </xf>
    <xf numFmtId="3" fontId="4" fillId="0" borderId="0" xfId="87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87" applyNumberFormat="1" applyFont="1" applyFill="1">
      <alignment/>
      <protection/>
    </xf>
    <xf numFmtId="3" fontId="2" fillId="0" borderId="0" xfId="87" applyNumberFormat="1" applyFont="1" applyFill="1" applyAlignment="1">
      <alignment horizontal="right"/>
      <protection/>
    </xf>
    <xf numFmtId="3" fontId="2" fillId="0" borderId="0" xfId="87" applyNumberFormat="1" applyFont="1" applyFill="1" applyAlignment="1">
      <alignment/>
      <protection/>
    </xf>
    <xf numFmtId="3" fontId="2" fillId="0" borderId="0" xfId="87" applyNumberFormat="1" applyFont="1" applyFill="1" applyAlignment="1">
      <alignment vertical="center"/>
      <protection/>
    </xf>
    <xf numFmtId="3" fontId="2" fillId="0" borderId="0" xfId="87" applyNumberFormat="1" applyFont="1" applyFill="1" applyAlignment="1">
      <alignment horizontal="center" vertical="center"/>
      <protection/>
    </xf>
    <xf numFmtId="3" fontId="4" fillId="0" borderId="19" xfId="87" applyNumberFormat="1" applyFont="1" applyFill="1" applyBorder="1" applyAlignment="1">
      <alignment horizontal="center"/>
      <protection/>
    </xf>
    <xf numFmtId="3" fontId="2" fillId="0" borderId="19" xfId="87" applyNumberFormat="1" applyFont="1" applyFill="1" applyBorder="1" applyAlignment="1">
      <alignment horizontal="center"/>
      <protection/>
    </xf>
    <xf numFmtId="3" fontId="4" fillId="0" borderId="19" xfId="87" applyNumberFormat="1" applyFont="1" applyFill="1" applyBorder="1" applyAlignment="1">
      <alignment wrapText="1"/>
      <protection/>
    </xf>
    <xf numFmtId="3" fontId="4" fillId="0" borderId="19" xfId="87" applyNumberFormat="1" applyFont="1" applyFill="1" applyBorder="1">
      <alignment/>
      <protection/>
    </xf>
    <xf numFmtId="3" fontId="4" fillId="0" borderId="0" xfId="87" applyNumberFormat="1" applyFont="1" applyFill="1">
      <alignment/>
      <protection/>
    </xf>
    <xf numFmtId="49" fontId="2" fillId="0" borderId="13" xfId="87" applyNumberFormat="1" applyFont="1" applyFill="1" applyBorder="1" applyAlignment="1">
      <alignment horizontal="center"/>
      <protection/>
    </xf>
    <xf numFmtId="3" fontId="2" fillId="0" borderId="0" xfId="87" applyNumberFormat="1" applyFont="1" applyFill="1" applyBorder="1" applyAlignment="1">
      <alignment horizontal="center"/>
      <protection/>
    </xf>
    <xf numFmtId="3" fontId="2" fillId="0" borderId="0" xfId="87" applyNumberFormat="1" applyFont="1" applyFill="1" applyBorder="1">
      <alignment/>
      <protection/>
    </xf>
    <xf numFmtId="3" fontId="2" fillId="0" borderId="0" xfId="87" applyNumberFormat="1" applyFont="1" applyFill="1" applyBorder="1" applyAlignment="1">
      <alignment horizontal="left" indent="2"/>
      <protection/>
    </xf>
    <xf numFmtId="3" fontId="4" fillId="0" borderId="17" xfId="87" applyNumberFormat="1" applyFont="1" applyFill="1" applyBorder="1" applyAlignment="1">
      <alignment horizontal="center"/>
      <protection/>
    </xf>
    <xf numFmtId="3" fontId="2" fillId="0" borderId="17" xfId="87" applyNumberFormat="1" applyFont="1" applyFill="1" applyBorder="1" applyAlignment="1">
      <alignment horizontal="center"/>
      <protection/>
    </xf>
    <xf numFmtId="3" fontId="4" fillId="0" borderId="17" xfId="87" applyNumberFormat="1" applyFont="1" applyFill="1" applyBorder="1">
      <alignment/>
      <protection/>
    </xf>
    <xf numFmtId="3" fontId="4" fillId="0" borderId="0" xfId="87" applyNumberFormat="1" applyFont="1" applyFill="1" applyBorder="1" applyAlignment="1">
      <alignment horizontal="center"/>
      <protection/>
    </xf>
    <xf numFmtId="3" fontId="4" fillId="0" borderId="0" xfId="87" applyNumberFormat="1" applyFont="1" applyFill="1" applyBorder="1">
      <alignment/>
      <protection/>
    </xf>
    <xf numFmtId="3" fontId="5" fillId="0" borderId="0" xfId="87" applyNumberFormat="1" applyFont="1" applyFill="1" applyBorder="1" applyAlignment="1">
      <alignment horizontal="center"/>
      <protection/>
    </xf>
    <xf numFmtId="3" fontId="5" fillId="0" borderId="0" xfId="87" applyNumberFormat="1" applyFont="1" applyFill="1" applyBorder="1" applyAlignment="1">
      <alignment horizontal="left" indent="2"/>
      <protection/>
    </xf>
    <xf numFmtId="3" fontId="5" fillId="0" borderId="0" xfId="87" applyNumberFormat="1" applyFont="1" applyFill="1" applyBorder="1">
      <alignment/>
      <protection/>
    </xf>
    <xf numFmtId="3" fontId="5" fillId="0" borderId="0" xfId="87" applyNumberFormat="1" applyFont="1" applyFill="1">
      <alignment/>
      <protection/>
    </xf>
    <xf numFmtId="3" fontId="2" fillId="0" borderId="0" xfId="87" applyNumberFormat="1" applyFont="1" applyFill="1" applyBorder="1" applyAlignment="1">
      <alignment horizontal="left" indent="3"/>
      <protection/>
    </xf>
    <xf numFmtId="3" fontId="4" fillId="0" borderId="0" xfId="87" applyNumberFormat="1" applyFont="1" applyFill="1" applyBorder="1" applyAlignment="1">
      <alignment horizontal="center" vertical="center"/>
      <protection/>
    </xf>
    <xf numFmtId="3" fontId="4" fillId="0" borderId="0" xfId="87" applyNumberFormat="1" applyFont="1" applyFill="1" applyBorder="1" applyAlignment="1">
      <alignment vertical="center"/>
      <protection/>
    </xf>
    <xf numFmtId="3" fontId="2" fillId="0" borderId="0" xfId="87" applyNumberFormat="1" applyFont="1" applyFill="1" applyBorder="1" applyAlignment="1">
      <alignment horizontal="left"/>
      <protection/>
    </xf>
    <xf numFmtId="49" fontId="2" fillId="0" borderId="13" xfId="87" applyNumberFormat="1" applyFont="1" applyFill="1" applyBorder="1" applyAlignment="1">
      <alignment horizontal="center" vertical="top"/>
      <protection/>
    </xf>
    <xf numFmtId="3" fontId="2" fillId="0" borderId="0" xfId="87" applyNumberFormat="1" applyFont="1" applyFill="1" applyBorder="1" applyAlignment="1">
      <alignment horizontal="center" vertical="top"/>
      <protection/>
    </xf>
    <xf numFmtId="3" fontId="2" fillId="0" borderId="0" xfId="87" applyNumberFormat="1" applyFont="1" applyFill="1" applyBorder="1" applyAlignment="1">
      <alignment vertical="top"/>
      <protection/>
    </xf>
    <xf numFmtId="3" fontId="2" fillId="0" borderId="0" xfId="87" applyNumberFormat="1" applyFont="1" applyFill="1" applyAlignment="1">
      <alignment vertical="top"/>
      <protection/>
    </xf>
    <xf numFmtId="49" fontId="2" fillId="0" borderId="20" xfId="87" applyNumberFormat="1" applyFont="1" applyFill="1" applyBorder="1" applyAlignment="1">
      <alignment horizontal="center" vertical="center"/>
      <protection/>
    </xf>
    <xf numFmtId="3" fontId="4" fillId="0" borderId="21" xfId="87" applyNumberFormat="1" applyFont="1" applyFill="1" applyBorder="1" applyAlignment="1">
      <alignment horizontal="center" vertical="center"/>
      <protection/>
    </xf>
    <xf numFmtId="3" fontId="2" fillId="0" borderId="21" xfId="87" applyNumberFormat="1" applyFont="1" applyFill="1" applyBorder="1" applyAlignment="1">
      <alignment horizontal="center" vertical="center"/>
      <protection/>
    </xf>
    <xf numFmtId="3" fontId="4" fillId="0" borderId="21" xfId="87" applyNumberFormat="1" applyFont="1" applyFill="1" applyBorder="1" applyAlignment="1">
      <alignment vertical="center"/>
      <protection/>
    </xf>
    <xf numFmtId="3" fontId="2" fillId="0" borderId="0" xfId="87" applyNumberFormat="1" applyFont="1" applyFill="1" applyBorder="1" applyAlignment="1">
      <alignment/>
      <protection/>
    </xf>
    <xf numFmtId="3" fontId="2" fillId="0" borderId="0" xfId="87" applyNumberFormat="1" applyFont="1" applyFill="1" applyBorder="1" applyAlignment="1">
      <alignment horizontal="left" indent="1"/>
      <protection/>
    </xf>
    <xf numFmtId="3" fontId="2" fillId="0" borderId="0" xfId="87" applyNumberFormat="1" applyFont="1" applyFill="1" applyBorder="1" applyAlignment="1">
      <alignment horizontal="left" vertical="top" indent="1"/>
      <protection/>
    </xf>
    <xf numFmtId="49" fontId="2" fillId="0" borderId="0" xfId="87" applyNumberFormat="1" applyFont="1" applyFill="1" applyBorder="1" applyAlignment="1">
      <alignment horizontal="center"/>
      <protection/>
    </xf>
    <xf numFmtId="49" fontId="2" fillId="0" borderId="0" xfId="87" applyNumberFormat="1" applyFont="1" applyFill="1" applyAlignment="1">
      <alignment horizontal="center"/>
      <protection/>
    </xf>
    <xf numFmtId="3" fontId="4" fillId="0" borderId="0" xfId="87" applyNumberFormat="1" applyFont="1" applyFill="1" applyAlignment="1">
      <alignment horizontal="center"/>
      <protection/>
    </xf>
    <xf numFmtId="3" fontId="2" fillId="0" borderId="0" xfId="87" applyNumberFormat="1" applyFont="1" applyFill="1" applyAlignment="1">
      <alignment horizontal="center"/>
      <protection/>
    </xf>
    <xf numFmtId="3" fontId="4" fillId="0" borderId="0" xfId="88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/>
    </xf>
    <xf numFmtId="3" fontId="6" fillId="0" borderId="0" xfId="88" applyNumberFormat="1" applyFont="1" applyFill="1" applyAlignment="1">
      <alignment horizontal="center" vertical="center"/>
      <protection/>
    </xf>
    <xf numFmtId="3" fontId="10" fillId="0" borderId="22" xfId="0" applyNumberFormat="1" applyFont="1" applyFill="1" applyBorder="1" applyAlignment="1">
      <alignment horizontal="center" wrapText="1"/>
    </xf>
    <xf numFmtId="3" fontId="10" fillId="0" borderId="23" xfId="0" applyNumberFormat="1" applyFont="1" applyFill="1" applyBorder="1" applyAlignment="1">
      <alignment horizontal="center" wrapText="1"/>
    </xf>
    <xf numFmtId="3" fontId="10" fillId="0" borderId="24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0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 vertical="top"/>
    </xf>
    <xf numFmtId="4" fontId="6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17" fillId="0" borderId="0" xfId="88" applyNumberFormat="1" applyFont="1" applyFill="1" applyAlignment="1">
      <alignment horizontal="center" vertical="center"/>
      <protection/>
    </xf>
    <xf numFmtId="3" fontId="12" fillId="0" borderId="2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24" xfId="88" applyNumberFormat="1" applyFont="1" applyFill="1" applyBorder="1" applyAlignment="1">
      <alignment horizontal="center"/>
      <protection/>
    </xf>
    <xf numFmtId="3" fontId="10" fillId="0" borderId="25" xfId="88" applyNumberFormat="1" applyFont="1" applyFill="1" applyBorder="1" applyAlignment="1">
      <alignment horizontal="center"/>
      <protection/>
    </xf>
    <xf numFmtId="3" fontId="10" fillId="0" borderId="25" xfId="88" applyNumberFormat="1" applyFont="1" applyFill="1" applyBorder="1" applyAlignment="1">
      <alignment wrapText="1"/>
      <protection/>
    </xf>
    <xf numFmtId="3" fontId="10" fillId="0" borderId="25" xfId="88" applyNumberFormat="1" applyFont="1" applyFill="1" applyBorder="1" applyAlignment="1">
      <alignment horizontal="right"/>
      <protection/>
    </xf>
    <xf numFmtId="3" fontId="10" fillId="0" borderId="29" xfId="88" applyNumberFormat="1" applyFont="1" applyFill="1" applyBorder="1" applyAlignment="1">
      <alignment horizontal="right"/>
      <protection/>
    </xf>
    <xf numFmtId="3" fontId="10" fillId="0" borderId="24" xfId="88" applyNumberFormat="1" applyFont="1" applyFill="1" applyBorder="1" applyAlignment="1">
      <alignment horizontal="center" vertical="center"/>
      <protection/>
    </xf>
    <xf numFmtId="3" fontId="10" fillId="0" borderId="25" xfId="88" applyNumberFormat="1" applyFont="1" applyFill="1" applyBorder="1" applyAlignment="1">
      <alignment horizontal="center" vertical="center"/>
      <protection/>
    </xf>
    <xf numFmtId="3" fontId="10" fillId="0" borderId="30" xfId="88" applyNumberFormat="1" applyFont="1" applyFill="1" applyBorder="1" applyAlignment="1">
      <alignment wrapText="1"/>
      <protection/>
    </xf>
    <xf numFmtId="3" fontId="12" fillId="0" borderId="30" xfId="88" applyNumberFormat="1" applyFont="1" applyFill="1" applyBorder="1" applyAlignment="1">
      <alignment horizontal="right"/>
      <protection/>
    </xf>
    <xf numFmtId="3" fontId="12" fillId="0" borderId="31" xfId="88" applyNumberFormat="1" applyFont="1" applyFill="1" applyBorder="1" applyAlignment="1">
      <alignment horizontal="right"/>
      <protection/>
    </xf>
    <xf numFmtId="3" fontId="12" fillId="0" borderId="24" xfId="88" applyNumberFormat="1" applyFont="1" applyFill="1" applyBorder="1" applyAlignment="1">
      <alignment horizontal="center" vertical="center"/>
      <protection/>
    </xf>
    <xf numFmtId="3" fontId="12" fillId="0" borderId="25" xfId="88" applyNumberFormat="1" applyFont="1" applyFill="1" applyBorder="1" applyAlignment="1">
      <alignment horizontal="right"/>
      <protection/>
    </xf>
    <xf numFmtId="3" fontId="12" fillId="0" borderId="29" xfId="88" applyNumberFormat="1" applyFont="1" applyFill="1" applyBorder="1" applyAlignment="1">
      <alignment horizontal="right"/>
      <protection/>
    </xf>
    <xf numFmtId="3" fontId="12" fillId="0" borderId="25" xfId="88" applyNumberFormat="1" applyFont="1" applyFill="1" applyBorder="1" applyAlignment="1">
      <alignment vertical="center" wrapText="1"/>
      <protection/>
    </xf>
    <xf numFmtId="3" fontId="10" fillId="0" borderId="25" xfId="88" applyNumberFormat="1" applyFont="1" applyFill="1" applyBorder="1" applyAlignment="1">
      <alignment/>
      <protection/>
    </xf>
    <xf numFmtId="3" fontId="10" fillId="0" borderId="29" xfId="88" applyNumberFormat="1" applyFont="1" applyFill="1" applyBorder="1" applyAlignment="1">
      <alignment/>
      <protection/>
    </xf>
    <xf numFmtId="3" fontId="10" fillId="0" borderId="24" xfId="88" applyNumberFormat="1" applyFont="1" applyFill="1" applyBorder="1" applyAlignment="1">
      <alignment horizontal="center" vertical="top"/>
      <protection/>
    </xf>
    <xf numFmtId="49" fontId="12" fillId="0" borderId="25" xfId="88" applyNumberFormat="1" applyFont="1" applyFill="1" applyBorder="1" applyAlignment="1">
      <alignment horizontal="left" vertical="center" wrapText="1" indent="4"/>
      <protection/>
    </xf>
    <xf numFmtId="3" fontId="10" fillId="0" borderId="32" xfId="88" applyNumberFormat="1" applyFont="1" applyFill="1" applyBorder="1" applyAlignment="1">
      <alignment horizontal="center" vertical="center"/>
      <protection/>
    </xf>
    <xf numFmtId="3" fontId="16" fillId="0" borderId="32" xfId="88" applyNumberFormat="1" applyFont="1" applyFill="1" applyBorder="1" applyAlignment="1">
      <alignment horizontal="center"/>
      <protection/>
    </xf>
    <xf numFmtId="3" fontId="17" fillId="0" borderId="0" xfId="88" applyNumberFormat="1" applyFont="1" applyFill="1" applyAlignment="1">
      <alignment horizontal="center"/>
      <protection/>
    </xf>
    <xf numFmtId="3" fontId="12" fillId="0" borderId="25" xfId="88" applyNumberFormat="1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32" xfId="88" applyNumberFormat="1" applyFont="1" applyFill="1" applyBorder="1" applyAlignment="1">
      <alignment horizontal="center"/>
      <protection/>
    </xf>
    <xf numFmtId="3" fontId="2" fillId="0" borderId="24" xfId="88" applyNumberFormat="1" applyFont="1" applyFill="1" applyBorder="1" applyAlignment="1">
      <alignment vertical="center" wrapText="1"/>
      <protection/>
    </xf>
    <xf numFmtId="3" fontId="2" fillId="0" borderId="26" xfId="0" applyNumberFormat="1" applyFont="1" applyFill="1" applyBorder="1" applyAlignment="1">
      <alignment horizontal="right" vertical="center" wrapText="1"/>
    </xf>
    <xf numFmtId="3" fontId="4" fillId="0" borderId="33" xfId="88" applyNumberFormat="1" applyFont="1" applyFill="1" applyBorder="1" applyAlignment="1">
      <alignment horizontal="center" vertical="center" wrapText="1"/>
      <protection/>
    </xf>
    <xf numFmtId="3" fontId="4" fillId="0" borderId="34" xfId="88" applyNumberFormat="1" applyFont="1" applyFill="1" applyBorder="1" applyAlignment="1">
      <alignment vertical="center"/>
      <protection/>
    </xf>
    <xf numFmtId="3" fontId="10" fillId="0" borderId="30" xfId="0" applyNumberFormat="1" applyFont="1" applyFill="1" applyBorder="1" applyAlignment="1">
      <alignment horizontal="right" wrapText="1"/>
    </xf>
    <xf numFmtId="3" fontId="10" fillId="0" borderId="30" xfId="88" applyNumberFormat="1" applyFont="1" applyFill="1" applyBorder="1" applyAlignment="1">
      <alignment horizontal="right"/>
      <protection/>
    </xf>
    <xf numFmtId="3" fontId="10" fillId="0" borderId="31" xfId="88" applyNumberFormat="1" applyFont="1" applyFill="1" applyBorder="1" applyAlignment="1">
      <alignment horizontal="right"/>
      <protection/>
    </xf>
    <xf numFmtId="0" fontId="9" fillId="0" borderId="0" xfId="88" applyNumberFormat="1" applyFont="1" applyFill="1" applyBorder="1" applyAlignment="1">
      <alignment horizontal="center" vertical="center"/>
      <protection/>
    </xf>
    <xf numFmtId="0" fontId="19" fillId="0" borderId="0" xfId="8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0" fontId="6" fillId="0" borderId="0" xfId="90" applyFont="1" applyAlignment="1">
      <alignment horizontal="center" vertical="center"/>
      <protection/>
    </xf>
    <xf numFmtId="0" fontId="2" fillId="0" borderId="0" xfId="90" applyFont="1" applyAlignment="1">
      <alignment vertical="center"/>
      <protection/>
    </xf>
    <xf numFmtId="3" fontId="4" fillId="0" borderId="0" xfId="90" applyNumberFormat="1" applyFont="1" applyAlignment="1">
      <alignment horizontal="center"/>
      <protection/>
    </xf>
    <xf numFmtId="0" fontId="2" fillId="0" borderId="0" xfId="90" applyFont="1" applyAlignment="1">
      <alignment/>
      <protection/>
    </xf>
    <xf numFmtId="3" fontId="4" fillId="0" borderId="0" xfId="9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0" xfId="111" applyNumberFormat="1" applyFont="1" applyBorder="1" applyAlignment="1">
      <alignment vertical="center"/>
    </xf>
    <xf numFmtId="3" fontId="2" fillId="0" borderId="0" xfId="111" applyNumberFormat="1" applyFont="1" applyBorder="1" applyAlignment="1">
      <alignment vertical="center"/>
    </xf>
    <xf numFmtId="0" fontId="4" fillId="0" borderId="20" xfId="90" applyFont="1" applyBorder="1" applyAlignment="1">
      <alignment horizontal="center" vertical="center" wrapText="1"/>
      <protection/>
    </xf>
    <xf numFmtId="3" fontId="4" fillId="0" borderId="21" xfId="90" applyNumberFormat="1" applyFont="1" applyBorder="1" applyAlignment="1">
      <alignment vertical="center"/>
      <protection/>
    </xf>
    <xf numFmtId="10" fontId="4" fillId="0" borderId="38" xfId="111" applyNumberFormat="1" applyFont="1" applyBorder="1" applyAlignment="1">
      <alignment vertical="center"/>
    </xf>
    <xf numFmtId="0" fontId="4" fillId="0" borderId="0" xfId="90" applyFont="1" applyAlignment="1">
      <alignment vertical="center"/>
      <protection/>
    </xf>
    <xf numFmtId="0" fontId="2" fillId="0" borderId="0" xfId="90" applyFont="1" applyAlignment="1">
      <alignment wrapText="1"/>
      <protection/>
    </xf>
    <xf numFmtId="3" fontId="2" fillId="0" borderId="0" xfId="90" applyNumberFormat="1" applyFont="1">
      <alignment/>
      <protection/>
    </xf>
    <xf numFmtId="0" fontId="2" fillId="0" borderId="0" xfId="90" applyFont="1">
      <alignment/>
      <protection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top"/>
    </xf>
    <xf numFmtId="3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9" xfId="87" applyNumberFormat="1" applyFont="1" applyFill="1" applyBorder="1" applyAlignment="1">
      <alignment horizontal="left" textRotation="90" wrapText="1"/>
      <protection/>
    </xf>
    <xf numFmtId="3" fontId="2" fillId="0" borderId="19" xfId="87" applyNumberFormat="1" applyFont="1" applyFill="1" applyBorder="1" applyAlignment="1">
      <alignment horizontal="center" wrapText="1"/>
      <protection/>
    </xf>
    <xf numFmtId="3" fontId="4" fillId="0" borderId="19" xfId="87" applyNumberFormat="1" applyFont="1" applyFill="1" applyBorder="1" applyAlignment="1">
      <alignment horizontal="left" wrapText="1"/>
      <protection/>
    </xf>
    <xf numFmtId="3" fontId="4" fillId="0" borderId="0" xfId="87" applyNumberFormat="1" applyFont="1" applyFill="1" applyBorder="1" applyAlignment="1">
      <alignment horizontal="left"/>
      <protection/>
    </xf>
    <xf numFmtId="3" fontId="4" fillId="0" borderId="0" xfId="87" applyNumberFormat="1" applyFont="1" applyFill="1" applyAlignment="1">
      <alignment horizontal="left"/>
      <protection/>
    </xf>
    <xf numFmtId="3" fontId="4" fillId="0" borderId="0" xfId="87" applyNumberFormat="1" applyFont="1" applyFill="1" applyBorder="1" applyAlignment="1">
      <alignment horizontal="left" wrapText="1"/>
      <protection/>
    </xf>
    <xf numFmtId="3" fontId="2" fillId="0" borderId="0" xfId="87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wrapText="1"/>
    </xf>
    <xf numFmtId="3" fontId="4" fillId="0" borderId="18" xfId="87" applyNumberFormat="1" applyFont="1" applyFill="1" applyBorder="1" applyAlignment="1">
      <alignment horizontal="left" textRotation="90" wrapText="1"/>
      <protection/>
    </xf>
    <xf numFmtId="3" fontId="2" fillId="0" borderId="18" xfId="87" applyNumberFormat="1" applyFont="1" applyFill="1" applyBorder="1" applyAlignment="1">
      <alignment horizontal="center" wrapText="1"/>
      <protection/>
    </xf>
    <xf numFmtId="3" fontId="4" fillId="0" borderId="18" xfId="87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4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" fontId="2" fillId="0" borderId="0" xfId="88" applyNumberFormat="1" applyFont="1" applyFill="1" applyBorder="1" applyAlignment="1">
      <alignment vertical="center" wrapText="1"/>
      <protection/>
    </xf>
    <xf numFmtId="3" fontId="2" fillId="0" borderId="0" xfId="92" applyNumberFormat="1" applyFont="1">
      <alignment/>
      <protection/>
    </xf>
    <xf numFmtId="3" fontId="2" fillId="0" borderId="0" xfId="92" applyNumberFormat="1" applyFont="1" applyAlignment="1">
      <alignment horizontal="center"/>
      <protection/>
    </xf>
    <xf numFmtId="14" fontId="2" fillId="0" borderId="0" xfId="92" applyNumberFormat="1" applyFont="1" applyAlignment="1">
      <alignment horizontal="center"/>
      <protection/>
    </xf>
    <xf numFmtId="3" fontId="2" fillId="0" borderId="0" xfId="92" applyNumberFormat="1" applyFont="1" applyAlignment="1">
      <alignment horizontal="center" vertical="center" wrapText="1"/>
      <protection/>
    </xf>
    <xf numFmtId="3" fontId="4" fillId="0" borderId="43" xfId="92" applyNumberFormat="1" applyFont="1" applyBorder="1" applyAlignment="1">
      <alignment horizontal="right" vertical="center"/>
      <protection/>
    </xf>
    <xf numFmtId="3" fontId="2" fillId="0" borderId="44" xfId="92" applyNumberFormat="1" applyFont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45" xfId="87" applyNumberFormat="1" applyFont="1" applyFill="1" applyBorder="1" applyAlignment="1">
      <alignment horizontal="center" vertical="center" wrapText="1"/>
      <protection/>
    </xf>
    <xf numFmtId="3" fontId="4" fillId="0" borderId="46" xfId="87" applyNumberFormat="1" applyFont="1" applyFill="1" applyBorder="1" applyAlignment="1">
      <alignment horizontal="right" wrapText="1"/>
      <protection/>
    </xf>
    <xf numFmtId="3" fontId="4" fillId="0" borderId="46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/>
    </xf>
    <xf numFmtId="3" fontId="2" fillId="0" borderId="49" xfId="87" applyNumberFormat="1" applyFont="1" applyFill="1" applyBorder="1" applyAlignment="1">
      <alignment horizontal="center" vertical="center" wrapText="1"/>
      <protection/>
    </xf>
    <xf numFmtId="3" fontId="4" fillId="0" borderId="50" xfId="87" applyNumberFormat="1" applyFont="1" applyFill="1" applyBorder="1">
      <alignment/>
      <protection/>
    </xf>
    <xf numFmtId="3" fontId="2" fillId="0" borderId="46" xfId="87" applyNumberFormat="1" applyFont="1" applyFill="1" applyBorder="1">
      <alignment/>
      <protection/>
    </xf>
    <xf numFmtId="3" fontId="4" fillId="0" borderId="47" xfId="87" applyNumberFormat="1" applyFont="1" applyFill="1" applyBorder="1">
      <alignment/>
      <protection/>
    </xf>
    <xf numFmtId="3" fontId="4" fillId="0" borderId="46" xfId="87" applyNumberFormat="1" applyFont="1" applyFill="1" applyBorder="1">
      <alignment/>
      <protection/>
    </xf>
    <xf numFmtId="3" fontId="5" fillId="0" borderId="46" xfId="87" applyNumberFormat="1" applyFont="1" applyFill="1" applyBorder="1">
      <alignment/>
      <protection/>
    </xf>
    <xf numFmtId="3" fontId="4" fillId="0" borderId="46" xfId="87" applyNumberFormat="1" applyFont="1" applyFill="1" applyBorder="1" applyAlignment="1">
      <alignment vertical="center"/>
      <protection/>
    </xf>
    <xf numFmtId="3" fontId="2" fillId="0" borderId="46" xfId="87" applyNumberFormat="1" applyFont="1" applyFill="1" applyBorder="1" applyAlignment="1">
      <alignment vertical="top"/>
      <protection/>
    </xf>
    <xf numFmtId="3" fontId="4" fillId="0" borderId="45" xfId="87" applyNumberFormat="1" applyFont="1" applyFill="1" applyBorder="1" applyAlignment="1">
      <alignment vertical="center"/>
      <protection/>
    </xf>
    <xf numFmtId="3" fontId="2" fillId="0" borderId="46" xfId="87" applyNumberFormat="1" applyFont="1" applyFill="1" applyBorder="1" applyAlignment="1">
      <alignment/>
      <protection/>
    </xf>
    <xf numFmtId="3" fontId="2" fillId="0" borderId="0" xfId="87" applyNumberFormat="1" applyFont="1" applyFill="1" applyBorder="1" applyAlignment="1">
      <alignment horizontal="center" vertical="top" wrapText="1"/>
      <protection/>
    </xf>
    <xf numFmtId="3" fontId="10" fillId="0" borderId="51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/>
    </xf>
    <xf numFmtId="3" fontId="12" fillId="0" borderId="52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top"/>
    </xf>
    <xf numFmtId="3" fontId="10" fillId="0" borderId="25" xfId="0" applyNumberFormat="1" applyFont="1" applyFill="1" applyBorder="1" applyAlignment="1">
      <alignment horizontal="center" vertical="top"/>
    </xf>
    <xf numFmtId="3" fontId="10" fillId="0" borderId="25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top"/>
    </xf>
    <xf numFmtId="3" fontId="12" fillId="0" borderId="25" xfId="0" applyNumberFormat="1" applyFont="1" applyFill="1" applyBorder="1" applyAlignment="1">
      <alignment vertical="top"/>
    </xf>
    <xf numFmtId="3" fontId="13" fillId="0" borderId="26" xfId="0" applyNumberFormat="1" applyFont="1" applyFill="1" applyBorder="1" applyAlignment="1">
      <alignment vertical="top"/>
    </xf>
    <xf numFmtId="0" fontId="0" fillId="0" borderId="25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3" fontId="10" fillId="0" borderId="32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/>
    </xf>
    <xf numFmtId="3" fontId="10" fillId="0" borderId="25" xfId="98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53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3" fontId="10" fillId="0" borderId="3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center" vertical="top"/>
    </xf>
    <xf numFmtId="3" fontId="13" fillId="0" borderId="58" xfId="0" applyNumberFormat="1" applyFont="1" applyFill="1" applyBorder="1" applyAlignment="1">
      <alignment vertical="center"/>
    </xf>
    <xf numFmtId="3" fontId="13" fillId="0" borderId="25" xfId="98" applyNumberFormat="1" applyFont="1" applyFill="1" applyBorder="1" applyAlignment="1">
      <alignment/>
      <protection/>
    </xf>
    <xf numFmtId="3" fontId="13" fillId="0" borderId="30" xfId="98" applyNumberFormat="1" applyFont="1" applyFill="1" applyBorder="1" applyAlignment="1">
      <alignment wrapText="1"/>
      <protection/>
    </xf>
    <xf numFmtId="3" fontId="13" fillId="0" borderId="30" xfId="98" applyNumberFormat="1" applyFont="1" applyFill="1" applyBorder="1" applyAlignment="1">
      <alignment/>
      <protection/>
    </xf>
    <xf numFmtId="3" fontId="10" fillId="0" borderId="2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59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3" fillId="0" borderId="60" xfId="0" applyNumberFormat="1" applyFont="1" applyFill="1" applyBorder="1" applyAlignment="1">
      <alignment horizontal="right"/>
    </xf>
    <xf numFmtId="3" fontId="13" fillId="0" borderId="59" xfId="0" applyNumberFormat="1" applyFont="1" applyFill="1" applyBorder="1" applyAlignment="1">
      <alignment horizontal="right" vertical="center"/>
    </xf>
    <xf numFmtId="3" fontId="13" fillId="0" borderId="60" xfId="0" applyNumberFormat="1" applyFont="1" applyFill="1" applyBorder="1" applyAlignment="1">
      <alignment horizontal="right" vertical="center"/>
    </xf>
    <xf numFmtId="3" fontId="16" fillId="0" borderId="5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2" fillId="0" borderId="61" xfId="92" applyNumberFormat="1" applyFont="1" applyBorder="1" applyAlignment="1">
      <alignment horizontal="center" vertical="center" wrapText="1"/>
      <protection/>
    </xf>
    <xf numFmtId="3" fontId="2" fillId="0" borderId="62" xfId="92" applyNumberFormat="1" applyFont="1" applyBorder="1" applyAlignment="1">
      <alignment horizontal="center" vertical="center" wrapText="1"/>
      <protection/>
    </xf>
    <xf numFmtId="3" fontId="2" fillId="0" borderId="61" xfId="92" applyNumberFormat="1" applyFont="1" applyBorder="1" applyAlignment="1">
      <alignment horizontal="center" vertical="center" wrapText="1"/>
      <protection/>
    </xf>
    <xf numFmtId="3" fontId="10" fillId="0" borderId="0" xfId="88" applyNumberFormat="1" applyFont="1" applyFill="1">
      <alignment/>
      <protection/>
    </xf>
    <xf numFmtId="3" fontId="24" fillId="0" borderId="25" xfId="88" applyNumberFormat="1" applyFont="1" applyFill="1" applyBorder="1" applyAlignment="1">
      <alignment wrapText="1"/>
      <protection/>
    </xf>
    <xf numFmtId="3" fontId="2" fillId="0" borderId="0" xfId="88" applyNumberFormat="1" applyFont="1" applyFill="1" applyBorder="1">
      <alignment/>
      <protection/>
    </xf>
    <xf numFmtId="3" fontId="2" fillId="0" borderId="63" xfId="87" applyNumberFormat="1" applyFont="1" applyFill="1" applyBorder="1" applyAlignment="1">
      <alignment horizontal="center" textRotation="90" wrapText="1"/>
      <protection/>
    </xf>
    <xf numFmtId="3" fontId="2" fillId="0" borderId="13" xfId="87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64" xfId="87" applyNumberFormat="1" applyFont="1" applyFill="1" applyBorder="1" applyAlignment="1">
      <alignment horizontal="center" textRotation="90" wrapText="1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49" fontId="2" fillId="0" borderId="63" xfId="87" applyNumberFormat="1" applyFont="1" applyFill="1" applyBorder="1" applyAlignment="1">
      <alignment horizontal="center"/>
      <protection/>
    </xf>
    <xf numFmtId="49" fontId="2" fillId="0" borderId="64" xfId="87" applyNumberFormat="1" applyFont="1" applyFill="1" applyBorder="1" applyAlignment="1">
      <alignment horizontal="center"/>
      <protection/>
    </xf>
    <xf numFmtId="49" fontId="5" fillId="0" borderId="13" xfId="87" applyNumberFormat="1" applyFont="1" applyFill="1" applyBorder="1" applyAlignment="1">
      <alignment horizontal="center"/>
      <protection/>
    </xf>
    <xf numFmtId="49" fontId="2" fillId="0" borderId="13" xfId="87" applyNumberFormat="1" applyFont="1" applyFill="1" applyBorder="1" applyAlignment="1">
      <alignment horizontal="center" vertical="center"/>
      <protection/>
    </xf>
    <xf numFmtId="3" fontId="10" fillId="0" borderId="49" xfId="87" applyNumberFormat="1" applyFont="1" applyFill="1" applyBorder="1" applyAlignment="1">
      <alignment horizontal="center" vertical="center" wrapText="1"/>
      <protection/>
    </xf>
    <xf numFmtId="3" fontId="2" fillId="0" borderId="68" xfId="87" applyNumberFormat="1" applyFont="1" applyFill="1" applyBorder="1" applyAlignment="1">
      <alignment horizontal="center" vertical="center" textRotation="90" wrapText="1"/>
      <protection/>
    </xf>
    <xf numFmtId="3" fontId="2" fillId="0" borderId="49" xfId="87" applyNumberFormat="1" applyFont="1" applyFill="1" applyBorder="1" applyAlignment="1">
      <alignment horizontal="center" vertical="center" textRotation="90" wrapText="1"/>
      <protection/>
    </xf>
    <xf numFmtId="3" fontId="4" fillId="0" borderId="49" xfId="87" applyNumberFormat="1" applyFont="1" applyFill="1" applyBorder="1" applyAlignment="1">
      <alignment horizontal="center" vertical="center" wrapText="1"/>
      <protection/>
    </xf>
    <xf numFmtId="3" fontId="2" fillId="0" borderId="69" xfId="87" applyNumberFormat="1" applyFont="1" applyFill="1" applyBorder="1" applyAlignment="1">
      <alignment horizontal="center" vertical="center" wrapText="1"/>
      <protection/>
    </xf>
    <xf numFmtId="3" fontId="2" fillId="0" borderId="21" xfId="87" applyNumberFormat="1" applyFont="1" applyFill="1" applyBorder="1" applyAlignment="1">
      <alignment horizontal="center" vertical="center" wrapText="1"/>
      <protection/>
    </xf>
    <xf numFmtId="3" fontId="4" fillId="0" borderId="19" xfId="87" applyNumberFormat="1" applyFont="1" applyFill="1" applyBorder="1" applyAlignment="1">
      <alignment horizontal="right" wrapText="1"/>
      <protection/>
    </xf>
    <xf numFmtId="3" fontId="4" fillId="0" borderId="50" xfId="87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 horizontal="right"/>
    </xf>
    <xf numFmtId="3" fontId="4" fillId="0" borderId="18" xfId="87" applyNumberFormat="1" applyFont="1" applyFill="1" applyBorder="1" applyAlignment="1">
      <alignment horizontal="right" wrapText="1"/>
      <protection/>
    </xf>
    <xf numFmtId="3" fontId="4" fillId="0" borderId="40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horizontal="right" vertical="center"/>
    </xf>
    <xf numFmtId="3" fontId="5" fillId="0" borderId="0" xfId="87" applyNumberFormat="1" applyFont="1" applyFill="1" applyBorder="1" applyAlignment="1">
      <alignment horizontal="right"/>
      <protection/>
    </xf>
    <xf numFmtId="3" fontId="2" fillId="0" borderId="15" xfId="87" applyNumberFormat="1" applyFont="1" applyFill="1" applyBorder="1" applyAlignment="1">
      <alignment horizontal="center"/>
      <protection/>
    </xf>
    <xf numFmtId="49" fontId="2" fillId="0" borderId="68" xfId="87" applyNumberFormat="1" applyFont="1" applyFill="1" applyBorder="1" applyAlignment="1">
      <alignment horizontal="center" vertical="center" textRotation="90"/>
      <protection/>
    </xf>
    <xf numFmtId="3" fontId="2" fillId="0" borderId="49" xfId="87" applyNumberFormat="1" applyFont="1" applyFill="1" applyBorder="1" applyAlignment="1">
      <alignment horizontal="center" vertical="center" textRotation="90"/>
      <protection/>
    </xf>
    <xf numFmtId="3" fontId="4" fillId="0" borderId="49" xfId="87" applyNumberFormat="1" applyFont="1" applyFill="1" applyBorder="1" applyAlignment="1">
      <alignment horizontal="center" vertical="center"/>
      <protection/>
    </xf>
    <xf numFmtId="3" fontId="2" fillId="0" borderId="72" xfId="8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3" xfId="94" applyFont="1" applyFill="1" applyBorder="1" applyAlignment="1">
      <alignment horizontal="center" vertical="center" wrapText="1"/>
      <protection/>
    </xf>
    <xf numFmtId="0" fontId="2" fillId="0" borderId="30" xfId="97" applyFont="1" applyFill="1" applyBorder="1" applyAlignment="1">
      <alignment vertical="center" wrapText="1"/>
      <protection/>
    </xf>
    <xf numFmtId="14" fontId="2" fillId="0" borderId="30" xfId="97" applyNumberFormat="1" applyFont="1" applyFill="1" applyBorder="1" applyAlignment="1">
      <alignment horizontal="center" vertical="center"/>
      <protection/>
    </xf>
    <xf numFmtId="3" fontId="2" fillId="0" borderId="30" xfId="96" applyNumberFormat="1" applyFont="1" applyFill="1" applyBorder="1" applyAlignment="1">
      <alignment horizontal="right" vertical="center"/>
      <protection/>
    </xf>
    <xf numFmtId="0" fontId="2" fillId="0" borderId="25" xfId="97" applyFont="1" applyFill="1" applyBorder="1" applyAlignment="1">
      <alignment horizontal="center" vertical="center" wrapText="1"/>
      <protection/>
    </xf>
    <xf numFmtId="0" fontId="2" fillId="0" borderId="54" xfId="97" applyFont="1" applyFill="1" applyBorder="1" applyAlignment="1">
      <alignment horizontal="center" vertical="center" wrapText="1"/>
      <protection/>
    </xf>
    <xf numFmtId="0" fontId="2" fillId="0" borderId="0" xfId="101" applyFont="1" applyFill="1" applyBorder="1">
      <alignment/>
      <protection/>
    </xf>
    <xf numFmtId="0" fontId="2" fillId="0" borderId="0" xfId="101" applyFont="1" applyFill="1" applyBorder="1" applyAlignment="1">
      <alignment horizontal="center" vertical="center"/>
      <protection/>
    </xf>
    <xf numFmtId="0" fontId="2" fillId="0" borderId="0" xfId="101" applyFont="1" applyFill="1" applyBorder="1" applyAlignment="1">
      <alignment/>
      <protection/>
    </xf>
    <xf numFmtId="0" fontId="2" fillId="0" borderId="24" xfId="101" applyFont="1" applyFill="1" applyBorder="1" applyAlignment="1">
      <alignment horizontal="center" vertical="center"/>
      <protection/>
    </xf>
    <xf numFmtId="0" fontId="2" fillId="0" borderId="25" xfId="101" applyFont="1" applyFill="1" applyBorder="1" applyAlignment="1">
      <alignment horizontal="center" vertical="top"/>
      <protection/>
    </xf>
    <xf numFmtId="0" fontId="2" fillId="0" borderId="25" xfId="91" applyFont="1" applyFill="1" applyBorder="1" applyAlignment="1">
      <alignment wrapText="1"/>
      <protection/>
    </xf>
    <xf numFmtId="0" fontId="2" fillId="0" borderId="25" xfId="91" applyFont="1" applyFill="1" applyBorder="1" applyAlignment="1">
      <alignment vertical="top" wrapText="1"/>
      <protection/>
    </xf>
    <xf numFmtId="0" fontId="2" fillId="0" borderId="0" xfId="101" applyFont="1" applyFill="1" applyBorder="1" applyAlignment="1">
      <alignment vertical="center"/>
      <protection/>
    </xf>
    <xf numFmtId="0" fontId="2" fillId="0" borderId="25" xfId="101" applyFont="1" applyFill="1" applyBorder="1" applyAlignment="1">
      <alignment vertical="center" wrapText="1"/>
      <protection/>
    </xf>
    <xf numFmtId="3" fontId="2" fillId="0" borderId="30" xfId="91" applyNumberFormat="1" applyFont="1" applyFill="1" applyBorder="1" applyAlignment="1">
      <alignment horizontal="right"/>
      <protection/>
    </xf>
    <xf numFmtId="3" fontId="2" fillId="0" borderId="31" xfId="101" applyNumberFormat="1" applyFont="1" applyFill="1" applyBorder="1" applyAlignment="1">
      <alignment horizontal="right"/>
      <protection/>
    </xf>
    <xf numFmtId="3" fontId="2" fillId="0" borderId="30" xfId="101" applyNumberFormat="1" applyFont="1" applyFill="1" applyBorder="1" applyAlignment="1">
      <alignment horizontal="right"/>
      <protection/>
    </xf>
    <xf numFmtId="0" fontId="4" fillId="0" borderId="0" xfId="101" applyFont="1" applyFill="1" applyBorder="1" applyAlignment="1">
      <alignment vertical="center"/>
      <protection/>
    </xf>
    <xf numFmtId="0" fontId="2" fillId="0" borderId="0" xfId="101" applyFont="1" applyFill="1" applyBorder="1" applyAlignment="1">
      <alignment horizontal="left"/>
      <protection/>
    </xf>
    <xf numFmtId="3" fontId="2" fillId="0" borderId="25" xfId="101" applyNumberFormat="1" applyFont="1" applyFill="1" applyBorder="1" applyAlignment="1">
      <alignment horizontal="right"/>
      <protection/>
    </xf>
    <xf numFmtId="3" fontId="2" fillId="0" borderId="29" xfId="101" applyNumberFormat="1" applyFont="1" applyFill="1" applyBorder="1" applyAlignment="1">
      <alignment horizontal="right"/>
      <protection/>
    </xf>
    <xf numFmtId="3" fontId="2" fillId="0" borderId="0" xfId="102" applyNumberFormat="1" applyFont="1" applyFill="1" applyBorder="1" applyAlignment="1">
      <alignment horizontal="right"/>
      <protection/>
    </xf>
    <xf numFmtId="3" fontId="2" fillId="0" borderId="0" xfId="102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3" fillId="0" borderId="74" xfId="0" applyNumberFormat="1" applyFont="1" applyFill="1" applyBorder="1" applyAlignment="1">
      <alignment vertical="center"/>
    </xf>
    <xf numFmtId="3" fontId="16" fillId="0" borderId="74" xfId="0" applyNumberFormat="1" applyFont="1" applyFill="1" applyBorder="1" applyAlignment="1">
      <alignment vertical="center"/>
    </xf>
    <xf numFmtId="3" fontId="16" fillId="0" borderId="75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12" fillId="0" borderId="25" xfId="88" applyNumberFormat="1" applyFont="1" applyFill="1" applyBorder="1" applyAlignment="1">
      <alignment wrapText="1"/>
      <protection/>
    </xf>
    <xf numFmtId="3" fontId="12" fillId="0" borderId="25" xfId="88" applyNumberFormat="1" applyFont="1" applyFill="1" applyBorder="1" applyAlignment="1">
      <alignment horizontal="left" wrapText="1"/>
      <protection/>
    </xf>
    <xf numFmtId="3" fontId="12" fillId="0" borderId="25" xfId="88" applyNumberFormat="1" applyFont="1" applyFill="1" applyBorder="1" applyAlignment="1">
      <alignment horizontal="left" wrapText="1" indent="3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5" xfId="98" applyNumberFormat="1" applyFont="1" applyFill="1" applyBorder="1" applyAlignment="1">
      <alignment/>
      <protection/>
    </xf>
    <xf numFmtId="3" fontId="10" fillId="0" borderId="25" xfId="98" applyNumberFormat="1" applyFont="1" applyFill="1" applyBorder="1" applyAlignment="1">
      <alignment horizontal="center"/>
      <protection/>
    </xf>
    <xf numFmtId="3" fontId="10" fillId="0" borderId="30" xfId="98" applyNumberFormat="1" applyFont="1" applyFill="1" applyBorder="1" applyAlignment="1">
      <alignment horizontal="center"/>
      <protection/>
    </xf>
    <xf numFmtId="3" fontId="10" fillId="0" borderId="31" xfId="0" applyNumberFormat="1" applyFont="1" applyFill="1" applyBorder="1" applyAlignment="1">
      <alignment/>
    </xf>
    <xf numFmtId="3" fontId="10" fillId="0" borderId="25" xfId="98" applyNumberFormat="1" applyFont="1" applyFill="1" applyBorder="1" applyAlignment="1">
      <alignment horizontal="center" vertical="top" wrapText="1"/>
      <protection/>
    </xf>
    <xf numFmtId="3" fontId="10" fillId="0" borderId="29" xfId="0" applyNumberFormat="1" applyFont="1" applyFill="1" applyBorder="1" applyAlignment="1">
      <alignment vertical="top"/>
    </xf>
    <xf numFmtId="3" fontId="13" fillId="0" borderId="30" xfId="0" applyNumberFormat="1" applyFont="1" applyFill="1" applyBorder="1" applyAlignment="1">
      <alignment horizontal="left"/>
    </xf>
    <xf numFmtId="3" fontId="13" fillId="0" borderId="52" xfId="98" applyNumberFormat="1" applyFont="1" applyFill="1" applyBorder="1" applyAlignment="1">
      <alignment horizontal="center"/>
      <protection/>
    </xf>
    <xf numFmtId="3" fontId="13" fillId="0" borderId="52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0" fontId="2" fillId="0" borderId="25" xfId="101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center"/>
    </xf>
    <xf numFmtId="3" fontId="4" fillId="0" borderId="79" xfId="0" applyNumberFormat="1" applyFont="1" applyFill="1" applyBorder="1" applyAlignment="1">
      <alignment horizontal="center" wrapText="1"/>
    </xf>
    <xf numFmtId="0" fontId="4" fillId="0" borderId="8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0" borderId="81" xfId="0" applyNumberFormat="1" applyFont="1" applyFill="1" applyBorder="1" applyAlignment="1">
      <alignment horizontal="center" wrapText="1"/>
    </xf>
    <xf numFmtId="3" fontId="2" fillId="0" borderId="82" xfId="0" applyNumberFormat="1" applyFont="1" applyFill="1" applyBorder="1" applyAlignment="1">
      <alignment/>
    </xf>
    <xf numFmtId="0" fontId="2" fillId="0" borderId="83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83" xfId="0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84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82" xfId="0" applyNumberFormat="1" applyFont="1" applyFill="1" applyBorder="1" applyAlignment="1">
      <alignment horizontal="right"/>
    </xf>
    <xf numFmtId="1" fontId="2" fillId="0" borderId="83" xfId="0" applyNumberFormat="1" applyFont="1" applyFill="1" applyBorder="1" applyAlignment="1">
      <alignment horizontal="center"/>
    </xf>
    <xf numFmtId="3" fontId="2" fillId="0" borderId="87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3" fontId="4" fillId="0" borderId="88" xfId="0" applyNumberFormat="1" applyFont="1" applyFill="1" applyBorder="1" applyAlignment="1">
      <alignment horizontal="center" vertical="center"/>
    </xf>
    <xf numFmtId="3" fontId="4" fillId="0" borderId="89" xfId="0" applyNumberFormat="1" applyFont="1" applyFill="1" applyBorder="1" applyAlignment="1">
      <alignment horizontal="right"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right" vertical="center"/>
    </xf>
    <xf numFmtId="0" fontId="4" fillId="0" borderId="88" xfId="0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left" vertical="center"/>
    </xf>
    <xf numFmtId="3" fontId="4" fillId="0" borderId="8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9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9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98" xfId="0" applyFont="1" applyFill="1" applyBorder="1" applyAlignment="1">
      <alignment horizontal="right"/>
    </xf>
    <xf numFmtId="3" fontId="4" fillId="0" borderId="82" xfId="0" applyNumberFormat="1" applyFont="1" applyFill="1" applyBorder="1" applyAlignment="1">
      <alignment horizontal="right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2" fillId="0" borderId="82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4" fillId="0" borderId="101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102" xfId="0" applyNumberFormat="1" applyFont="1" applyFill="1" applyBorder="1" applyAlignment="1">
      <alignment horizontal="right" vertical="center"/>
    </xf>
    <xf numFmtId="165" fontId="2" fillId="0" borderId="82" xfId="109" applyNumberFormat="1" applyFont="1" applyFill="1" applyBorder="1" applyAlignment="1">
      <alignment horizontal="right"/>
    </xf>
    <xf numFmtId="165" fontId="2" fillId="0" borderId="103" xfId="109" applyNumberFormat="1" applyFont="1" applyFill="1" applyBorder="1" applyAlignment="1">
      <alignment horizontal="right"/>
    </xf>
    <xf numFmtId="3" fontId="2" fillId="0" borderId="87" xfId="0" applyNumberFormat="1" applyFont="1" applyFill="1" applyBorder="1" applyAlignment="1">
      <alignment horizontal="right" vertical="center" textRotation="180"/>
    </xf>
    <xf numFmtId="3" fontId="4" fillId="0" borderId="104" xfId="0" applyNumberFormat="1" applyFont="1" applyFill="1" applyBorder="1" applyAlignment="1">
      <alignment horizontal="right" vertical="center"/>
    </xf>
    <xf numFmtId="3" fontId="2" fillId="0" borderId="87" xfId="0" applyNumberFormat="1" applyFont="1" applyFill="1" applyBorder="1" applyAlignment="1">
      <alignment horizontal="right" vertical="center"/>
    </xf>
    <xf numFmtId="3" fontId="2" fillId="0" borderId="89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165" fontId="2" fillId="0" borderId="87" xfId="109" applyNumberFormat="1" applyFont="1" applyFill="1" applyBorder="1" applyAlignment="1">
      <alignment horizontal="right"/>
    </xf>
    <xf numFmtId="165" fontId="2" fillId="0" borderId="37" xfId="109" applyNumberFormat="1" applyFont="1" applyFill="1" applyBorder="1" applyAlignment="1">
      <alignment horizontal="right"/>
    </xf>
    <xf numFmtId="3" fontId="10" fillId="0" borderId="106" xfId="0" applyNumberFormat="1" applyFont="1" applyFill="1" applyBorder="1" applyAlignment="1">
      <alignment horizontal="center"/>
    </xf>
    <xf numFmtId="3" fontId="10" fillId="0" borderId="106" xfId="0" applyNumberFormat="1" applyFont="1" applyFill="1" applyBorder="1" applyAlignment="1">
      <alignment horizontal="right"/>
    </xf>
    <xf numFmtId="3" fontId="13" fillId="0" borderId="106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center"/>
    </xf>
    <xf numFmtId="14" fontId="2" fillId="0" borderId="30" xfId="97" applyNumberFormat="1" applyFont="1" applyFill="1" applyBorder="1" applyAlignment="1">
      <alignment horizontal="center" vertical="center" wrapText="1"/>
      <protection/>
    </xf>
    <xf numFmtId="0" fontId="2" fillId="0" borderId="0" xfId="97" applyFont="1" applyFill="1" applyAlignment="1">
      <alignment horizontal="center" vertical="center"/>
      <protection/>
    </xf>
    <xf numFmtId="0" fontId="2" fillId="0" borderId="0" xfId="94" applyFont="1" applyFill="1" applyAlignment="1">
      <alignment horizontal="center"/>
      <protection/>
    </xf>
    <xf numFmtId="0" fontId="2" fillId="0" borderId="0" xfId="97" applyFont="1" applyFill="1">
      <alignment/>
      <protection/>
    </xf>
    <xf numFmtId="0" fontId="2" fillId="0" borderId="0" xfId="97" applyFont="1" applyFill="1" applyAlignment="1">
      <alignment vertical="center"/>
      <protection/>
    </xf>
    <xf numFmtId="0" fontId="2" fillId="0" borderId="0" xfId="94" applyFont="1" applyFill="1" applyAlignment="1">
      <alignment horizontal="center" vertical="center"/>
      <protection/>
    </xf>
    <xf numFmtId="0" fontId="2" fillId="0" borderId="0" xfId="95" applyFont="1" applyFill="1" applyAlignment="1">
      <alignment horizontal="center"/>
      <protection/>
    </xf>
    <xf numFmtId="0" fontId="2" fillId="0" borderId="0" xfId="97" applyFont="1" applyFill="1" applyAlignment="1">
      <alignment horizontal="center"/>
      <protection/>
    </xf>
    <xf numFmtId="0" fontId="2" fillId="0" borderId="32" xfId="97" applyFont="1" applyFill="1" applyBorder="1" applyAlignment="1">
      <alignment horizontal="center" vertical="top"/>
      <protection/>
    </xf>
    <xf numFmtId="0" fontId="2" fillId="0" borderId="30" xfId="97" applyFont="1" applyFill="1" applyBorder="1" applyAlignment="1">
      <alignment horizontal="center" vertical="center" wrapText="1"/>
      <protection/>
    </xf>
    <xf numFmtId="0" fontId="2" fillId="0" borderId="24" xfId="97" applyFont="1" applyFill="1" applyBorder="1" applyAlignment="1">
      <alignment horizontal="center" vertical="top"/>
      <protection/>
    </xf>
    <xf numFmtId="0" fontId="2" fillId="0" borderId="25" xfId="97" applyFont="1" applyFill="1" applyBorder="1" applyAlignment="1">
      <alignment vertical="center" wrapText="1"/>
      <protection/>
    </xf>
    <xf numFmtId="14" fontId="2" fillId="0" borderId="25" xfId="97" applyNumberFormat="1" applyFont="1" applyFill="1" applyBorder="1" applyAlignment="1">
      <alignment horizontal="center" vertical="center"/>
      <protection/>
    </xf>
    <xf numFmtId="0" fontId="2" fillId="0" borderId="76" xfId="97" applyFont="1" applyFill="1" applyBorder="1" applyAlignment="1">
      <alignment horizontal="center" vertical="top"/>
      <protection/>
    </xf>
    <xf numFmtId="0" fontId="2" fillId="0" borderId="54" xfId="97" applyFont="1" applyFill="1" applyBorder="1" applyAlignment="1">
      <alignment vertical="center" wrapText="1"/>
      <protection/>
    </xf>
    <xf numFmtId="14" fontId="2" fillId="0" borderId="54" xfId="97" applyNumberFormat="1" applyFont="1" applyFill="1" applyBorder="1" applyAlignment="1">
      <alignment horizontal="center" vertical="center"/>
      <protection/>
    </xf>
    <xf numFmtId="0" fontId="2" fillId="0" borderId="107" xfId="97" applyFont="1" applyFill="1" applyBorder="1" applyAlignment="1">
      <alignment vertical="center" wrapText="1"/>
      <protection/>
    </xf>
    <xf numFmtId="0" fontId="4" fillId="0" borderId="108" xfId="94" applyFont="1" applyFill="1" applyBorder="1" applyAlignment="1">
      <alignment horizontal="center" vertical="center"/>
      <protection/>
    </xf>
    <xf numFmtId="3" fontId="4" fillId="0" borderId="109" xfId="97" applyNumberFormat="1" applyFont="1" applyFill="1" applyBorder="1" applyAlignment="1">
      <alignment vertical="center"/>
      <protection/>
    </xf>
    <xf numFmtId="0" fontId="2" fillId="0" borderId="0" xfId="94" applyFont="1" applyFill="1">
      <alignment/>
      <protection/>
    </xf>
    <xf numFmtId="3" fontId="2" fillId="0" borderId="0" xfId="111" applyNumberFormat="1" applyFont="1" applyFill="1" applyBorder="1" applyAlignment="1">
      <alignment vertical="center"/>
    </xf>
    <xf numFmtId="0" fontId="2" fillId="0" borderId="0" xfId="90" applyFont="1" applyFill="1" applyAlignment="1">
      <alignment vertical="center"/>
      <protection/>
    </xf>
    <xf numFmtId="3" fontId="10" fillId="0" borderId="25" xfId="88" applyNumberFormat="1" applyFont="1" applyFill="1" applyBorder="1" applyAlignment="1">
      <alignment horizontal="center" vertical="top"/>
      <protection/>
    </xf>
    <xf numFmtId="0" fontId="2" fillId="0" borderId="110" xfId="0" applyFont="1" applyFill="1" applyBorder="1" applyAlignment="1">
      <alignment horizontal="center" vertical="center"/>
    </xf>
    <xf numFmtId="164" fontId="4" fillId="0" borderId="106" xfId="0" applyNumberFormat="1" applyFont="1" applyFill="1" applyBorder="1" applyAlignment="1">
      <alignment vertical="center" wrapText="1"/>
    </xf>
    <xf numFmtId="4" fontId="4" fillId="0" borderId="106" xfId="0" applyNumberFormat="1" applyFont="1" applyFill="1" applyBorder="1" applyAlignment="1">
      <alignment vertical="center"/>
    </xf>
    <xf numFmtId="4" fontId="11" fillId="0" borderId="111" xfId="0" applyNumberFormat="1" applyFont="1" applyFill="1" applyBorder="1" applyAlignment="1">
      <alignment horizontal="center" vertical="center"/>
    </xf>
    <xf numFmtId="164" fontId="2" fillId="0" borderId="0" xfId="98" applyNumberFormat="1" applyFont="1" applyFill="1" applyBorder="1" applyAlignment="1">
      <alignment wrapText="1"/>
      <protection/>
    </xf>
    <xf numFmtId="0" fontId="2" fillId="0" borderId="112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98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3" fillId="0" borderId="113" xfId="88" applyNumberFormat="1" applyFont="1" applyFill="1" applyBorder="1" applyAlignment="1">
      <alignment horizontal="right"/>
      <protection/>
    </xf>
    <xf numFmtId="3" fontId="4" fillId="0" borderId="114" xfId="87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wrapText="1" indent="1"/>
    </xf>
    <xf numFmtId="3" fontId="4" fillId="0" borderId="0" xfId="88" applyNumberFormat="1" applyFont="1" applyFill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24" xfId="88" applyNumberFormat="1" applyFont="1" applyFill="1" applyBorder="1" applyAlignment="1">
      <alignment horizontal="center" vertical="center"/>
      <protection/>
    </xf>
    <xf numFmtId="3" fontId="13" fillId="0" borderId="30" xfId="88" applyNumberFormat="1" applyFont="1" applyFill="1" applyBorder="1" applyAlignment="1">
      <alignment wrapText="1"/>
      <protection/>
    </xf>
    <xf numFmtId="3" fontId="13" fillId="0" borderId="25" xfId="88" applyNumberFormat="1" applyFont="1" applyFill="1" applyBorder="1" applyAlignment="1">
      <alignment wrapText="1"/>
      <protection/>
    </xf>
    <xf numFmtId="3" fontId="13" fillId="0" borderId="24" xfId="88" applyNumberFormat="1" applyFont="1" applyFill="1" applyBorder="1" applyAlignment="1">
      <alignment horizontal="center"/>
      <protection/>
    </xf>
    <xf numFmtId="3" fontId="16" fillId="0" borderId="24" xfId="88" applyNumberFormat="1" applyFont="1" applyFill="1" applyBorder="1" applyAlignment="1">
      <alignment horizontal="center" vertical="center"/>
      <protection/>
    </xf>
    <xf numFmtId="3" fontId="13" fillId="0" borderId="25" xfId="88" applyNumberFormat="1" applyFont="1" applyFill="1" applyBorder="1" applyAlignment="1">
      <alignment shrinkToFit="1"/>
      <protection/>
    </xf>
    <xf numFmtId="3" fontId="13" fillId="0" borderId="25" xfId="88" applyNumberFormat="1" applyFont="1" applyFill="1" applyBorder="1" applyAlignment="1">
      <alignment horizontal="left" wrapText="1"/>
      <protection/>
    </xf>
    <xf numFmtId="1" fontId="18" fillId="0" borderId="0" xfId="88" applyNumberFormat="1" applyFont="1" applyFill="1" applyBorder="1" applyAlignment="1">
      <alignment horizontal="center" vertical="center"/>
      <protection/>
    </xf>
    <xf numFmtId="1" fontId="18" fillId="0" borderId="0" xfId="88" applyNumberFormat="1" applyFont="1" applyFill="1" applyBorder="1" applyAlignment="1">
      <alignment horizontal="left" vertical="center"/>
      <protection/>
    </xf>
    <xf numFmtId="3" fontId="2" fillId="0" borderId="0" xfId="101" applyNumberFormat="1" applyFont="1" applyFill="1" applyBorder="1" applyAlignment="1">
      <alignment vertical="center"/>
      <protection/>
    </xf>
    <xf numFmtId="0" fontId="5" fillId="0" borderId="0" xfId="101" applyFont="1" applyFill="1" applyBorder="1" applyAlignment="1">
      <alignment horizontal="right" vertical="center"/>
      <protection/>
    </xf>
    <xf numFmtId="0" fontId="2" fillId="0" borderId="15" xfId="101" applyFont="1" applyFill="1" applyBorder="1" applyAlignment="1">
      <alignment horizontal="center" vertical="center"/>
      <protection/>
    </xf>
    <xf numFmtId="0" fontId="2" fillId="0" borderId="0" xfId="89" applyFont="1" applyFill="1" applyBorder="1" applyAlignment="1">
      <alignment vertical="center"/>
      <protection/>
    </xf>
    <xf numFmtId="0" fontId="2" fillId="0" borderId="0" xfId="100" applyFont="1" applyFill="1" applyBorder="1" applyAlignment="1">
      <alignment vertical="center"/>
      <protection/>
    </xf>
    <xf numFmtId="3" fontId="2" fillId="0" borderId="25" xfId="100" applyNumberFormat="1" applyFont="1" applyFill="1" applyBorder="1" applyAlignment="1">
      <alignment vertical="center"/>
      <protection/>
    </xf>
    <xf numFmtId="3" fontId="2" fillId="0" borderId="25" xfId="101" applyNumberFormat="1" applyFont="1" applyFill="1" applyBorder="1" applyAlignment="1">
      <alignment vertical="center"/>
      <protection/>
    </xf>
    <xf numFmtId="3" fontId="2" fillId="0" borderId="25" xfId="101" applyNumberFormat="1" applyFont="1" applyFill="1" applyBorder="1" applyAlignment="1">
      <alignment horizontal="right" vertical="center" wrapText="1"/>
      <protection/>
    </xf>
    <xf numFmtId="0" fontId="2" fillId="0" borderId="0" xfId="101" applyFont="1" applyFill="1" applyBorder="1" applyAlignment="1">
      <alignment vertical="center" wrapText="1"/>
      <protection/>
    </xf>
    <xf numFmtId="3" fontId="10" fillId="0" borderId="59" xfId="88" applyNumberFormat="1" applyFont="1" applyFill="1" applyBorder="1" applyAlignment="1">
      <alignment horizontal="center"/>
      <protection/>
    </xf>
    <xf numFmtId="3" fontId="12" fillId="0" borderId="59" xfId="88" applyNumberFormat="1" applyFont="1" applyFill="1" applyBorder="1" applyAlignment="1">
      <alignment horizontal="center"/>
      <protection/>
    </xf>
    <xf numFmtId="3" fontId="10" fillId="0" borderId="75" xfId="88" applyNumberFormat="1" applyFont="1" applyFill="1" applyBorder="1" applyAlignment="1">
      <alignment horizontal="center"/>
      <protection/>
    </xf>
    <xf numFmtId="3" fontId="10" fillId="0" borderId="115" xfId="0" applyNumberFormat="1" applyFont="1" applyFill="1" applyBorder="1" applyAlignment="1">
      <alignment horizontal="center" wrapText="1"/>
    </xf>
    <xf numFmtId="3" fontId="10" fillId="0" borderId="59" xfId="0" applyNumberFormat="1" applyFont="1" applyFill="1" applyBorder="1" applyAlignment="1">
      <alignment horizontal="center" wrapText="1"/>
    </xf>
    <xf numFmtId="0" fontId="2" fillId="0" borderId="0" xfId="93" applyFont="1" applyFill="1" applyBorder="1" applyAlignment="1">
      <alignment horizontal="center" vertical="top"/>
      <protection/>
    </xf>
    <xf numFmtId="0" fontId="4" fillId="0" borderId="0" xfId="93" applyFont="1" applyFill="1" applyBorder="1" applyAlignment="1">
      <alignment vertical="top"/>
      <protection/>
    </xf>
    <xf numFmtId="0" fontId="2" fillId="0" borderId="0" xfId="93" applyFont="1" applyFill="1" applyBorder="1" applyAlignment="1">
      <alignment vertical="top"/>
      <protection/>
    </xf>
    <xf numFmtId="0" fontId="2" fillId="0" borderId="0" xfId="93" applyFont="1" applyFill="1" applyBorder="1" applyAlignment="1">
      <alignment/>
      <protection/>
    </xf>
    <xf numFmtId="0" fontId="2" fillId="0" borderId="0" xfId="93" applyFont="1" applyFill="1" applyBorder="1" applyAlignment="1">
      <alignment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4" fillId="0" borderId="0" xfId="93" applyFont="1" applyFill="1" applyBorder="1" applyAlignment="1">
      <alignment horizontal="right" vertical="center"/>
      <protection/>
    </xf>
    <xf numFmtId="0" fontId="4" fillId="0" borderId="0" xfId="93" applyFont="1" applyFill="1" applyBorder="1" applyAlignment="1">
      <alignment vertical="center"/>
      <protection/>
    </xf>
    <xf numFmtId="3" fontId="4" fillId="0" borderId="116" xfId="87" applyNumberFormat="1" applyFont="1" applyFill="1" applyBorder="1" applyAlignment="1">
      <alignment horizontal="right" wrapText="1"/>
      <protection/>
    </xf>
    <xf numFmtId="3" fontId="2" fillId="0" borderId="0" xfId="93" applyNumberFormat="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10" fillId="0" borderId="25" xfId="98" applyNumberFormat="1" applyFont="1" applyFill="1" applyBorder="1" applyAlignment="1">
      <alignment horizontal="center" vertical="center" wrapText="1"/>
      <protection/>
    </xf>
    <xf numFmtId="3" fontId="12" fillId="0" borderId="0" xfId="88" applyNumberFormat="1" applyFont="1" applyFill="1" applyAlignment="1">
      <alignment horizontal="center" vertical="center"/>
      <protection/>
    </xf>
    <xf numFmtId="3" fontId="10" fillId="0" borderId="0" xfId="88" applyNumberFormat="1" applyFont="1" applyFill="1" applyAlignment="1">
      <alignment horizontal="center" vertical="center"/>
      <protection/>
    </xf>
    <xf numFmtId="49" fontId="6" fillId="0" borderId="27" xfId="0" applyNumberFormat="1" applyFont="1" applyFill="1" applyBorder="1" applyAlignment="1">
      <alignment horizontal="center" wrapText="1"/>
    </xf>
    <xf numFmtId="0" fontId="2" fillId="0" borderId="24" xfId="101" applyFont="1" applyFill="1" applyBorder="1" applyAlignment="1">
      <alignment horizontal="center"/>
      <protection/>
    </xf>
    <xf numFmtId="3" fontId="12" fillId="0" borderId="32" xfId="88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0" fontId="2" fillId="0" borderId="0" xfId="93" applyFont="1" applyFill="1" applyBorder="1" applyAlignment="1">
      <alignment horizontal="center"/>
      <protection/>
    </xf>
    <xf numFmtId="0" fontId="2" fillId="0" borderId="107" xfId="97" applyFont="1" applyFill="1" applyBorder="1" applyAlignment="1">
      <alignment horizontal="center" vertical="center" wrapText="1"/>
      <protection/>
    </xf>
    <xf numFmtId="3" fontId="2" fillId="0" borderId="0" xfId="72" applyNumberFormat="1" applyFont="1" applyFill="1" applyBorder="1" applyAlignment="1">
      <alignment horizontal="center" vertical="center"/>
      <protection/>
    </xf>
    <xf numFmtId="3" fontId="2" fillId="0" borderId="0" xfId="72" applyNumberFormat="1" applyFont="1" applyFill="1" applyBorder="1" applyAlignment="1">
      <alignment horizontal="right"/>
      <protection/>
    </xf>
    <xf numFmtId="0" fontId="2" fillId="0" borderId="0" xfId="72" applyFont="1" applyFill="1" applyBorder="1">
      <alignment/>
      <protection/>
    </xf>
    <xf numFmtId="3" fontId="2" fillId="0" borderId="117" xfId="92" applyNumberFormat="1" applyFont="1" applyBorder="1" applyAlignment="1">
      <alignment horizontal="center" vertical="center" wrapText="1"/>
      <protection/>
    </xf>
    <xf numFmtId="3" fontId="2" fillId="0" borderId="118" xfId="92" applyNumberFormat="1" applyFont="1" applyBorder="1" applyAlignment="1">
      <alignment horizontal="right" vertical="center" wrapText="1"/>
      <protection/>
    </xf>
    <xf numFmtId="3" fontId="2" fillId="0" borderId="52" xfId="100" applyNumberFormat="1" applyFont="1" applyFill="1" applyBorder="1" applyAlignment="1">
      <alignment vertical="center" wrapText="1"/>
      <protection/>
    </xf>
    <xf numFmtId="3" fontId="2" fillId="0" borderId="25" xfId="100" applyNumberFormat="1" applyFont="1" applyFill="1" applyBorder="1" applyAlignment="1">
      <alignment vertical="center" wrapText="1"/>
      <protection/>
    </xf>
    <xf numFmtId="164" fontId="2" fillId="0" borderId="119" xfId="98" applyNumberFormat="1" applyFont="1" applyFill="1" applyBorder="1" applyAlignment="1">
      <alignment wrapText="1"/>
      <protection/>
    </xf>
    <xf numFmtId="4" fontId="2" fillId="0" borderId="119" xfId="0" applyNumberFormat="1" applyFont="1" applyFill="1" applyBorder="1" applyAlignment="1">
      <alignment vertical="center"/>
    </xf>
    <xf numFmtId="4" fontId="6" fillId="0" borderId="120" xfId="0" applyNumberFormat="1" applyFont="1" applyFill="1" applyBorder="1" applyAlignment="1">
      <alignment horizontal="center" vertical="center"/>
    </xf>
    <xf numFmtId="3" fontId="2" fillId="0" borderId="0" xfId="87" applyNumberFormat="1" applyFont="1" applyFill="1" applyBorder="1" applyAlignment="1">
      <alignment horizontal="left" wrapText="1" indent="3"/>
      <protection/>
    </xf>
    <xf numFmtId="3" fontId="2" fillId="0" borderId="0" xfId="87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2" fillId="0" borderId="121" xfId="100" applyNumberFormat="1" applyFont="1" applyFill="1" applyBorder="1" applyAlignment="1">
      <alignment vertical="center"/>
      <protection/>
    </xf>
    <xf numFmtId="3" fontId="2" fillId="0" borderId="122" xfId="100" applyNumberFormat="1" applyFont="1" applyFill="1" applyBorder="1" applyAlignment="1">
      <alignment vertical="center"/>
      <protection/>
    </xf>
    <xf numFmtId="3" fontId="2" fillId="0" borderId="122" xfId="101" applyNumberFormat="1" applyFont="1" applyFill="1" applyBorder="1" applyAlignment="1">
      <alignment vertical="center"/>
      <protection/>
    </xf>
    <xf numFmtId="3" fontId="2" fillId="0" borderId="122" xfId="101" applyNumberFormat="1" applyFont="1" applyFill="1" applyBorder="1" applyAlignment="1">
      <alignment horizontal="right" vertical="center" wrapText="1"/>
      <protection/>
    </xf>
    <xf numFmtId="3" fontId="2" fillId="0" borderId="123" xfId="101" applyNumberFormat="1" applyFont="1" applyFill="1" applyBorder="1" applyAlignment="1">
      <alignment horizontal="right" vertical="center" wrapText="1"/>
      <protection/>
    </xf>
    <xf numFmtId="3" fontId="4" fillId="0" borderId="124" xfId="101" applyNumberFormat="1" applyFont="1" applyFill="1" applyBorder="1" applyAlignment="1">
      <alignment horizontal="right" vertical="center" wrapText="1"/>
      <protection/>
    </xf>
    <xf numFmtId="3" fontId="2" fillId="0" borderId="53" xfId="100" applyNumberFormat="1" applyFont="1" applyFill="1" applyBorder="1" applyAlignment="1">
      <alignment vertical="center"/>
      <protection/>
    </xf>
    <xf numFmtId="3" fontId="2" fillId="0" borderId="26" xfId="100" applyNumberFormat="1" applyFont="1" applyFill="1" applyBorder="1" applyAlignment="1">
      <alignment vertical="center"/>
      <protection/>
    </xf>
    <xf numFmtId="3" fontId="2" fillId="0" borderId="26" xfId="101" applyNumberFormat="1" applyFont="1" applyFill="1" applyBorder="1" applyAlignment="1">
      <alignment vertical="center"/>
      <protection/>
    </xf>
    <xf numFmtId="3" fontId="2" fillId="0" borderId="26" xfId="101" applyNumberFormat="1" applyFont="1" applyFill="1" applyBorder="1" applyAlignment="1">
      <alignment horizontal="right" vertical="center" wrapText="1"/>
      <protection/>
    </xf>
    <xf numFmtId="3" fontId="12" fillId="0" borderId="32" xfId="88" applyNumberFormat="1" applyFont="1" applyFill="1" applyBorder="1" applyAlignment="1">
      <alignment horizontal="center"/>
      <protection/>
    </xf>
    <xf numFmtId="3" fontId="5" fillId="0" borderId="0" xfId="88" applyNumberFormat="1" applyFont="1" applyFill="1" applyAlignment="1">
      <alignment horizontal="center"/>
      <protection/>
    </xf>
    <xf numFmtId="0" fontId="6" fillId="0" borderId="0" xfId="88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5" fillId="0" borderId="0" xfId="93" applyFont="1" applyFill="1" applyBorder="1" applyAlignment="1">
      <alignment horizontal="right" vertical="center" wrapText="1"/>
      <protection/>
    </xf>
    <xf numFmtId="0" fontId="2" fillId="0" borderId="125" xfId="94" applyFont="1" applyFill="1" applyBorder="1" applyAlignment="1">
      <alignment horizontal="center" vertical="center" wrapText="1"/>
      <protection/>
    </xf>
    <xf numFmtId="3" fontId="2" fillId="0" borderId="35" xfId="96" applyNumberFormat="1" applyFont="1" applyFill="1" applyBorder="1" applyAlignment="1">
      <alignment horizontal="right" vertical="center"/>
      <protection/>
    </xf>
    <xf numFmtId="3" fontId="4" fillId="0" borderId="126" xfId="97" applyNumberFormat="1" applyFont="1" applyFill="1" applyBorder="1" applyAlignment="1">
      <alignment vertical="center"/>
      <protection/>
    </xf>
    <xf numFmtId="0" fontId="4" fillId="0" borderId="0" xfId="101" applyFont="1" applyFill="1" applyBorder="1" applyAlignment="1">
      <alignment vertical="center" wrapText="1"/>
      <protection/>
    </xf>
    <xf numFmtId="3" fontId="13" fillId="0" borderId="113" xfId="98" applyNumberFormat="1" applyFont="1" applyFill="1" applyBorder="1" applyAlignment="1">
      <alignment horizontal="left"/>
      <protection/>
    </xf>
    <xf numFmtId="3" fontId="10" fillId="0" borderId="122" xfId="98" applyNumberFormat="1" applyFont="1" applyFill="1" applyBorder="1" applyAlignment="1">
      <alignment horizontal="left"/>
      <protection/>
    </xf>
    <xf numFmtId="3" fontId="10" fillId="0" borderId="122" xfId="98" applyNumberFormat="1" applyFont="1" applyFill="1" applyBorder="1" applyAlignment="1">
      <alignment/>
      <protection/>
    </xf>
    <xf numFmtId="3" fontId="13" fillId="0" borderId="122" xfId="98" applyNumberFormat="1" applyFont="1" applyFill="1" applyBorder="1" applyAlignment="1">
      <alignment horizontal="left"/>
      <protection/>
    </xf>
    <xf numFmtId="3" fontId="13" fillId="0" borderId="122" xfId="98" applyNumberFormat="1" applyFont="1" applyFill="1" applyBorder="1" applyAlignment="1">
      <alignment/>
      <protection/>
    </xf>
    <xf numFmtId="3" fontId="13" fillId="0" borderId="113" xfId="98" applyNumberFormat="1" applyFont="1" applyFill="1" applyBorder="1" applyAlignment="1">
      <alignment/>
      <protection/>
    </xf>
    <xf numFmtId="3" fontId="13" fillId="0" borderId="113" xfId="98" applyNumberFormat="1" applyFont="1" applyFill="1" applyBorder="1" applyAlignment="1">
      <alignment wrapText="1"/>
      <protection/>
    </xf>
    <xf numFmtId="3" fontId="13" fillId="0" borderId="122" xfId="98" applyNumberFormat="1" applyFont="1" applyFill="1" applyBorder="1" applyAlignment="1">
      <alignment wrapText="1"/>
      <protection/>
    </xf>
    <xf numFmtId="3" fontId="13" fillId="0" borderId="127" xfId="98" applyNumberFormat="1" applyFont="1" applyFill="1" applyBorder="1" applyAlignment="1">
      <alignment horizontal="left"/>
      <protection/>
    </xf>
    <xf numFmtId="3" fontId="10" fillId="0" borderId="128" xfId="98" applyNumberFormat="1" applyFont="1" applyFill="1" applyBorder="1" applyAlignment="1">
      <alignment horizontal="left"/>
      <protection/>
    </xf>
    <xf numFmtId="3" fontId="13" fillId="0" borderId="77" xfId="98" applyNumberFormat="1" applyFont="1" applyFill="1" applyBorder="1" applyAlignment="1">
      <alignment wrapText="1"/>
      <protection/>
    </xf>
    <xf numFmtId="3" fontId="13" fillId="0" borderId="129" xfId="98" applyNumberFormat="1" applyFont="1" applyFill="1" applyBorder="1" applyAlignment="1">
      <alignment wrapText="1"/>
      <protection/>
    </xf>
    <xf numFmtId="3" fontId="13" fillId="0" borderId="121" xfId="98" applyNumberFormat="1" applyFont="1" applyFill="1" applyBorder="1" applyAlignment="1">
      <alignment wrapText="1"/>
      <protection/>
    </xf>
    <xf numFmtId="3" fontId="13" fillId="0" borderId="77" xfId="98" applyNumberFormat="1" applyFont="1" applyFill="1" applyBorder="1" applyAlignment="1">
      <alignment/>
      <protection/>
    </xf>
    <xf numFmtId="3" fontId="10" fillId="0" borderId="117" xfId="0" applyNumberFormat="1" applyFont="1" applyFill="1" applyBorder="1" applyAlignment="1">
      <alignment horizontal="center" vertical="center"/>
    </xf>
    <xf numFmtId="3" fontId="16" fillId="0" borderId="117" xfId="0" applyNumberFormat="1" applyFont="1" applyFill="1" applyBorder="1" applyAlignment="1">
      <alignment horizontal="center" vertical="center"/>
    </xf>
    <xf numFmtId="3" fontId="10" fillId="0" borderId="117" xfId="0" applyNumberFormat="1" applyFont="1" applyFill="1" applyBorder="1" applyAlignment="1">
      <alignment horizontal="center" vertical="top"/>
    </xf>
    <xf numFmtId="3" fontId="10" fillId="0" borderId="109" xfId="0" applyNumberFormat="1" applyFont="1" applyFill="1" applyBorder="1" applyAlignment="1">
      <alignment horizontal="center" vertical="center"/>
    </xf>
    <xf numFmtId="3" fontId="10" fillId="0" borderId="130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31" xfId="0" applyNumberFormat="1" applyFont="1" applyFill="1" applyBorder="1" applyAlignment="1">
      <alignment vertical="center" wrapText="1"/>
    </xf>
    <xf numFmtId="3" fontId="10" fillId="0" borderId="121" xfId="0" applyNumberFormat="1" applyFont="1" applyFill="1" applyBorder="1" applyAlignment="1">
      <alignment horizontal="center"/>
    </xf>
    <xf numFmtId="3" fontId="10" fillId="0" borderId="122" xfId="0" applyNumberFormat="1" applyFont="1" applyFill="1" applyBorder="1" applyAlignment="1">
      <alignment horizontal="center"/>
    </xf>
    <xf numFmtId="3" fontId="10" fillId="0" borderId="122" xfId="0" applyNumberFormat="1" applyFont="1" applyFill="1" applyBorder="1" applyAlignment="1">
      <alignment horizontal="center" vertical="top"/>
    </xf>
    <xf numFmtId="3" fontId="10" fillId="0" borderId="113" xfId="0" applyNumberFormat="1" applyFont="1" applyFill="1" applyBorder="1" applyAlignment="1">
      <alignment horizontal="center"/>
    </xf>
    <xf numFmtId="3" fontId="13" fillId="0" borderId="75" xfId="0" applyNumberFormat="1" applyFont="1" applyFill="1" applyBorder="1" applyAlignment="1">
      <alignment/>
    </xf>
    <xf numFmtId="3" fontId="13" fillId="0" borderId="77" xfId="0" applyNumberFormat="1" applyFont="1" applyFill="1" applyBorder="1" applyAlignment="1">
      <alignment/>
    </xf>
    <xf numFmtId="3" fontId="10" fillId="0" borderId="122" xfId="98" applyNumberFormat="1" applyFont="1" applyFill="1" applyBorder="1" applyAlignment="1">
      <alignment wrapText="1"/>
      <protection/>
    </xf>
    <xf numFmtId="3" fontId="13" fillId="0" borderId="129" xfId="0" applyNumberFormat="1" applyFont="1" applyFill="1" applyBorder="1" applyAlignment="1">
      <alignment/>
    </xf>
    <xf numFmtId="3" fontId="10" fillId="0" borderId="29" xfId="98" applyNumberFormat="1" applyFont="1" applyFill="1" applyBorder="1" applyAlignment="1">
      <alignment/>
      <protection/>
    </xf>
    <xf numFmtId="3" fontId="10" fillId="0" borderId="25" xfId="98" applyNumberFormat="1" applyFont="1" applyFill="1" applyBorder="1" applyAlignment="1">
      <alignment vertical="top" wrapText="1"/>
      <protection/>
    </xf>
    <xf numFmtId="3" fontId="16" fillId="0" borderId="3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0" fillId="0" borderId="132" xfId="0" applyNumberFormat="1" applyFont="1" applyFill="1" applyBorder="1" applyAlignment="1">
      <alignment vertical="center"/>
    </xf>
    <xf numFmtId="3" fontId="13" fillId="0" borderId="133" xfId="0" applyNumberFormat="1" applyFont="1" applyFill="1" applyBorder="1" applyAlignment="1">
      <alignment vertical="center"/>
    </xf>
    <xf numFmtId="3" fontId="10" fillId="0" borderId="0" xfId="72" applyNumberFormat="1" applyFont="1" applyFill="1" applyBorder="1" applyAlignment="1">
      <alignment horizontal="center" vertical="center"/>
      <protection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101" applyNumberFormat="1" applyFont="1" applyFill="1" applyBorder="1" applyAlignment="1">
      <alignment horizontal="right"/>
      <protection/>
    </xf>
    <xf numFmtId="0" fontId="10" fillId="0" borderId="0" xfId="101" applyFont="1" applyFill="1" applyBorder="1">
      <alignment/>
      <protection/>
    </xf>
    <xf numFmtId="0" fontId="10" fillId="0" borderId="0" xfId="101" applyFont="1" applyFill="1" applyBorder="1" applyAlignment="1">
      <alignment horizontal="center" vertical="center"/>
      <protection/>
    </xf>
    <xf numFmtId="0" fontId="10" fillId="0" borderId="0" xfId="101" applyFont="1" applyFill="1" applyBorder="1" applyAlignment="1">
      <alignment horizontal="center" vertical="top"/>
      <protection/>
    </xf>
    <xf numFmtId="0" fontId="10" fillId="0" borderId="0" xfId="101" applyFont="1" applyFill="1" applyBorder="1" applyAlignment="1">
      <alignment wrapText="1"/>
      <protection/>
    </xf>
    <xf numFmtId="3" fontId="10" fillId="0" borderId="0" xfId="101" applyNumberFormat="1" applyFont="1" applyFill="1" applyBorder="1" applyAlignment="1">
      <alignment horizontal="center" vertical="center" wrapText="1"/>
      <protection/>
    </xf>
    <xf numFmtId="3" fontId="12" fillId="0" borderId="0" xfId="101" applyNumberFormat="1" applyFont="1" applyFill="1" applyBorder="1" applyAlignment="1">
      <alignment horizontal="right"/>
      <protection/>
    </xf>
    <xf numFmtId="3" fontId="10" fillId="0" borderId="30" xfId="101" applyNumberFormat="1" applyFont="1" applyFill="1" applyBorder="1" applyAlignment="1">
      <alignment horizontal="right" vertical="center"/>
      <protection/>
    </xf>
    <xf numFmtId="3" fontId="10" fillId="0" borderId="31" xfId="101" applyNumberFormat="1" applyFont="1" applyFill="1" applyBorder="1" applyAlignment="1">
      <alignment horizontal="right" vertical="center"/>
      <protection/>
    </xf>
    <xf numFmtId="3" fontId="10" fillId="0" borderId="0" xfId="72" applyNumberFormat="1" applyFont="1" applyFill="1" applyBorder="1" applyAlignment="1">
      <alignment horizontal="left" vertical="top"/>
      <protection/>
    </xf>
    <xf numFmtId="3" fontId="10" fillId="0" borderId="0" xfId="102" applyNumberFormat="1" applyFont="1" applyFill="1" applyBorder="1" applyAlignment="1">
      <alignment horizontal="right"/>
      <protection/>
    </xf>
    <xf numFmtId="3" fontId="10" fillId="0" borderId="0" xfId="102" applyNumberFormat="1" applyFont="1" applyFill="1" applyBorder="1" applyAlignment="1">
      <alignment horizontal="right" wrapText="1"/>
      <protection/>
    </xf>
    <xf numFmtId="3" fontId="10" fillId="0" borderId="0" xfId="101" applyNumberFormat="1" applyFont="1" applyFill="1" applyBorder="1" applyAlignment="1">
      <alignment horizontal="right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6" fillId="0" borderId="0" xfId="101" applyFont="1" applyFill="1" applyBorder="1" applyAlignment="1">
      <alignment horizontal="center" vertical="center"/>
      <protection/>
    </xf>
    <xf numFmtId="3" fontId="6" fillId="0" borderId="0" xfId="101" applyNumberFormat="1" applyFont="1" applyFill="1" applyBorder="1" applyAlignment="1">
      <alignment horizontal="center" vertical="center"/>
      <protection/>
    </xf>
    <xf numFmtId="0" fontId="10" fillId="0" borderId="0" xfId="101" applyFont="1" applyFill="1" applyBorder="1" applyAlignment="1">
      <alignment vertical="center"/>
      <protection/>
    </xf>
    <xf numFmtId="3" fontId="16" fillId="0" borderId="23" xfId="0" applyNumberFormat="1" applyFont="1" applyFill="1" applyBorder="1" applyAlignment="1">
      <alignment vertical="center"/>
    </xf>
    <xf numFmtId="3" fontId="16" fillId="0" borderId="134" xfId="0" applyNumberFormat="1" applyFont="1" applyFill="1" applyBorder="1" applyAlignment="1">
      <alignment vertical="center"/>
    </xf>
    <xf numFmtId="3" fontId="16" fillId="0" borderId="135" xfId="0" applyNumberFormat="1" applyFont="1" applyFill="1" applyBorder="1" applyAlignment="1">
      <alignment vertical="center"/>
    </xf>
    <xf numFmtId="3" fontId="16" fillId="0" borderId="115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34" xfId="0" applyNumberFormat="1" applyFont="1" applyFill="1" applyBorder="1" applyAlignment="1">
      <alignment horizontal="right" vertical="center"/>
    </xf>
    <xf numFmtId="3" fontId="16" fillId="0" borderId="23" xfId="98" applyNumberFormat="1" applyFont="1" applyFill="1" applyBorder="1" applyAlignment="1">
      <alignment horizontal="center" vertical="center"/>
      <protection/>
    </xf>
    <xf numFmtId="3" fontId="16" fillId="0" borderId="136" xfId="0" applyNumberFormat="1" applyFont="1" applyFill="1" applyBorder="1" applyAlignment="1">
      <alignment horizontal="right" vertical="center"/>
    </xf>
    <xf numFmtId="3" fontId="10" fillId="0" borderId="127" xfId="92" applyNumberFormat="1" applyFont="1" applyBorder="1" applyAlignment="1">
      <alignment horizontal="left" vertical="center" wrapText="1"/>
      <protection/>
    </xf>
    <xf numFmtId="3" fontId="10" fillId="0" borderId="30" xfId="91" applyNumberFormat="1" applyFont="1" applyFill="1" applyBorder="1" applyAlignment="1">
      <alignment horizontal="right" vertical="center"/>
      <protection/>
    </xf>
    <xf numFmtId="3" fontId="10" fillId="0" borderId="137" xfId="101" applyNumberFormat="1" applyFont="1" applyFill="1" applyBorder="1" applyAlignment="1">
      <alignment horizontal="right" vertical="center"/>
      <protection/>
    </xf>
    <xf numFmtId="0" fontId="10" fillId="0" borderId="24" xfId="101" applyFont="1" applyFill="1" applyBorder="1" applyAlignment="1">
      <alignment horizontal="center" vertical="center"/>
      <protection/>
    </xf>
    <xf numFmtId="0" fontId="10" fillId="0" borderId="25" xfId="101" applyFont="1" applyFill="1" applyBorder="1" applyAlignment="1">
      <alignment horizontal="center"/>
      <protection/>
    </xf>
    <xf numFmtId="3" fontId="10" fillId="0" borderId="25" xfId="101" applyNumberFormat="1" applyFont="1" applyFill="1" applyBorder="1" applyAlignment="1">
      <alignment horizontal="right" vertical="center"/>
      <protection/>
    </xf>
    <xf numFmtId="3" fontId="10" fillId="0" borderId="25" xfId="91" applyNumberFormat="1" applyFont="1" applyFill="1" applyBorder="1" applyAlignment="1">
      <alignment horizontal="right" vertical="center"/>
      <protection/>
    </xf>
    <xf numFmtId="3" fontId="10" fillId="0" borderId="29" xfId="101" applyNumberFormat="1" applyFont="1" applyFill="1" applyBorder="1" applyAlignment="1">
      <alignment horizontal="right" vertical="center"/>
      <protection/>
    </xf>
    <xf numFmtId="3" fontId="10" fillId="0" borderId="138" xfId="101" applyNumberFormat="1" applyFont="1" applyFill="1" applyBorder="1" applyAlignment="1">
      <alignment horizontal="right" vertical="center"/>
      <protection/>
    </xf>
    <xf numFmtId="0" fontId="10" fillId="0" borderId="25" xfId="101" applyFont="1" applyFill="1" applyBorder="1" applyAlignment="1">
      <alignment horizontal="center" vertical="top"/>
      <protection/>
    </xf>
    <xf numFmtId="0" fontId="6" fillId="0" borderId="0" xfId="102" applyFont="1" applyFill="1" applyBorder="1" applyAlignment="1">
      <alignment horizontal="center" vertical="center" wrapText="1"/>
      <protection/>
    </xf>
    <xf numFmtId="3" fontId="6" fillId="0" borderId="0" xfId="102" applyNumberFormat="1" applyFont="1" applyFill="1" applyBorder="1" applyAlignment="1">
      <alignment horizontal="center" vertical="center"/>
      <protection/>
    </xf>
    <xf numFmtId="3" fontId="10" fillId="0" borderId="16" xfId="101" applyNumberFormat="1" applyFont="1" applyFill="1" applyBorder="1" applyAlignment="1">
      <alignment horizontal="center" vertical="center" wrapText="1"/>
      <protection/>
    </xf>
    <xf numFmtId="3" fontId="10" fillId="0" borderId="52" xfId="91" applyNumberFormat="1" applyFont="1" applyFill="1" applyBorder="1" applyAlignment="1">
      <alignment horizontal="right" vertical="center" wrapText="1"/>
      <protection/>
    </xf>
    <xf numFmtId="3" fontId="10" fillId="0" borderId="139" xfId="91" applyNumberFormat="1" applyFont="1" applyFill="1" applyBorder="1" applyAlignment="1">
      <alignment horizontal="right" vertical="center" wrapText="1"/>
      <protection/>
    </xf>
    <xf numFmtId="3" fontId="10" fillId="0" borderId="25" xfId="91" applyNumberFormat="1" applyFont="1" applyFill="1" applyBorder="1" applyAlignment="1">
      <alignment horizontal="right" vertical="center" wrapText="1"/>
      <protection/>
    </xf>
    <xf numFmtId="3" fontId="10" fillId="0" borderId="140" xfId="91" applyNumberFormat="1" applyFont="1" applyFill="1" applyBorder="1" applyAlignment="1">
      <alignment horizontal="right" vertical="center" wrapText="1"/>
      <protection/>
    </xf>
    <xf numFmtId="3" fontId="10" fillId="0" borderId="140" xfId="101" applyNumberFormat="1" applyFont="1" applyFill="1" applyBorder="1" applyAlignment="1">
      <alignment horizontal="right" vertical="center"/>
      <protection/>
    </xf>
    <xf numFmtId="0" fontId="10" fillId="0" borderId="0" xfId="101" applyFont="1" applyFill="1" applyBorder="1" applyAlignment="1">
      <alignment horizontal="center"/>
      <protection/>
    </xf>
    <xf numFmtId="3" fontId="2" fillId="0" borderId="0" xfId="72" applyNumberFormat="1" applyFont="1" applyFill="1" applyBorder="1" applyAlignment="1">
      <alignment horizontal="center"/>
      <protection/>
    </xf>
    <xf numFmtId="0" fontId="2" fillId="0" borderId="0" xfId="72" applyFont="1" applyFill="1" applyBorder="1" applyAlignment="1">
      <alignment/>
      <protection/>
    </xf>
    <xf numFmtId="3" fontId="2" fillId="0" borderId="0" xfId="101" applyNumberFormat="1" applyFont="1" applyFill="1" applyBorder="1" applyAlignment="1">
      <alignment horizontal="center" wrapText="1"/>
      <protection/>
    </xf>
    <xf numFmtId="3" fontId="2" fillId="0" borderId="16" xfId="101" applyNumberFormat="1" applyFont="1" applyFill="1" applyBorder="1" applyAlignment="1">
      <alignment horizontal="center" vertical="center" wrapText="1"/>
      <protection/>
    </xf>
    <xf numFmtId="3" fontId="2" fillId="0" borderId="14" xfId="101" applyNumberFormat="1" applyFont="1" applyFill="1" applyBorder="1" applyAlignment="1">
      <alignment horizontal="center" vertical="center" wrapText="1"/>
      <protection/>
    </xf>
    <xf numFmtId="0" fontId="4" fillId="0" borderId="32" xfId="101" applyFont="1" applyFill="1" applyBorder="1" applyAlignment="1">
      <alignment horizontal="center"/>
      <protection/>
    </xf>
    <xf numFmtId="3" fontId="4" fillId="0" borderId="141" xfId="91" applyNumberFormat="1" applyFont="1" applyFill="1" applyBorder="1" applyAlignment="1">
      <alignment horizontal="right" wrapText="1"/>
      <protection/>
    </xf>
    <xf numFmtId="0" fontId="4" fillId="0" borderId="0" xfId="101" applyFont="1" applyFill="1" applyBorder="1" applyAlignment="1">
      <alignment/>
      <protection/>
    </xf>
    <xf numFmtId="3" fontId="2" fillId="0" borderId="137" xfId="101" applyNumberFormat="1" applyFont="1" applyFill="1" applyBorder="1" applyAlignment="1">
      <alignment horizontal="right"/>
      <protection/>
    </xf>
    <xf numFmtId="0" fontId="2" fillId="0" borderId="25" xfId="91" applyFont="1" applyFill="1" applyBorder="1" applyAlignment="1">
      <alignment horizontal="left"/>
      <protection/>
    </xf>
    <xf numFmtId="3" fontId="2" fillId="0" borderId="25" xfId="91" applyNumberFormat="1" applyFont="1" applyFill="1" applyBorder="1" applyAlignment="1">
      <alignment horizontal="right"/>
      <protection/>
    </xf>
    <xf numFmtId="3" fontId="2" fillId="0" borderId="138" xfId="101" applyNumberFormat="1" applyFont="1" applyFill="1" applyBorder="1" applyAlignment="1">
      <alignment horizontal="right"/>
      <protection/>
    </xf>
    <xf numFmtId="3" fontId="2" fillId="0" borderId="0" xfId="72" applyNumberFormat="1" applyFont="1" applyFill="1" applyBorder="1" applyAlignment="1">
      <alignment horizontal="left"/>
      <protection/>
    </xf>
    <xf numFmtId="3" fontId="80" fillId="0" borderId="0" xfId="72" applyNumberFormat="1" applyFont="1" applyFill="1" applyBorder="1" applyAlignment="1">
      <alignment horizontal="left"/>
      <protection/>
    </xf>
    <xf numFmtId="0" fontId="4" fillId="0" borderId="24" xfId="101" applyFont="1" applyFill="1" applyBorder="1" applyAlignment="1">
      <alignment horizontal="center"/>
      <protection/>
    </xf>
    <xf numFmtId="3" fontId="4" fillId="0" borderId="140" xfId="91" applyNumberFormat="1" applyFont="1" applyFill="1" applyBorder="1" applyAlignment="1">
      <alignment horizontal="right" wrapText="1"/>
      <protection/>
    </xf>
    <xf numFmtId="0" fontId="25" fillId="0" borderId="30" xfId="101" applyFont="1" applyFill="1" applyBorder="1" applyAlignment="1">
      <alignment horizontal="left"/>
      <protection/>
    </xf>
    <xf numFmtId="0" fontId="2" fillId="0" borderId="25" xfId="91" applyFont="1" applyFill="1" applyBorder="1" applyAlignment="1">
      <alignment/>
      <protection/>
    </xf>
    <xf numFmtId="0" fontId="2" fillId="0" borderId="128" xfId="91" applyFont="1" applyFill="1" applyBorder="1" applyAlignment="1">
      <alignment/>
      <protection/>
    </xf>
    <xf numFmtId="3" fontId="4" fillId="0" borderId="140" xfId="101" applyNumberFormat="1" applyFont="1" applyFill="1" applyBorder="1" applyAlignment="1">
      <alignment horizontal="right"/>
      <protection/>
    </xf>
    <xf numFmtId="3" fontId="10" fillId="0" borderId="0" xfId="101" applyNumberFormat="1" applyFont="1" applyFill="1" applyBorder="1" applyAlignment="1">
      <alignment horizontal="center" vertical="center"/>
      <protection/>
    </xf>
    <xf numFmtId="3" fontId="4" fillId="0" borderId="0" xfId="101" applyNumberFormat="1" applyFont="1" applyFill="1" applyBorder="1" applyAlignment="1">
      <alignment horizontal="right"/>
      <protection/>
    </xf>
    <xf numFmtId="3" fontId="4" fillId="0" borderId="0" xfId="102" applyNumberFormat="1" applyFont="1" applyFill="1" applyBorder="1" applyAlignment="1">
      <alignment horizontal="right"/>
      <protection/>
    </xf>
    <xf numFmtId="3" fontId="2" fillId="0" borderId="142" xfId="91" applyNumberFormat="1" applyFont="1" applyFill="1" applyBorder="1" applyAlignment="1">
      <alignment horizontal="right" wrapText="1"/>
      <protection/>
    </xf>
    <xf numFmtId="3" fontId="2" fillId="0" borderId="143" xfId="91" applyNumberFormat="1" applyFont="1" applyFill="1" applyBorder="1" applyAlignment="1">
      <alignment horizontal="right" vertical="center" wrapText="1"/>
      <protection/>
    </xf>
    <xf numFmtId="3" fontId="2" fillId="0" borderId="128" xfId="92" applyNumberFormat="1" applyFont="1" applyFill="1" applyBorder="1" applyAlignment="1">
      <alignment horizontal="left"/>
      <protection/>
    </xf>
    <xf numFmtId="3" fontId="10" fillId="0" borderId="122" xfId="99" applyNumberFormat="1" applyFont="1" applyFill="1" applyBorder="1" applyAlignment="1">
      <alignment horizontal="left" vertical="center" wrapText="1"/>
      <protection/>
    </xf>
    <xf numFmtId="3" fontId="10" fillId="0" borderId="123" xfId="99" applyNumberFormat="1" applyFont="1" applyFill="1" applyBorder="1" applyAlignment="1">
      <alignment horizontal="left" vertical="center"/>
      <protection/>
    </xf>
    <xf numFmtId="3" fontId="10" fillId="0" borderId="122" xfId="99" applyNumberFormat="1" applyFont="1" applyFill="1" applyBorder="1" applyAlignment="1">
      <alignment horizontal="left" vertical="center"/>
      <protection/>
    </xf>
    <xf numFmtId="3" fontId="10" fillId="0" borderId="113" xfId="99" applyNumberFormat="1" applyFont="1" applyFill="1" applyBorder="1" applyAlignment="1">
      <alignment horizontal="left" vertical="center" wrapText="1"/>
      <protection/>
    </xf>
    <xf numFmtId="3" fontId="2" fillId="0" borderId="0" xfId="87" applyNumberFormat="1" applyFont="1" applyFill="1" applyBorder="1" applyAlignment="1">
      <alignment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3" fillId="0" borderId="23" xfId="0" applyNumberFormat="1" applyFont="1" applyFill="1" applyBorder="1" applyAlignment="1">
      <alignment vertical="center"/>
    </xf>
    <xf numFmtId="3" fontId="13" fillId="0" borderId="134" xfId="0" applyNumberFormat="1" applyFont="1" applyFill="1" applyBorder="1" applyAlignment="1">
      <alignment vertical="center"/>
    </xf>
    <xf numFmtId="3" fontId="81" fillId="0" borderId="24" xfId="0" applyNumberFormat="1" applyFont="1" applyFill="1" applyBorder="1" applyAlignment="1">
      <alignment horizontal="center" vertical="center"/>
    </xf>
    <xf numFmtId="3" fontId="81" fillId="0" borderId="25" xfId="0" applyNumberFormat="1" applyFont="1" applyFill="1" applyBorder="1" applyAlignment="1">
      <alignment horizontal="center"/>
    </xf>
    <xf numFmtId="3" fontId="81" fillId="0" borderId="128" xfId="0" applyNumberFormat="1" applyFont="1" applyFill="1" applyBorder="1" applyAlignment="1">
      <alignment horizontal="center"/>
    </xf>
    <xf numFmtId="3" fontId="81" fillId="0" borderId="122" xfId="98" applyNumberFormat="1" applyFont="1" applyFill="1" applyBorder="1" applyAlignment="1">
      <alignment/>
      <protection/>
    </xf>
    <xf numFmtId="3" fontId="81" fillId="0" borderId="25" xfId="0" applyNumberFormat="1" applyFont="1" applyFill="1" applyBorder="1" applyAlignment="1">
      <alignment/>
    </xf>
    <xf numFmtId="3" fontId="82" fillId="0" borderId="25" xfId="0" applyNumberFormat="1" applyFont="1" applyFill="1" applyBorder="1" applyAlignment="1">
      <alignment/>
    </xf>
    <xf numFmtId="3" fontId="81" fillId="0" borderId="26" xfId="0" applyNumberFormat="1" applyFont="1" applyFill="1" applyBorder="1" applyAlignment="1">
      <alignment/>
    </xf>
    <xf numFmtId="3" fontId="81" fillId="0" borderId="0" xfId="0" applyNumberFormat="1" applyFont="1" applyFill="1" applyAlignment="1">
      <alignment vertical="center"/>
    </xf>
    <xf numFmtId="0" fontId="83" fillId="0" borderId="0" xfId="0" applyFont="1" applyFill="1" applyAlignment="1">
      <alignment/>
    </xf>
    <xf numFmtId="3" fontId="81" fillId="0" borderId="0" xfId="0" applyNumberFormat="1" applyFont="1" applyFill="1" applyAlignment="1">
      <alignment vertical="top"/>
    </xf>
    <xf numFmtId="3" fontId="81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 vertical="top"/>
    </xf>
    <xf numFmtId="3" fontId="81" fillId="0" borderId="24" xfId="0" applyNumberFormat="1" applyFont="1" applyFill="1" applyBorder="1" applyAlignment="1">
      <alignment horizontal="center" vertical="top"/>
    </xf>
    <xf numFmtId="3" fontId="81" fillId="0" borderId="54" xfId="0" applyNumberFormat="1" applyFont="1" applyFill="1" applyBorder="1" applyAlignment="1">
      <alignment horizontal="center"/>
    </xf>
    <xf numFmtId="3" fontId="81" fillId="0" borderId="144" xfId="0" applyNumberFormat="1" applyFont="1" applyFill="1" applyBorder="1" applyAlignment="1">
      <alignment horizontal="center"/>
    </xf>
    <xf numFmtId="3" fontId="81" fillId="0" borderId="123" xfId="98" applyNumberFormat="1" applyFont="1" applyFill="1" applyBorder="1" applyAlignment="1">
      <alignment horizontal="left"/>
      <protection/>
    </xf>
    <xf numFmtId="3" fontId="81" fillId="0" borderId="54" xfId="0" applyNumberFormat="1" applyFont="1" applyFill="1" applyBorder="1" applyAlignment="1">
      <alignment vertical="top"/>
    </xf>
    <xf numFmtId="3" fontId="82" fillId="0" borderId="54" xfId="0" applyNumberFormat="1" applyFont="1" applyFill="1" applyBorder="1" applyAlignment="1">
      <alignment vertical="top"/>
    </xf>
    <xf numFmtId="3" fontId="81" fillId="0" borderId="55" xfId="0" applyNumberFormat="1" applyFont="1" applyFill="1" applyBorder="1" applyAlignment="1">
      <alignment vertical="top"/>
    </xf>
    <xf numFmtId="3" fontId="81" fillId="0" borderId="145" xfId="0" applyNumberFormat="1" applyFont="1" applyFill="1" applyBorder="1" applyAlignment="1">
      <alignment vertical="top"/>
    </xf>
    <xf numFmtId="3" fontId="81" fillId="0" borderId="107" xfId="0" applyNumberFormat="1" applyFont="1" applyFill="1" applyBorder="1" applyAlignment="1">
      <alignment horizontal="center"/>
    </xf>
    <xf numFmtId="3" fontId="81" fillId="0" borderId="146" xfId="0" applyNumberFormat="1" applyFont="1" applyFill="1" applyBorder="1" applyAlignment="1">
      <alignment horizontal="center"/>
    </xf>
    <xf numFmtId="3" fontId="81" fillId="0" borderId="147" xfId="98" applyNumberFormat="1" applyFont="1" applyFill="1" applyBorder="1" applyAlignment="1">
      <alignment horizontal="left"/>
      <protection/>
    </xf>
    <xf numFmtId="3" fontId="81" fillId="0" borderId="107" xfId="0" applyNumberFormat="1" applyFont="1" applyFill="1" applyBorder="1" applyAlignment="1">
      <alignment vertical="top"/>
    </xf>
    <xf numFmtId="3" fontId="81" fillId="0" borderId="26" xfId="0" applyNumberFormat="1" applyFont="1" applyFill="1" applyBorder="1" applyAlignment="1">
      <alignment vertical="center"/>
    </xf>
    <xf numFmtId="3" fontId="81" fillId="0" borderId="26" xfId="0" applyNumberFormat="1" applyFont="1" applyFill="1" applyBorder="1" applyAlignment="1">
      <alignment vertical="top"/>
    </xf>
    <xf numFmtId="3" fontId="81" fillId="0" borderId="55" xfId="0" applyNumberFormat="1" applyFont="1" applyFill="1" applyBorder="1" applyAlignment="1">
      <alignment vertical="center"/>
    </xf>
    <xf numFmtId="3" fontId="81" fillId="0" borderId="145" xfId="0" applyNumberFormat="1" applyFont="1" applyFill="1" applyBorder="1" applyAlignment="1">
      <alignment vertical="center"/>
    </xf>
    <xf numFmtId="3" fontId="81" fillId="0" borderId="25" xfId="0" applyNumberFormat="1" applyFont="1" applyFill="1" applyBorder="1" applyAlignment="1">
      <alignment vertical="center"/>
    </xf>
    <xf numFmtId="3" fontId="82" fillId="0" borderId="25" xfId="0" applyNumberFormat="1" applyFont="1" applyFill="1" applyBorder="1" applyAlignment="1">
      <alignment vertical="center"/>
    </xf>
    <xf numFmtId="3" fontId="81" fillId="0" borderId="122" xfId="98" applyNumberFormat="1" applyFont="1" applyFill="1" applyBorder="1" applyAlignment="1">
      <alignment horizontal="left"/>
      <protection/>
    </xf>
    <xf numFmtId="3" fontId="81" fillId="0" borderId="25" xfId="0" applyNumberFormat="1" applyFont="1" applyFill="1" applyBorder="1" applyAlignment="1">
      <alignment vertical="top"/>
    </xf>
    <xf numFmtId="3" fontId="82" fillId="0" borderId="25" xfId="0" applyNumberFormat="1" applyFont="1" applyFill="1" applyBorder="1" applyAlignment="1">
      <alignment vertical="top"/>
    </xf>
    <xf numFmtId="3" fontId="82" fillId="0" borderId="0" xfId="0" applyNumberFormat="1" applyFont="1" applyFill="1" applyAlignment="1">
      <alignment vertical="center"/>
    </xf>
    <xf numFmtId="0" fontId="84" fillId="0" borderId="0" xfId="0" applyFont="1" applyFill="1" applyAlignment="1">
      <alignment/>
    </xf>
    <xf numFmtId="3" fontId="81" fillId="0" borderId="123" xfId="98" applyNumberFormat="1" applyFont="1" applyFill="1" applyBorder="1" applyAlignment="1">
      <alignment/>
      <protection/>
    </xf>
    <xf numFmtId="3" fontId="81" fillId="0" borderId="54" xfId="0" applyNumberFormat="1" applyFont="1" applyFill="1" applyBorder="1" applyAlignment="1">
      <alignment vertical="center"/>
    </xf>
    <xf numFmtId="3" fontId="82" fillId="0" borderId="54" xfId="0" applyNumberFormat="1" applyFont="1" applyFill="1" applyBorder="1" applyAlignment="1">
      <alignment vertical="center"/>
    </xf>
    <xf numFmtId="3" fontId="81" fillId="0" borderId="147" xfId="98" applyNumberFormat="1" applyFont="1" applyFill="1" applyBorder="1" applyAlignment="1">
      <alignment/>
      <protection/>
    </xf>
    <xf numFmtId="3" fontId="81" fillId="0" borderId="107" xfId="0" applyNumberFormat="1" applyFont="1" applyFill="1" applyBorder="1" applyAlignment="1">
      <alignment vertical="center"/>
    </xf>
    <xf numFmtId="3" fontId="82" fillId="0" borderId="107" xfId="0" applyNumberFormat="1" applyFont="1" applyFill="1" applyBorder="1" applyAlignment="1">
      <alignment vertical="center"/>
    </xf>
    <xf numFmtId="3" fontId="81" fillId="0" borderId="148" xfId="0" applyNumberFormat="1" applyFont="1" applyFill="1" applyBorder="1" applyAlignment="1">
      <alignment vertical="center"/>
    </xf>
    <xf numFmtId="3" fontId="81" fillId="0" borderId="149" xfId="0" applyNumberFormat="1" applyFont="1" applyFill="1" applyBorder="1" applyAlignment="1">
      <alignment horizontal="center" vertical="center"/>
    </xf>
    <xf numFmtId="3" fontId="81" fillId="0" borderId="150" xfId="0" applyNumberFormat="1" applyFont="1" applyFill="1" applyBorder="1" applyAlignment="1">
      <alignment horizontal="center"/>
    </xf>
    <xf numFmtId="3" fontId="81" fillId="0" borderId="151" xfId="0" applyNumberFormat="1" applyFont="1" applyFill="1" applyBorder="1" applyAlignment="1">
      <alignment horizontal="center"/>
    </xf>
    <xf numFmtId="3" fontId="81" fillId="0" borderId="152" xfId="98" applyNumberFormat="1" applyFont="1" applyFill="1" applyBorder="1" applyAlignment="1">
      <alignment/>
      <protection/>
    </xf>
    <xf numFmtId="3" fontId="81" fillId="0" borderId="150" xfId="0" applyNumberFormat="1" applyFont="1" applyFill="1" applyBorder="1" applyAlignment="1">
      <alignment vertical="center"/>
    </xf>
    <xf numFmtId="3" fontId="82" fillId="0" borderId="150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2" fillId="0" borderId="52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3" fontId="16" fillId="0" borderId="52" xfId="0" applyNumberFormat="1" applyFont="1" applyFill="1" applyBorder="1" applyAlignment="1">
      <alignment vertical="center"/>
    </xf>
    <xf numFmtId="3" fontId="81" fillId="0" borderId="76" xfId="0" applyNumberFormat="1" applyFont="1" applyFill="1" applyBorder="1" applyAlignment="1">
      <alignment horizontal="center" vertical="center"/>
    </xf>
    <xf numFmtId="3" fontId="81" fillId="0" borderId="54" xfId="98" applyNumberFormat="1" applyFont="1" applyFill="1" applyBorder="1" applyAlignment="1">
      <alignment/>
      <protection/>
    </xf>
    <xf numFmtId="3" fontId="81" fillId="0" borderId="54" xfId="98" applyNumberFormat="1" applyFont="1" applyFill="1" applyBorder="1" applyAlignment="1">
      <alignment horizontal="left"/>
      <protection/>
    </xf>
    <xf numFmtId="3" fontId="81" fillId="0" borderId="150" xfId="98" applyNumberFormat="1" applyFont="1" applyFill="1" applyBorder="1" applyAlignment="1">
      <alignment horizontal="left"/>
      <protection/>
    </xf>
    <xf numFmtId="3" fontId="10" fillId="0" borderId="29" xfId="99" applyNumberFormat="1" applyFont="1" applyFill="1" applyBorder="1" applyAlignment="1">
      <alignment vertical="center" wrapText="1"/>
      <protection/>
    </xf>
    <xf numFmtId="3" fontId="10" fillId="0" borderId="153" xfId="99" applyNumberFormat="1" applyFont="1" applyFill="1" applyBorder="1" applyAlignment="1">
      <alignment vertical="center" wrapText="1"/>
      <protection/>
    </xf>
    <xf numFmtId="3" fontId="10" fillId="0" borderId="31" xfId="99" applyNumberFormat="1" applyFont="1" applyFill="1" applyBorder="1" applyAlignment="1">
      <alignment vertical="center" wrapText="1"/>
      <protection/>
    </xf>
    <xf numFmtId="3" fontId="16" fillId="0" borderId="154" xfId="0" applyNumberFormat="1" applyFont="1" applyFill="1" applyBorder="1" applyAlignment="1">
      <alignment horizontal="left" vertical="center"/>
    </xf>
    <xf numFmtId="3" fontId="10" fillId="0" borderId="155" xfId="99" applyNumberFormat="1" applyFont="1" applyFill="1" applyBorder="1" applyAlignment="1">
      <alignment vertical="center"/>
      <protection/>
    </xf>
    <xf numFmtId="3" fontId="81" fillId="0" borderId="122" xfId="0" applyNumberFormat="1" applyFont="1" applyFill="1" applyBorder="1" applyAlignment="1">
      <alignment horizontal="center" vertical="center"/>
    </xf>
    <xf numFmtId="3" fontId="81" fillId="0" borderId="25" xfId="98" applyNumberFormat="1" applyFont="1" applyFill="1" applyBorder="1" applyAlignment="1">
      <alignment/>
      <protection/>
    </xf>
    <xf numFmtId="3" fontId="81" fillId="0" borderId="29" xfId="0" applyNumberFormat="1" applyFont="1" applyFill="1" applyBorder="1" applyAlignment="1">
      <alignment vertical="center"/>
    </xf>
    <xf numFmtId="3" fontId="81" fillId="0" borderId="59" xfId="0" applyNumberFormat="1" applyFont="1" applyFill="1" applyBorder="1" applyAlignment="1">
      <alignment/>
    </xf>
    <xf numFmtId="3" fontId="81" fillId="0" borderId="25" xfId="0" applyNumberFormat="1" applyFont="1" applyFill="1" applyBorder="1" applyAlignment="1">
      <alignment horizontal="right"/>
    </xf>
    <xf numFmtId="3" fontId="81" fillId="0" borderId="26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 vertical="center"/>
    </xf>
    <xf numFmtId="3" fontId="81" fillId="0" borderId="0" xfId="0" applyNumberFormat="1" applyFont="1" applyFill="1" applyBorder="1" applyAlignment="1">
      <alignment vertical="center"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/>
    </xf>
    <xf numFmtId="3" fontId="81" fillId="0" borderId="123" xfId="0" applyNumberFormat="1" applyFont="1" applyFill="1" applyBorder="1" applyAlignment="1">
      <alignment horizontal="center" vertical="center"/>
    </xf>
    <xf numFmtId="3" fontId="81" fillId="0" borderId="153" xfId="0" applyNumberFormat="1" applyFont="1" applyFill="1" applyBorder="1" applyAlignment="1">
      <alignment vertical="center"/>
    </xf>
    <xf numFmtId="3" fontId="81" fillId="0" borderId="156" xfId="0" applyNumberFormat="1" applyFont="1" applyFill="1" applyBorder="1" applyAlignment="1">
      <alignment/>
    </xf>
    <xf numFmtId="3" fontId="81" fillId="0" borderId="54" xfId="0" applyNumberFormat="1" applyFont="1" applyFill="1" applyBorder="1" applyAlignment="1">
      <alignment horizontal="right"/>
    </xf>
    <xf numFmtId="3" fontId="81" fillId="0" borderId="55" xfId="0" applyNumberFormat="1" applyFont="1" applyFill="1" applyBorder="1" applyAlignment="1">
      <alignment horizontal="right"/>
    </xf>
    <xf numFmtId="3" fontId="81" fillId="0" borderId="107" xfId="0" applyNumberFormat="1" applyFont="1" applyFill="1" applyBorder="1" applyAlignment="1">
      <alignment horizontal="center" vertical="center"/>
    </xf>
    <xf numFmtId="3" fontId="81" fillId="0" borderId="147" xfId="0" applyNumberFormat="1" applyFont="1" applyFill="1" applyBorder="1" applyAlignment="1">
      <alignment horizontal="center" vertical="center"/>
    </xf>
    <xf numFmtId="3" fontId="81" fillId="0" borderId="107" xfId="98" applyNumberFormat="1" applyFont="1" applyFill="1" applyBorder="1" applyAlignment="1">
      <alignment horizontal="left"/>
      <protection/>
    </xf>
    <xf numFmtId="3" fontId="81" fillId="0" borderId="157" xfId="0" applyNumberFormat="1" applyFont="1" applyFill="1" applyBorder="1" applyAlignment="1">
      <alignment vertical="center"/>
    </xf>
    <xf numFmtId="3" fontId="81" fillId="0" borderId="158" xfId="0" applyNumberFormat="1" applyFont="1" applyFill="1" applyBorder="1" applyAlignment="1">
      <alignment/>
    </xf>
    <xf numFmtId="3" fontId="81" fillId="0" borderId="107" xfId="0" applyNumberFormat="1" applyFont="1" applyFill="1" applyBorder="1" applyAlignment="1">
      <alignment horizontal="right"/>
    </xf>
    <xf numFmtId="3" fontId="81" fillId="0" borderId="145" xfId="0" applyNumberFormat="1" applyFont="1" applyFill="1" applyBorder="1" applyAlignment="1">
      <alignment horizontal="right"/>
    </xf>
    <xf numFmtId="3" fontId="81" fillId="0" borderId="0" xfId="0" applyNumberFormat="1" applyFont="1" applyFill="1" applyAlignment="1">
      <alignment horizontal="right"/>
    </xf>
    <xf numFmtId="3" fontId="82" fillId="0" borderId="0" xfId="0" applyNumberFormat="1" applyFont="1" applyFill="1" applyBorder="1" applyAlignment="1">
      <alignment horizontal="right" vertical="center"/>
    </xf>
    <xf numFmtId="3" fontId="82" fillId="0" borderId="0" xfId="0" applyNumberFormat="1" applyFont="1" applyFill="1" applyBorder="1" applyAlignment="1">
      <alignment vertical="center"/>
    </xf>
    <xf numFmtId="3" fontId="16" fillId="0" borderId="159" xfId="0" applyNumberFormat="1" applyFont="1" applyFill="1" applyBorder="1" applyAlignment="1">
      <alignment vertical="center"/>
    </xf>
    <xf numFmtId="3" fontId="81" fillId="0" borderId="152" xfId="0" applyNumberFormat="1" applyFont="1" applyFill="1" applyBorder="1" applyAlignment="1">
      <alignment horizontal="center" vertical="center"/>
    </xf>
    <xf numFmtId="3" fontId="81" fillId="0" borderId="150" xfId="98" applyNumberFormat="1" applyFont="1" applyFill="1" applyBorder="1" applyAlignment="1">
      <alignment/>
      <protection/>
    </xf>
    <xf numFmtId="3" fontId="81" fillId="0" borderId="160" xfId="0" applyNumberFormat="1" applyFont="1" applyFill="1" applyBorder="1" applyAlignment="1">
      <alignment vertical="center"/>
    </xf>
    <xf numFmtId="3" fontId="81" fillId="0" borderId="161" xfId="0" applyNumberFormat="1" applyFont="1" applyFill="1" applyBorder="1" applyAlignment="1">
      <alignment/>
    </xf>
    <xf numFmtId="3" fontId="81" fillId="0" borderId="150" xfId="0" applyNumberFormat="1" applyFont="1" applyFill="1" applyBorder="1" applyAlignment="1">
      <alignment horizontal="right"/>
    </xf>
    <xf numFmtId="3" fontId="81" fillId="0" borderId="148" xfId="0" applyNumberFormat="1" applyFont="1" applyFill="1" applyBorder="1" applyAlignment="1">
      <alignment horizontal="right"/>
    </xf>
    <xf numFmtId="3" fontId="13" fillId="0" borderId="60" xfId="0" applyNumberFormat="1" applyFont="1" applyFill="1" applyBorder="1" applyAlignment="1">
      <alignment vertical="center"/>
    </xf>
    <xf numFmtId="3" fontId="13" fillId="0" borderId="23" xfId="98" applyNumberFormat="1" applyFont="1" applyFill="1" applyBorder="1" applyAlignment="1">
      <alignment horizontal="center" vertical="center"/>
      <protection/>
    </xf>
    <xf numFmtId="3" fontId="10" fillId="0" borderId="52" xfId="98" applyNumberFormat="1" applyFont="1" applyFill="1" applyBorder="1" applyAlignment="1">
      <alignment horizontal="center" vertical="center"/>
      <protection/>
    </xf>
    <xf numFmtId="3" fontId="16" fillId="0" borderId="60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vertical="center"/>
    </xf>
    <xf numFmtId="3" fontId="81" fillId="0" borderId="25" xfId="0" applyNumberFormat="1" applyFont="1" applyFill="1" applyBorder="1" applyAlignment="1">
      <alignment horizontal="right" vertical="center"/>
    </xf>
    <xf numFmtId="3" fontId="81" fillId="0" borderId="26" xfId="0" applyNumberFormat="1" applyFont="1" applyFill="1" applyBorder="1" applyAlignment="1">
      <alignment horizontal="right" vertical="center"/>
    </xf>
    <xf numFmtId="3" fontId="81" fillId="0" borderId="0" xfId="0" applyNumberFormat="1" applyFont="1" applyFill="1" applyAlignment="1">
      <alignment horizontal="right" vertical="center"/>
    </xf>
    <xf numFmtId="3" fontId="81" fillId="0" borderId="160" xfId="98" applyNumberFormat="1" applyFont="1" applyFill="1" applyBorder="1" applyAlignment="1">
      <alignment/>
      <protection/>
    </xf>
    <xf numFmtId="3" fontId="81" fillId="0" borderId="150" xfId="98" applyNumberFormat="1" applyFont="1" applyFill="1" applyBorder="1" applyAlignment="1">
      <alignment horizontal="center"/>
      <protection/>
    </xf>
    <xf numFmtId="3" fontId="81" fillId="0" borderId="150" xfId="0" applyNumberFormat="1" applyFont="1" applyFill="1" applyBorder="1" applyAlignment="1">
      <alignment horizontal="right" vertical="center"/>
    </xf>
    <xf numFmtId="3" fontId="81" fillId="0" borderId="148" xfId="0" applyNumberFormat="1" applyFont="1" applyFill="1" applyBorder="1" applyAlignment="1">
      <alignment horizontal="right" vertical="center"/>
    </xf>
    <xf numFmtId="3" fontId="82" fillId="0" borderId="24" xfId="0" applyNumberFormat="1" applyFont="1" applyFill="1" applyBorder="1" applyAlignment="1">
      <alignment horizontal="left" vertical="center" wrapText="1"/>
    </xf>
    <xf numFmtId="3" fontId="82" fillId="0" borderId="122" xfId="0" applyNumberFormat="1" applyFont="1" applyFill="1" applyBorder="1" applyAlignment="1">
      <alignment horizontal="left" vertical="center" wrapText="1"/>
    </xf>
    <xf numFmtId="3" fontId="82" fillId="0" borderId="25" xfId="0" applyNumberFormat="1" applyFont="1" applyFill="1" applyBorder="1" applyAlignment="1">
      <alignment horizontal="left" vertical="center" wrapText="1"/>
    </xf>
    <xf numFmtId="3" fontId="82" fillId="0" borderId="25" xfId="0" applyNumberFormat="1" applyFont="1" applyFill="1" applyBorder="1" applyAlignment="1">
      <alignment horizontal="right" vertical="center"/>
    </xf>
    <xf numFmtId="3" fontId="82" fillId="0" borderId="29" xfId="0" applyNumberFormat="1" applyFont="1" applyFill="1" applyBorder="1" applyAlignment="1">
      <alignment horizontal="right" vertical="center"/>
    </xf>
    <xf numFmtId="3" fontId="81" fillId="0" borderId="59" xfId="0" applyNumberFormat="1" applyFont="1" applyFill="1" applyBorder="1" applyAlignment="1">
      <alignment horizontal="right" vertical="center"/>
    </xf>
    <xf numFmtId="3" fontId="82" fillId="0" borderId="149" xfId="0" applyNumberFormat="1" applyFont="1" applyFill="1" applyBorder="1" applyAlignment="1">
      <alignment horizontal="left" vertical="center" wrapText="1"/>
    </xf>
    <xf numFmtId="3" fontId="82" fillId="0" borderId="152" xfId="0" applyNumberFormat="1" applyFont="1" applyFill="1" applyBorder="1" applyAlignment="1">
      <alignment horizontal="left" vertical="center" wrapText="1"/>
    </xf>
    <xf numFmtId="3" fontId="82" fillId="0" borderId="150" xfId="0" applyNumberFormat="1" applyFont="1" applyFill="1" applyBorder="1" applyAlignment="1">
      <alignment horizontal="left" vertical="center" wrapText="1"/>
    </xf>
    <xf numFmtId="3" fontId="82" fillId="0" borderId="150" xfId="0" applyNumberFormat="1" applyFont="1" applyFill="1" applyBorder="1" applyAlignment="1">
      <alignment horizontal="right" vertical="center"/>
    </xf>
    <xf numFmtId="3" fontId="82" fillId="0" borderId="160" xfId="0" applyNumberFormat="1" applyFont="1" applyFill="1" applyBorder="1" applyAlignment="1">
      <alignment horizontal="right" vertical="center"/>
    </xf>
    <xf numFmtId="3" fontId="81" fillId="0" borderId="161" xfId="0" applyNumberFormat="1" applyFont="1" applyFill="1" applyBorder="1" applyAlignment="1">
      <alignment horizontal="right" vertical="center"/>
    </xf>
    <xf numFmtId="3" fontId="8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0" fillId="0" borderId="106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6" xfId="0" applyNumberFormat="1" applyFont="1" applyFill="1" applyBorder="1" applyAlignment="1">
      <alignment/>
    </xf>
    <xf numFmtId="3" fontId="10" fillId="0" borderId="29" xfId="98" applyNumberFormat="1" applyFont="1" applyFill="1" applyBorder="1" applyAlignment="1">
      <alignment wrapText="1"/>
      <protection/>
    </xf>
    <xf numFmtId="3" fontId="82" fillId="0" borderId="140" xfId="0" applyNumberFormat="1" applyFont="1" applyFill="1" applyBorder="1" applyAlignment="1">
      <alignment horizontal="right" vertical="center"/>
    </xf>
    <xf numFmtId="3" fontId="6" fillId="0" borderId="0" xfId="87" applyNumberFormat="1" applyFont="1" applyFill="1" applyAlignment="1">
      <alignment horizontal="center" vertical="center"/>
      <protection/>
    </xf>
    <xf numFmtId="3" fontId="6" fillId="0" borderId="0" xfId="87" applyNumberFormat="1" applyFont="1" applyFill="1" applyAlignment="1">
      <alignment horizontal="center"/>
      <protection/>
    </xf>
    <xf numFmtId="3" fontId="11" fillId="0" borderId="0" xfId="87" applyNumberFormat="1" applyFont="1" applyFill="1" applyAlignment="1">
      <alignment horizontal="center" vertical="center"/>
      <protection/>
    </xf>
    <xf numFmtId="3" fontId="6" fillId="0" borderId="0" xfId="87" applyNumberFormat="1" applyFont="1" applyFill="1" applyAlignment="1">
      <alignment horizontal="center" vertical="top"/>
      <protection/>
    </xf>
    <xf numFmtId="3" fontId="10" fillId="0" borderId="0" xfId="88" applyNumberFormat="1" applyFont="1" applyFill="1" applyAlignment="1">
      <alignment horizontal="right"/>
      <protection/>
    </xf>
    <xf numFmtId="3" fontId="2" fillId="0" borderId="0" xfId="101" applyNumberFormat="1" applyFont="1" applyFill="1" applyBorder="1" applyAlignment="1">
      <alignment horizontal="right"/>
      <protection/>
    </xf>
    <xf numFmtId="0" fontId="2" fillId="0" borderId="0" xfId="101" applyFont="1" applyFill="1" applyBorder="1" applyAlignment="1">
      <alignment horizontal="center"/>
      <protection/>
    </xf>
    <xf numFmtId="3" fontId="2" fillId="0" borderId="0" xfId="101" applyNumberFormat="1" applyFont="1" applyFill="1" applyBorder="1" applyAlignment="1" applyProtection="1">
      <alignment horizontal="right"/>
      <protection locked="0"/>
    </xf>
    <xf numFmtId="0" fontId="2" fillId="0" borderId="0" xfId="101" applyFont="1" applyFill="1" applyBorder="1" applyProtection="1">
      <alignment/>
      <protection locked="0"/>
    </xf>
    <xf numFmtId="0" fontId="2" fillId="0" borderId="0" xfId="101" applyFont="1" applyFill="1" applyBorder="1" applyAlignment="1" applyProtection="1">
      <alignment horizontal="center" vertical="center"/>
      <protection locked="0"/>
    </xf>
    <xf numFmtId="0" fontId="10" fillId="0" borderId="0" xfId="101" applyFont="1" applyFill="1" applyBorder="1" applyAlignment="1" applyProtection="1">
      <alignment horizontal="center" vertical="center"/>
      <protection locked="0"/>
    </xf>
    <xf numFmtId="0" fontId="10" fillId="0" borderId="0" xfId="101" applyFont="1" applyFill="1" applyBorder="1" applyAlignment="1" applyProtection="1">
      <alignment horizontal="center" vertical="top"/>
      <protection locked="0"/>
    </xf>
    <xf numFmtId="0" fontId="10" fillId="0" borderId="0" xfId="101" applyFont="1" applyFill="1" applyBorder="1" applyAlignment="1" applyProtection="1">
      <alignment wrapText="1"/>
      <protection locked="0"/>
    </xf>
    <xf numFmtId="3" fontId="10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01" applyNumberFormat="1" applyFont="1" applyFill="1" applyBorder="1" applyAlignment="1" applyProtection="1">
      <alignment horizontal="right"/>
      <protection locked="0"/>
    </xf>
    <xf numFmtId="3" fontId="12" fillId="0" borderId="0" xfId="101" applyNumberFormat="1" applyFont="1" applyFill="1" applyBorder="1" applyAlignment="1" applyProtection="1">
      <alignment horizontal="right"/>
      <protection locked="0"/>
    </xf>
    <xf numFmtId="0" fontId="10" fillId="0" borderId="0" xfId="101" applyFont="1" applyFill="1" applyBorder="1" applyProtection="1">
      <alignment/>
      <protection locked="0"/>
    </xf>
    <xf numFmtId="0" fontId="6" fillId="0" borderId="0" xfId="101" applyFont="1" applyFill="1" applyBorder="1" applyAlignment="1" applyProtection="1">
      <alignment horizontal="center"/>
      <protection locked="0"/>
    </xf>
    <xf numFmtId="0" fontId="6" fillId="0" borderId="0" xfId="102" applyFont="1" applyFill="1" applyBorder="1" applyAlignment="1" applyProtection="1">
      <alignment horizontal="center" wrapText="1"/>
      <protection locked="0"/>
    </xf>
    <xf numFmtId="3" fontId="6" fillId="0" borderId="0" xfId="102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101" applyFont="1" applyFill="1" applyBorder="1" applyAlignment="1" applyProtection="1">
      <alignment horizontal="center" vertical="center"/>
      <protection locked="0"/>
    </xf>
    <xf numFmtId="0" fontId="13" fillId="0" borderId="0" xfId="101" applyFont="1" applyFill="1" applyBorder="1" applyAlignment="1" applyProtection="1">
      <alignment horizontal="left" vertical="center"/>
      <protection locked="0"/>
    </xf>
    <xf numFmtId="3" fontId="10" fillId="0" borderId="0" xfId="102" applyNumberFormat="1" applyFont="1" applyFill="1" applyBorder="1" applyAlignment="1" applyProtection="1">
      <alignment horizontal="right"/>
      <protection locked="0"/>
    </xf>
    <xf numFmtId="3" fontId="10" fillId="0" borderId="0" xfId="101" applyNumberFormat="1" applyFont="1" applyFill="1" applyBorder="1" applyAlignment="1" applyProtection="1">
      <alignment horizontal="right" vertical="center"/>
      <protection locked="0"/>
    </xf>
    <xf numFmtId="3" fontId="10" fillId="0" borderId="30" xfId="88" applyNumberFormat="1" applyFont="1" applyFill="1" applyBorder="1" applyAlignment="1">
      <alignment horizontal="center"/>
      <protection/>
    </xf>
    <xf numFmtId="3" fontId="10" fillId="0" borderId="37" xfId="0" applyNumberFormat="1" applyFont="1" applyFill="1" applyBorder="1" applyAlignment="1">
      <alignment horizontal="center" vertical="center" wrapText="1"/>
    </xf>
    <xf numFmtId="1" fontId="10" fillId="0" borderId="0" xfId="88" applyNumberFormat="1" applyFont="1" applyFill="1" applyBorder="1" applyAlignment="1">
      <alignment horizontal="center" vertical="center"/>
      <protection/>
    </xf>
    <xf numFmtId="1" fontId="2" fillId="0" borderId="0" xfId="88" applyNumberFormat="1" applyFont="1" applyFill="1" applyBorder="1" applyAlignment="1">
      <alignment horizontal="center" vertical="center"/>
      <protection/>
    </xf>
    <xf numFmtId="3" fontId="2" fillId="0" borderId="0" xfId="88" applyNumberFormat="1" applyFont="1" applyFill="1" applyAlignment="1">
      <alignment horizontal="right"/>
      <protection/>
    </xf>
    <xf numFmtId="3" fontId="10" fillId="0" borderId="0" xfId="88" applyNumberFormat="1" applyFont="1" applyFill="1" applyAlignment="1">
      <alignment horizontal="center"/>
      <protection/>
    </xf>
    <xf numFmtId="3" fontId="10" fillId="0" borderId="0" xfId="88" applyNumberFormat="1" applyFont="1" applyFill="1" applyAlignment="1">
      <alignment horizontal="center" vertical="top"/>
      <protection/>
    </xf>
    <xf numFmtId="0" fontId="13" fillId="0" borderId="0" xfId="88" applyFont="1" applyFill="1" applyBorder="1" applyAlignment="1">
      <alignment vertical="top" wrapText="1"/>
      <protection/>
    </xf>
    <xf numFmtId="3" fontId="10" fillId="0" borderId="0" xfId="88" applyNumberFormat="1" applyFont="1" applyFill="1" applyAlignment="1">
      <alignment/>
      <protection/>
    </xf>
    <xf numFmtId="0" fontId="10" fillId="0" borderId="0" xfId="88" applyFont="1" applyFill="1" applyBorder="1" applyAlignment="1">
      <alignment horizontal="center"/>
      <protection/>
    </xf>
    <xf numFmtId="3" fontId="13" fillId="0" borderId="0" xfId="88" applyNumberFormat="1" applyFont="1" applyFill="1" applyAlignment="1">
      <alignment/>
      <protection/>
    </xf>
    <xf numFmtId="1" fontId="6" fillId="0" borderId="0" xfId="88" applyNumberFormat="1" applyFont="1" applyFill="1" applyBorder="1" applyAlignment="1">
      <alignment horizontal="center" vertical="center"/>
      <protection/>
    </xf>
    <xf numFmtId="3" fontId="6" fillId="0" borderId="0" xfId="88" applyNumberFormat="1" applyFont="1" applyFill="1" applyBorder="1" applyAlignment="1">
      <alignment horizontal="center" vertical="center"/>
      <protection/>
    </xf>
    <xf numFmtId="3" fontId="6" fillId="0" borderId="0" xfId="88" applyNumberFormat="1" applyFont="1" applyFill="1" applyBorder="1" applyAlignment="1">
      <alignment horizontal="center" vertical="center" wrapText="1"/>
      <protection/>
    </xf>
    <xf numFmtId="3" fontId="6" fillId="0" borderId="0" xfId="88" applyNumberFormat="1" applyFont="1" applyFill="1" applyBorder="1" applyAlignment="1">
      <alignment horizontal="center"/>
      <protection/>
    </xf>
    <xf numFmtId="3" fontId="10" fillId="0" borderId="51" xfId="88" applyNumberFormat="1" applyFont="1" applyFill="1" applyBorder="1" applyAlignment="1">
      <alignment horizontal="center"/>
      <protection/>
    </xf>
    <xf numFmtId="3" fontId="24" fillId="0" borderId="52" xfId="88" applyNumberFormat="1" applyFont="1" applyFill="1" applyBorder="1" applyAlignment="1">
      <alignment horizontal="left"/>
      <protection/>
    </xf>
    <xf numFmtId="0" fontId="13" fillId="0" borderId="52" xfId="88" applyFont="1" applyFill="1" applyBorder="1" applyAlignment="1">
      <alignment horizontal="center" vertical="center" wrapText="1"/>
      <protection/>
    </xf>
    <xf numFmtId="3" fontId="10" fillId="0" borderId="52" xfId="88" applyNumberFormat="1" applyFont="1" applyFill="1" applyBorder="1" applyAlignment="1">
      <alignment horizontal="center" vertical="center" wrapText="1"/>
      <protection/>
    </xf>
    <xf numFmtId="3" fontId="13" fillId="0" borderId="52" xfId="88" applyNumberFormat="1" applyFont="1" applyFill="1" applyBorder="1" applyAlignment="1">
      <alignment horizontal="center" vertical="center" wrapText="1"/>
      <protection/>
    </xf>
    <xf numFmtId="3" fontId="10" fillId="0" borderId="52" xfId="0" applyNumberFormat="1" applyFont="1" applyFill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horizontal="center" vertical="center" wrapText="1"/>
    </xf>
    <xf numFmtId="0" fontId="10" fillId="0" borderId="121" xfId="0" applyFont="1" applyFill="1" applyBorder="1" applyAlignment="1">
      <alignment horizontal="center" vertical="center" textRotation="90" wrapText="1"/>
    </xf>
    <xf numFmtId="3" fontId="10" fillId="0" borderId="139" xfId="88" applyNumberFormat="1" applyFont="1" applyFill="1" applyBorder="1" applyAlignment="1">
      <alignment horizontal="center" vertical="center" wrapText="1"/>
      <protection/>
    </xf>
    <xf numFmtId="0" fontId="10" fillId="0" borderId="32" xfId="101" applyFont="1" applyFill="1" applyBorder="1" applyAlignment="1">
      <alignment horizontal="center"/>
      <protection/>
    </xf>
    <xf numFmtId="3" fontId="10" fillId="0" borderId="15" xfId="101" applyNumberFormat="1" applyFont="1" applyFill="1" applyBorder="1" applyAlignment="1">
      <alignment horizontal="center" vertical="center" wrapText="1"/>
      <protection/>
    </xf>
    <xf numFmtId="3" fontId="10" fillId="0" borderId="121" xfId="91" applyNumberFormat="1" applyFont="1" applyFill="1" applyBorder="1" applyAlignment="1">
      <alignment horizontal="right" vertical="center" wrapText="1"/>
      <protection/>
    </xf>
    <xf numFmtId="3" fontId="10" fillId="0" borderId="122" xfId="91" applyNumberFormat="1" applyFont="1" applyFill="1" applyBorder="1" applyAlignment="1">
      <alignment horizontal="right" vertical="center" wrapText="1"/>
      <protection/>
    </xf>
    <xf numFmtId="3" fontId="10" fillId="0" borderId="122" xfId="101" applyNumberFormat="1" applyFont="1" applyFill="1" applyBorder="1" applyAlignment="1">
      <alignment horizontal="right" vertical="center"/>
      <protection/>
    </xf>
    <xf numFmtId="3" fontId="13" fillId="0" borderId="74" xfId="91" applyNumberFormat="1" applyFont="1" applyFill="1" applyBorder="1" applyAlignment="1">
      <alignment horizontal="right" vertical="center" wrapText="1"/>
      <protection/>
    </xf>
    <xf numFmtId="3" fontId="13" fillId="0" borderId="162" xfId="91" applyNumberFormat="1" applyFont="1" applyFill="1" applyBorder="1" applyAlignment="1">
      <alignment horizontal="right" vertical="center" wrapText="1"/>
      <protection/>
    </xf>
    <xf numFmtId="3" fontId="13" fillId="0" borderId="45" xfId="91" applyNumberFormat="1" applyFont="1" applyFill="1" applyBorder="1" applyAlignment="1">
      <alignment horizontal="right" vertical="center" wrapText="1"/>
      <protection/>
    </xf>
    <xf numFmtId="3" fontId="13" fillId="0" borderId="143" xfId="91" applyNumberFormat="1" applyFont="1" applyFill="1" applyBorder="1" applyAlignment="1">
      <alignment horizontal="right" vertical="center" wrapText="1"/>
      <protection/>
    </xf>
    <xf numFmtId="3" fontId="10" fillId="0" borderId="163" xfId="101" applyNumberFormat="1" applyFont="1" applyFill="1" applyBorder="1" applyAlignment="1">
      <alignment horizontal="center" vertical="center" wrapText="1"/>
      <protection/>
    </xf>
    <xf numFmtId="3" fontId="10" fillId="0" borderId="0" xfId="101" applyNumberFormat="1" applyFont="1" applyFill="1" applyBorder="1" applyAlignment="1" applyProtection="1">
      <alignment/>
      <protection locked="0"/>
    </xf>
    <xf numFmtId="3" fontId="10" fillId="0" borderId="0" xfId="102" applyNumberFormat="1" applyFont="1" applyFill="1" applyBorder="1" applyAlignment="1" applyProtection="1">
      <alignment/>
      <protection locked="0"/>
    </xf>
    <xf numFmtId="3" fontId="10" fillId="0" borderId="0" xfId="102" applyNumberFormat="1" applyFont="1" applyFill="1" applyBorder="1" applyAlignment="1" applyProtection="1">
      <alignment wrapText="1"/>
      <protection locked="0"/>
    </xf>
    <xf numFmtId="0" fontId="13" fillId="0" borderId="133" xfId="102" applyFont="1" applyFill="1" applyBorder="1" applyAlignment="1" applyProtection="1">
      <alignment horizontal="center" vertical="center"/>
      <protection locked="0"/>
    </xf>
    <xf numFmtId="3" fontId="13" fillId="0" borderId="133" xfId="102" applyNumberFormat="1" applyFont="1" applyFill="1" applyBorder="1" applyAlignment="1" applyProtection="1">
      <alignment vertical="center"/>
      <protection locked="0"/>
    </xf>
    <xf numFmtId="3" fontId="13" fillId="0" borderId="133" xfId="101" applyNumberFormat="1" applyFont="1" applyFill="1" applyBorder="1" applyAlignment="1" applyProtection="1">
      <alignment vertical="center"/>
      <protection locked="0"/>
    </xf>
    <xf numFmtId="3" fontId="13" fillId="0" borderId="164" xfId="101" applyNumberFormat="1" applyFont="1" applyFill="1" applyBorder="1" applyAlignment="1" applyProtection="1">
      <alignment horizontal="right" vertical="center"/>
      <protection locked="0"/>
    </xf>
    <xf numFmtId="3" fontId="13" fillId="0" borderId="58" xfId="101" applyNumberFormat="1" applyFont="1" applyFill="1" applyBorder="1" applyAlignment="1" applyProtection="1">
      <alignment horizontal="right" vertical="center"/>
      <protection locked="0"/>
    </xf>
    <xf numFmtId="0" fontId="13" fillId="0" borderId="74" xfId="102" applyFont="1" applyFill="1" applyBorder="1" applyAlignment="1" applyProtection="1">
      <alignment horizontal="center" vertical="center"/>
      <protection locked="0"/>
    </xf>
    <xf numFmtId="3" fontId="13" fillId="0" borderId="74" xfId="102" applyNumberFormat="1" applyFont="1" applyFill="1" applyBorder="1" applyAlignment="1" applyProtection="1">
      <alignment vertical="center"/>
      <protection locked="0"/>
    </xf>
    <xf numFmtId="3" fontId="13" fillId="0" borderId="74" xfId="101" applyNumberFormat="1" applyFont="1" applyFill="1" applyBorder="1" applyAlignment="1" applyProtection="1">
      <alignment vertical="center"/>
      <protection locked="0"/>
    </xf>
    <xf numFmtId="3" fontId="13" fillId="0" borderId="165" xfId="101" applyNumberFormat="1" applyFont="1" applyFill="1" applyBorder="1" applyAlignment="1" applyProtection="1">
      <alignment horizontal="right" vertical="center"/>
      <protection locked="0"/>
    </xf>
    <xf numFmtId="3" fontId="13" fillId="0" borderId="34" xfId="101" applyNumberFormat="1" applyFont="1" applyFill="1" applyBorder="1" applyAlignment="1" applyProtection="1">
      <alignment horizontal="right" vertical="center"/>
      <protection locked="0"/>
    </xf>
    <xf numFmtId="0" fontId="10" fillId="0" borderId="0" xfId="88" applyNumberFormat="1" applyFont="1" applyFill="1" applyBorder="1" applyAlignment="1">
      <alignment horizontal="center" vertical="center"/>
      <protection/>
    </xf>
    <xf numFmtId="0" fontId="2" fillId="0" borderId="0" xfId="88" applyNumberFormat="1" applyFont="1" applyFill="1" applyBorder="1" applyAlignment="1">
      <alignment horizontal="center" vertical="center"/>
      <protection/>
    </xf>
    <xf numFmtId="3" fontId="2" fillId="0" borderId="0" xfId="88" applyNumberFormat="1" applyFont="1" applyFill="1" applyAlignment="1">
      <alignment vertical="top"/>
      <protection/>
    </xf>
    <xf numFmtId="3" fontId="2" fillId="0" borderId="0" xfId="88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0" fontId="10" fillId="0" borderId="0" xfId="101" applyFont="1" applyFill="1" applyBorder="1" applyAlignment="1">
      <alignment/>
      <protection/>
    </xf>
    <xf numFmtId="3" fontId="10" fillId="0" borderId="0" xfId="101" applyNumberFormat="1" applyFont="1" applyFill="1" applyBorder="1" applyAlignment="1">
      <alignment horizontal="center" wrapText="1"/>
      <protection/>
    </xf>
    <xf numFmtId="3" fontId="13" fillId="0" borderId="0" xfId="101" applyNumberFormat="1" applyFont="1" applyFill="1" applyBorder="1" applyAlignment="1">
      <alignment horizontal="right"/>
      <protection/>
    </xf>
    <xf numFmtId="0" fontId="6" fillId="0" borderId="0" xfId="101" applyFont="1" applyFill="1" applyBorder="1" applyAlignment="1">
      <alignment horizontal="center"/>
      <protection/>
    </xf>
    <xf numFmtId="0" fontId="6" fillId="0" borderId="0" xfId="102" applyFont="1" applyFill="1" applyBorder="1" applyAlignment="1">
      <alignment horizontal="center" wrapText="1"/>
      <protection/>
    </xf>
    <xf numFmtId="3" fontId="6" fillId="0" borderId="0" xfId="10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10" fillId="0" borderId="75" xfId="101" applyFont="1" applyFill="1" applyBorder="1" applyAlignment="1">
      <alignment horizontal="center" vertical="center" wrapText="1"/>
      <protection/>
    </xf>
    <xf numFmtId="0" fontId="10" fillId="0" borderId="59" xfId="101" applyFont="1" applyFill="1" applyBorder="1" applyAlignment="1">
      <alignment horizontal="center" vertical="center" wrapText="1"/>
      <protection/>
    </xf>
    <xf numFmtId="0" fontId="2" fillId="0" borderId="128" xfId="91" applyFont="1" applyFill="1" applyBorder="1" applyAlignment="1">
      <alignment vertical="top" wrapText="1"/>
      <protection/>
    </xf>
    <xf numFmtId="3" fontId="2" fillId="0" borderId="128" xfId="92" applyNumberFormat="1" applyFont="1" applyFill="1" applyBorder="1" applyAlignment="1">
      <alignment horizontal="left" vertical="top" wrapText="1"/>
      <protection/>
    </xf>
    <xf numFmtId="0" fontId="2" fillId="0" borderId="25" xfId="91" applyFont="1" applyFill="1" applyBorder="1" applyAlignment="1">
      <alignment horizontal="left" vertical="top" wrapText="1"/>
      <protection/>
    </xf>
    <xf numFmtId="3" fontId="2" fillId="0" borderId="127" xfId="92" applyNumberFormat="1" applyFont="1" applyFill="1" applyBorder="1" applyAlignment="1">
      <alignment horizontal="left"/>
      <protection/>
    </xf>
    <xf numFmtId="3" fontId="85" fillId="0" borderId="140" xfId="91" applyNumberFormat="1" applyFont="1" applyFill="1" applyBorder="1" applyAlignment="1">
      <alignment horizontal="right" wrapText="1"/>
      <protection/>
    </xf>
    <xf numFmtId="0" fontId="85" fillId="0" borderId="24" xfId="101" applyFont="1" applyFill="1" applyBorder="1" applyAlignment="1">
      <alignment horizontal="center"/>
      <protection/>
    </xf>
    <xf numFmtId="0" fontId="85" fillId="0" borderId="25" xfId="101" applyFont="1" applyFill="1" applyBorder="1" applyAlignment="1">
      <alignment horizontal="center"/>
      <protection/>
    </xf>
    <xf numFmtId="0" fontId="85" fillId="0" borderId="25" xfId="91" applyFont="1" applyFill="1" applyBorder="1" applyAlignment="1">
      <alignment horizontal="left"/>
      <protection/>
    </xf>
    <xf numFmtId="3" fontId="85" fillId="0" borderId="25" xfId="101" applyNumberFormat="1" applyFont="1" applyFill="1" applyBorder="1" applyAlignment="1">
      <alignment horizontal="right"/>
      <protection/>
    </xf>
    <xf numFmtId="3" fontId="85" fillId="0" borderId="25" xfId="91" applyNumberFormat="1" applyFont="1" applyFill="1" applyBorder="1" applyAlignment="1">
      <alignment horizontal="right" wrapText="1"/>
      <protection/>
    </xf>
    <xf numFmtId="3" fontId="85" fillId="0" borderId="138" xfId="101" applyNumberFormat="1" applyFont="1" applyFill="1" applyBorder="1" applyAlignment="1">
      <alignment horizontal="right"/>
      <protection/>
    </xf>
    <xf numFmtId="0" fontId="85" fillId="0" borderId="0" xfId="101" applyFont="1" applyFill="1" applyBorder="1" applyAlignment="1">
      <alignment/>
      <protection/>
    </xf>
    <xf numFmtId="0" fontId="85" fillId="0" borderId="128" xfId="91" applyFont="1" applyFill="1" applyBorder="1" applyAlignment="1">
      <alignment/>
      <protection/>
    </xf>
    <xf numFmtId="3" fontId="2" fillId="0" borderId="28" xfId="101" applyNumberFormat="1" applyFont="1" applyFill="1" applyBorder="1" applyAlignment="1">
      <alignment horizontal="center" vertical="center" wrapText="1"/>
      <protection/>
    </xf>
    <xf numFmtId="3" fontId="2" fillId="0" borderId="124" xfId="91" applyNumberFormat="1" applyFont="1" applyFill="1" applyBorder="1" applyAlignment="1">
      <alignment horizontal="right" wrapText="1"/>
      <protection/>
    </xf>
    <xf numFmtId="3" fontId="85" fillId="0" borderId="122" xfId="91" applyNumberFormat="1" applyFont="1" applyFill="1" applyBorder="1" applyAlignment="1">
      <alignment horizontal="right" wrapText="1"/>
      <protection/>
    </xf>
    <xf numFmtId="0" fontId="2" fillId="0" borderId="75" xfId="101" applyFont="1" applyFill="1" applyBorder="1" applyAlignment="1">
      <alignment horizontal="center" wrapText="1"/>
      <protection/>
    </xf>
    <xf numFmtId="0" fontId="2" fillId="0" borderId="59" xfId="101" applyFont="1" applyFill="1" applyBorder="1" applyAlignment="1">
      <alignment horizontal="center" wrapText="1"/>
      <protection/>
    </xf>
    <xf numFmtId="0" fontId="85" fillId="0" borderId="59" xfId="10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3" fontId="10" fillId="0" borderId="0" xfId="92" applyNumberFormat="1" applyFont="1">
      <alignment/>
      <protection/>
    </xf>
    <xf numFmtId="3" fontId="10" fillId="0" borderId="0" xfId="92" applyNumberFormat="1" applyFont="1" applyAlignment="1">
      <alignment horizontal="center"/>
      <protection/>
    </xf>
    <xf numFmtId="3" fontId="10" fillId="0" borderId="0" xfId="92" applyNumberFormat="1" applyFont="1" applyAlignment="1">
      <alignment horizontal="left" wrapText="1"/>
      <protection/>
    </xf>
    <xf numFmtId="14" fontId="10" fillId="0" borderId="0" xfId="92" applyNumberFormat="1" applyFont="1" applyAlignment="1">
      <alignment horizontal="center"/>
      <protection/>
    </xf>
    <xf numFmtId="3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86" fillId="0" borderId="25" xfId="101" applyNumberFormat="1" applyFont="1" applyFill="1" applyBorder="1" applyAlignment="1">
      <alignment horizontal="right"/>
      <protection/>
    </xf>
    <xf numFmtId="3" fontId="86" fillId="0" borderId="25" xfId="91" applyNumberFormat="1" applyFont="1" applyFill="1" applyBorder="1" applyAlignment="1">
      <alignment horizontal="right" wrapText="1"/>
      <protection/>
    </xf>
    <xf numFmtId="3" fontId="86" fillId="0" borderId="124" xfId="91" applyNumberFormat="1" applyFont="1" applyFill="1" applyBorder="1" applyAlignment="1">
      <alignment horizontal="right" wrapText="1"/>
      <protection/>
    </xf>
    <xf numFmtId="3" fontId="86" fillId="0" borderId="142" xfId="91" applyNumberFormat="1" applyFont="1" applyFill="1" applyBorder="1" applyAlignment="1">
      <alignment horizontal="right" wrapText="1"/>
      <protection/>
    </xf>
    <xf numFmtId="3" fontId="85" fillId="0" borderId="141" xfId="91" applyNumberFormat="1" applyFont="1" applyFill="1" applyBorder="1" applyAlignment="1">
      <alignment horizontal="right" wrapText="1"/>
      <protection/>
    </xf>
    <xf numFmtId="3" fontId="86" fillId="0" borderId="122" xfId="91" applyNumberFormat="1" applyFont="1" applyFill="1" applyBorder="1" applyAlignment="1">
      <alignment horizontal="right" wrapText="1"/>
      <protection/>
    </xf>
    <xf numFmtId="3" fontId="86" fillId="0" borderId="122" xfId="101" applyNumberFormat="1" applyFont="1" applyFill="1" applyBorder="1" applyAlignment="1">
      <alignment horizontal="right"/>
      <protection/>
    </xf>
    <xf numFmtId="3" fontId="85" fillId="0" borderId="140" xfId="101" applyNumberFormat="1" applyFont="1" applyFill="1" applyBorder="1" applyAlignment="1">
      <alignment horizontal="right"/>
      <protection/>
    </xf>
    <xf numFmtId="0" fontId="2" fillId="0" borderId="128" xfId="91" applyFont="1" applyFill="1" applyBorder="1" applyAlignment="1">
      <alignment horizontal="left" wrapText="1"/>
      <protection/>
    </xf>
    <xf numFmtId="2" fontId="2" fillId="0" borderId="25" xfId="91" applyNumberFormat="1" applyFont="1" applyFill="1" applyBorder="1" applyAlignment="1">
      <alignment wrapText="1"/>
      <protection/>
    </xf>
    <xf numFmtId="0" fontId="86" fillId="0" borderId="0" xfId="101" applyFont="1" applyFill="1" applyBorder="1" applyAlignment="1">
      <alignment/>
      <protection/>
    </xf>
    <xf numFmtId="0" fontId="2" fillId="0" borderId="59" xfId="101" applyFont="1" applyFill="1" applyBorder="1" applyAlignment="1">
      <alignment horizontal="center" vertical="top" wrapText="1"/>
      <protection/>
    </xf>
    <xf numFmtId="0" fontId="2" fillId="0" borderId="25" xfId="101" applyFont="1" applyFill="1" applyBorder="1" applyAlignment="1">
      <alignment wrapText="1"/>
      <protection/>
    </xf>
    <xf numFmtId="0" fontId="4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3" fontId="2" fillId="0" borderId="27" xfId="0" applyNumberFormat="1" applyFont="1" applyBorder="1" applyAlignment="1">
      <alignment/>
    </xf>
    <xf numFmtId="3" fontId="5" fillId="0" borderId="27" xfId="0" applyNumberFormat="1" applyFont="1" applyFill="1" applyBorder="1" applyAlignment="1">
      <alignment vertical="center"/>
    </xf>
    <xf numFmtId="3" fontId="10" fillId="0" borderId="25" xfId="98" applyNumberFormat="1" applyFont="1" applyFill="1" applyBorder="1" applyAlignment="1">
      <alignment horizontal="left"/>
      <protection/>
    </xf>
    <xf numFmtId="3" fontId="10" fillId="0" borderId="29" xfId="98" applyNumberFormat="1" applyFont="1" applyFill="1" applyBorder="1" applyAlignment="1">
      <alignment vertical="top" wrapText="1"/>
      <protection/>
    </xf>
    <xf numFmtId="3" fontId="12" fillId="0" borderId="0" xfId="0" applyNumberFormat="1" applyFont="1" applyFill="1" applyAlignment="1">
      <alignment horizontal="right"/>
    </xf>
    <xf numFmtId="3" fontId="4" fillId="0" borderId="41" xfId="0" applyNumberFormat="1" applyFont="1" applyFill="1" applyBorder="1" applyAlignment="1">
      <alignment vertical="center"/>
    </xf>
    <xf numFmtId="3" fontId="4" fillId="0" borderId="166" xfId="0" applyNumberFormat="1" applyFont="1" applyFill="1" applyBorder="1" applyAlignment="1">
      <alignment horizontal="right" vertical="center"/>
    </xf>
    <xf numFmtId="0" fontId="2" fillId="0" borderId="0" xfId="75" applyFont="1" applyFill="1" applyBorder="1" applyAlignment="1" applyProtection="1">
      <alignment horizontal="center" vertical="center"/>
      <protection locked="0"/>
    </xf>
    <xf numFmtId="3" fontId="2" fillId="0" borderId="0" xfId="75" applyNumberFormat="1" applyFont="1" applyFill="1" applyBorder="1" applyAlignment="1" applyProtection="1">
      <alignment horizontal="center" vertical="center"/>
      <protection locked="0"/>
    </xf>
    <xf numFmtId="3" fontId="2" fillId="0" borderId="0" xfId="75" applyNumberFormat="1" applyFont="1" applyFill="1" applyBorder="1" applyAlignment="1" applyProtection="1">
      <alignment/>
      <protection locked="0"/>
    </xf>
    <xf numFmtId="3" fontId="2" fillId="0" borderId="0" xfId="75" applyNumberFormat="1" applyFont="1" applyFill="1" applyBorder="1" applyAlignment="1" applyProtection="1">
      <alignment horizontal="right"/>
      <protection locked="0"/>
    </xf>
    <xf numFmtId="0" fontId="2" fillId="0" borderId="0" xfId="75" applyFont="1" applyFill="1" applyBorder="1" applyProtection="1">
      <alignment/>
      <protection locked="0"/>
    </xf>
    <xf numFmtId="3" fontId="10" fillId="0" borderId="0" xfId="75" applyNumberFormat="1" applyFont="1" applyFill="1" applyBorder="1" applyAlignment="1" applyProtection="1">
      <alignment horizontal="left" vertical="top"/>
      <protection locked="0"/>
    </xf>
    <xf numFmtId="3" fontId="10" fillId="0" borderId="0" xfId="75" applyNumberFormat="1" applyFont="1" applyFill="1" applyBorder="1" applyAlignment="1" applyProtection="1">
      <alignment horizontal="center" vertical="top"/>
      <protection locked="0"/>
    </xf>
    <xf numFmtId="3" fontId="10" fillId="0" borderId="0" xfId="75" applyNumberFormat="1" applyFont="1" applyFill="1" applyBorder="1" applyAlignment="1" applyProtection="1">
      <alignment horizontal="center" vertical="center"/>
      <protection locked="0"/>
    </xf>
    <xf numFmtId="3" fontId="10" fillId="0" borderId="0" xfId="75" applyNumberFormat="1" applyFont="1" applyFill="1" applyBorder="1" applyAlignment="1" applyProtection="1">
      <alignment/>
      <protection locked="0"/>
    </xf>
    <xf numFmtId="3" fontId="4" fillId="0" borderId="154" xfId="91" applyNumberFormat="1" applyFont="1" applyFill="1" applyBorder="1" applyAlignment="1">
      <alignment horizontal="right" vertical="center" wrapText="1"/>
      <protection/>
    </xf>
    <xf numFmtId="3" fontId="4" fillId="0" borderId="45" xfId="91" applyNumberFormat="1" applyFont="1" applyFill="1" applyBorder="1" applyAlignment="1">
      <alignment horizontal="right" vertical="center" wrapText="1"/>
      <protection/>
    </xf>
    <xf numFmtId="3" fontId="2" fillId="0" borderId="25" xfId="88" applyNumberFormat="1" applyFont="1" applyFill="1" applyBorder="1" applyAlignment="1">
      <alignment horizontal="center" vertical="center"/>
      <protection/>
    </xf>
    <xf numFmtId="3" fontId="2" fillId="0" borderId="0" xfId="88" applyNumberFormat="1" applyFont="1" applyFill="1" applyBorder="1" applyAlignment="1">
      <alignment horizontal="center" vertical="center"/>
      <protection/>
    </xf>
    <xf numFmtId="3" fontId="4" fillId="0" borderId="143" xfId="91" applyNumberFormat="1" applyFont="1" applyFill="1" applyBorder="1" applyAlignment="1">
      <alignment horizontal="right" vertical="center" wrapText="1"/>
      <protection/>
    </xf>
    <xf numFmtId="0" fontId="80" fillId="0" borderId="0" xfId="100" applyFont="1" applyFill="1" applyBorder="1" applyAlignment="1">
      <alignment vertical="center"/>
      <protection/>
    </xf>
    <xf numFmtId="3" fontId="4" fillId="0" borderId="25" xfId="100" applyNumberFormat="1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 vertical="center"/>
    </xf>
    <xf numFmtId="0" fontId="87" fillId="0" borderId="14" xfId="0" applyFont="1" applyBorder="1" applyAlignment="1">
      <alignment horizontal="left" vertical="center" wrapText="1"/>
    </xf>
    <xf numFmtId="0" fontId="87" fillId="0" borderId="13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left" vertical="center" wrapText="1"/>
    </xf>
    <xf numFmtId="3" fontId="10" fillId="0" borderId="0" xfId="92" applyNumberFormat="1" applyFont="1" applyAlignment="1">
      <alignment horizontal="center" wrapText="1"/>
      <protection/>
    </xf>
    <xf numFmtId="3" fontId="10" fillId="0" borderId="0" xfId="92" applyNumberFormat="1" applyFont="1" applyBorder="1" applyAlignment="1">
      <alignment horizontal="center"/>
      <protection/>
    </xf>
    <xf numFmtId="3" fontId="10" fillId="0" borderId="27" xfId="92" applyNumberFormat="1" applyFont="1" applyBorder="1" applyAlignment="1">
      <alignment horizontal="center" vertical="center" wrapText="1"/>
      <protection/>
    </xf>
    <xf numFmtId="3" fontId="2" fillId="0" borderId="167" xfId="92" applyNumberFormat="1" applyFont="1" applyBorder="1" applyAlignment="1">
      <alignment horizontal="center" vertical="center" wrapText="1"/>
      <protection/>
    </xf>
    <xf numFmtId="3" fontId="2" fillId="0" borderId="118" xfId="92" applyNumberFormat="1" applyFont="1" applyBorder="1" applyAlignment="1">
      <alignment horizontal="center" vertical="center" wrapText="1"/>
      <protection/>
    </xf>
    <xf numFmtId="3" fontId="10" fillId="0" borderId="0" xfId="92" applyNumberFormat="1" applyFont="1" applyBorder="1" applyAlignment="1">
      <alignment horizontal="center" vertical="center" wrapText="1"/>
      <protection/>
    </xf>
    <xf numFmtId="3" fontId="2" fillId="0" borderId="13" xfId="92" applyNumberFormat="1" applyFont="1" applyBorder="1" applyAlignment="1">
      <alignment horizontal="center" wrapText="1"/>
      <protection/>
    </xf>
    <xf numFmtId="3" fontId="25" fillId="0" borderId="168" xfId="92" applyNumberFormat="1" applyFont="1" applyBorder="1" applyAlignment="1">
      <alignment horizontal="left"/>
      <protection/>
    </xf>
    <xf numFmtId="3" fontId="2" fillId="0" borderId="132" xfId="92" applyNumberFormat="1" applyFont="1" applyBorder="1" applyAlignment="1">
      <alignment horizontal="center" wrapText="1"/>
      <protection/>
    </xf>
    <xf numFmtId="14" fontId="2" fillId="0" borderId="139" xfId="92" applyNumberFormat="1" applyFont="1" applyBorder="1" applyAlignment="1">
      <alignment horizontal="center" vertical="center" wrapText="1"/>
      <protection/>
    </xf>
    <xf numFmtId="3" fontId="2" fillId="0" borderId="0" xfId="92" applyNumberFormat="1" applyFont="1" applyBorder="1" applyAlignment="1">
      <alignment horizontal="center" vertical="center" wrapText="1"/>
      <protection/>
    </xf>
    <xf numFmtId="3" fontId="2" fillId="0" borderId="169" xfId="92" applyNumberFormat="1" applyFont="1" applyBorder="1" applyAlignment="1">
      <alignment horizontal="center" vertical="center" wrapText="1"/>
      <protection/>
    </xf>
    <xf numFmtId="3" fontId="2" fillId="0" borderId="124" xfId="92" applyNumberFormat="1" applyFont="1" applyBorder="1" applyAlignment="1">
      <alignment horizontal="center" vertical="center" wrapText="1"/>
      <protection/>
    </xf>
    <xf numFmtId="0" fontId="2" fillId="0" borderId="142" xfId="92" applyNumberFormat="1" applyFont="1" applyBorder="1" applyAlignment="1">
      <alignment horizontal="center" vertical="center" wrapText="1"/>
      <protection/>
    </xf>
    <xf numFmtId="3" fontId="2" fillId="0" borderId="141" xfId="92" applyNumberFormat="1" applyFont="1" applyBorder="1" applyAlignment="1">
      <alignment horizontal="center" vertical="center" wrapText="1"/>
      <protection/>
    </xf>
    <xf numFmtId="3" fontId="2" fillId="0" borderId="142" xfId="92" applyNumberFormat="1" applyFont="1" applyBorder="1" applyAlignment="1">
      <alignment horizontal="center" vertical="center" wrapText="1"/>
      <protection/>
    </xf>
    <xf numFmtId="3" fontId="2" fillId="0" borderId="170" xfId="92" applyNumberFormat="1" applyFont="1" applyBorder="1" applyAlignment="1">
      <alignment horizontal="center" vertical="center" wrapText="1"/>
      <protection/>
    </xf>
    <xf numFmtId="3" fontId="2" fillId="0" borderId="25" xfId="92" applyNumberFormat="1" applyFont="1" applyBorder="1" applyAlignment="1">
      <alignment horizontal="left" vertical="center" wrapText="1"/>
      <protection/>
    </xf>
    <xf numFmtId="14" fontId="2" fillId="0" borderId="140" xfId="92" applyNumberFormat="1" applyFont="1" applyBorder="1" applyAlignment="1">
      <alignment horizontal="center" vertical="center" wrapText="1"/>
      <protection/>
    </xf>
    <xf numFmtId="3" fontId="2" fillId="0" borderId="59" xfId="92" applyNumberFormat="1" applyFont="1" applyBorder="1" applyAlignment="1">
      <alignment horizontal="right" vertical="center" wrapText="1"/>
      <protection/>
    </xf>
    <xf numFmtId="3" fontId="2" fillId="0" borderId="122" xfId="92" applyNumberFormat="1" applyFont="1" applyBorder="1" applyAlignment="1">
      <alignment horizontal="right" vertical="center" wrapText="1"/>
      <protection/>
    </xf>
    <xf numFmtId="3" fontId="2" fillId="0" borderId="25" xfId="92" applyNumberFormat="1" applyFont="1" applyBorder="1" applyAlignment="1">
      <alignment horizontal="right" vertical="center" wrapText="1"/>
      <protection/>
    </xf>
    <xf numFmtId="3" fontId="2" fillId="0" borderId="140" xfId="92" applyNumberFormat="1" applyFont="1" applyBorder="1" applyAlignment="1">
      <alignment horizontal="right" vertical="center" wrapText="1"/>
      <protection/>
    </xf>
    <xf numFmtId="3" fontId="2" fillId="0" borderId="26" xfId="92" applyNumberFormat="1" applyFont="1" applyFill="1" applyBorder="1" applyAlignment="1">
      <alignment horizontal="right" vertical="center" wrapText="1"/>
      <protection/>
    </xf>
    <xf numFmtId="3" fontId="2" fillId="0" borderId="25" xfId="92" applyNumberFormat="1" applyFont="1" applyBorder="1" applyAlignment="1">
      <alignment horizontal="center" vertical="top" wrapText="1"/>
      <protection/>
    </xf>
    <xf numFmtId="3" fontId="2" fillId="0" borderId="25" xfId="92" applyNumberFormat="1" applyFont="1" applyFill="1" applyBorder="1" applyAlignment="1">
      <alignment horizontal="left" vertical="center" wrapText="1"/>
      <protection/>
    </xf>
    <xf numFmtId="3" fontId="2" fillId="0" borderId="75" xfId="92" applyNumberFormat="1" applyFont="1" applyBorder="1" applyAlignment="1">
      <alignment horizontal="right" vertical="center" wrapText="1"/>
      <protection/>
    </xf>
    <xf numFmtId="3" fontId="2" fillId="0" borderId="113" xfId="92" applyNumberFormat="1" applyFont="1" applyBorder="1" applyAlignment="1">
      <alignment horizontal="right" vertical="center" wrapText="1"/>
      <protection/>
    </xf>
    <xf numFmtId="3" fontId="2" fillId="0" borderId="59" xfId="92" applyNumberFormat="1" applyFont="1" applyFill="1" applyBorder="1" applyAlignment="1">
      <alignment horizontal="right" vertical="center" wrapText="1"/>
      <protection/>
    </xf>
    <xf numFmtId="3" fontId="2" fillId="0" borderId="25" xfId="92" applyNumberFormat="1" applyFont="1" applyFill="1" applyBorder="1" applyAlignment="1">
      <alignment horizontal="right" vertical="center" wrapText="1"/>
      <protection/>
    </xf>
    <xf numFmtId="3" fontId="2" fillId="0" borderId="25" xfId="92" applyNumberFormat="1" applyFont="1" applyBorder="1" applyAlignment="1">
      <alignment horizontal="center" vertical="center" wrapText="1"/>
      <protection/>
    </xf>
    <xf numFmtId="0" fontId="2" fillId="0" borderId="132" xfId="0" applyFont="1" applyFill="1" applyBorder="1" applyAlignment="1">
      <alignment vertical="center" wrapText="1"/>
    </xf>
    <xf numFmtId="3" fontId="2" fillId="0" borderId="75" xfId="92" applyNumberFormat="1" applyFont="1" applyFill="1" applyBorder="1" applyAlignment="1">
      <alignment horizontal="right" vertical="center" wrapText="1"/>
      <protection/>
    </xf>
    <xf numFmtId="3" fontId="2" fillId="0" borderId="113" xfId="92" applyNumberFormat="1" applyFont="1" applyFill="1" applyBorder="1" applyAlignment="1">
      <alignment horizontal="right" vertical="center" wrapText="1"/>
      <protection/>
    </xf>
    <xf numFmtId="0" fontId="2" fillId="0" borderId="25" xfId="0" applyFont="1" applyFill="1" applyBorder="1" applyAlignment="1">
      <alignment wrapText="1"/>
    </xf>
    <xf numFmtId="3" fontId="2" fillId="0" borderId="168" xfId="92" applyNumberFormat="1" applyFont="1" applyBorder="1" applyAlignment="1">
      <alignment horizontal="center" vertical="center" wrapText="1"/>
      <protection/>
    </xf>
    <xf numFmtId="0" fontId="2" fillId="0" borderId="132" xfId="92" applyNumberFormat="1" applyFont="1" applyBorder="1" applyAlignment="1">
      <alignment horizontal="center" vertical="center" wrapText="1"/>
      <protection/>
    </xf>
    <xf numFmtId="3" fontId="2" fillId="0" borderId="171" xfId="92" applyNumberFormat="1" applyFont="1" applyBorder="1" applyAlignment="1">
      <alignment horizontal="center" vertical="center" wrapText="1"/>
      <protection/>
    </xf>
    <xf numFmtId="3" fontId="2" fillId="0" borderId="172" xfId="92" applyNumberFormat="1" applyFont="1" applyBorder="1" applyAlignment="1">
      <alignment horizontal="center" vertical="center" wrapText="1"/>
      <protection/>
    </xf>
    <xf numFmtId="3" fontId="2" fillId="0" borderId="132" xfId="92" applyNumberFormat="1" applyFont="1" applyBorder="1" applyAlignment="1">
      <alignment horizontal="center" vertical="center" wrapText="1"/>
      <protection/>
    </xf>
    <xf numFmtId="3" fontId="2" fillId="0" borderId="56" xfId="92" applyNumberFormat="1" applyFont="1" applyFill="1" applyBorder="1" applyAlignment="1">
      <alignment horizontal="center" vertical="center" wrapText="1"/>
      <protection/>
    </xf>
    <xf numFmtId="14" fontId="2" fillId="0" borderId="173" xfId="92" applyNumberFormat="1" applyFont="1" applyBorder="1" applyAlignment="1">
      <alignment horizontal="center" vertical="center" wrapText="1"/>
      <protection/>
    </xf>
    <xf numFmtId="3" fontId="2" fillId="0" borderId="161" xfId="92" applyNumberFormat="1" applyFont="1" applyBorder="1" applyAlignment="1">
      <alignment horizontal="right" vertical="center" wrapText="1"/>
      <protection/>
    </xf>
    <xf numFmtId="3" fontId="2" fillId="0" borderId="152" xfId="92" applyNumberFormat="1" applyFont="1" applyBorder="1" applyAlignment="1">
      <alignment horizontal="right" vertical="center" wrapText="1"/>
      <protection/>
    </xf>
    <xf numFmtId="3" fontId="4" fillId="0" borderId="143" xfId="92" applyNumberFormat="1" applyFont="1" applyBorder="1" applyAlignment="1">
      <alignment horizontal="right" vertical="center"/>
      <protection/>
    </xf>
    <xf numFmtId="3" fontId="4" fillId="0" borderId="74" xfId="92" applyNumberFormat="1" applyFont="1" applyBorder="1" applyAlignment="1">
      <alignment horizontal="right" vertical="center"/>
      <protection/>
    </xf>
    <xf numFmtId="3" fontId="4" fillId="0" borderId="34" xfId="92" applyNumberFormat="1" applyFont="1" applyBorder="1" applyAlignment="1">
      <alignment horizontal="right" vertical="center"/>
      <protection/>
    </xf>
    <xf numFmtId="3" fontId="12" fillId="0" borderId="29" xfId="98" applyNumberFormat="1" applyFont="1" applyFill="1" applyBorder="1" applyAlignment="1">
      <alignment/>
      <protection/>
    </xf>
    <xf numFmtId="3" fontId="12" fillId="0" borderId="24" xfId="0" applyNumberFormat="1" applyFont="1" applyFill="1" applyBorder="1" applyAlignment="1">
      <alignment horizontal="center"/>
    </xf>
    <xf numFmtId="3" fontId="12" fillId="0" borderId="25" xfId="98" applyNumberFormat="1" applyFont="1" applyFill="1" applyBorder="1" applyAlignment="1">
      <alignment horizontal="center"/>
      <protection/>
    </xf>
    <xf numFmtId="3" fontId="12" fillId="0" borderId="29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82" fillId="0" borderId="29" xfId="0" applyNumberFormat="1" applyFont="1" applyFill="1" applyBorder="1" applyAlignment="1">
      <alignment vertical="center"/>
    </xf>
    <xf numFmtId="3" fontId="82" fillId="0" borderId="59" xfId="0" applyNumberFormat="1" applyFont="1" applyFill="1" applyBorder="1" applyAlignment="1">
      <alignment/>
    </xf>
    <xf numFmtId="3" fontId="82" fillId="0" borderId="25" xfId="0" applyNumberFormat="1" applyFont="1" applyFill="1" applyBorder="1" applyAlignment="1">
      <alignment horizontal="right"/>
    </xf>
    <xf numFmtId="3" fontId="82" fillId="0" borderId="26" xfId="0" applyNumberFormat="1" applyFont="1" applyFill="1" applyBorder="1" applyAlignment="1">
      <alignment horizontal="right"/>
    </xf>
    <xf numFmtId="3" fontId="82" fillId="0" borderId="0" xfId="0" applyNumberFormat="1" applyFont="1" applyFill="1" applyAlignment="1">
      <alignment horizontal="right"/>
    </xf>
    <xf numFmtId="3" fontId="82" fillId="0" borderId="0" xfId="0" applyNumberFormat="1" applyFont="1" applyFill="1" applyAlignment="1">
      <alignment/>
    </xf>
    <xf numFmtId="3" fontId="81" fillId="0" borderId="122" xfId="88" applyNumberFormat="1" applyFont="1" applyFill="1" applyBorder="1" applyAlignment="1">
      <alignment horizontal="right"/>
      <protection/>
    </xf>
    <xf numFmtId="3" fontId="81" fillId="0" borderId="25" xfId="0" applyNumberFormat="1" applyFont="1" applyFill="1" applyBorder="1" applyAlignment="1">
      <alignment horizontal="right" wrapText="1"/>
    </xf>
    <xf numFmtId="3" fontId="81" fillId="0" borderId="26" xfId="0" applyNumberFormat="1" applyFont="1" applyFill="1" applyBorder="1" applyAlignment="1">
      <alignment horizontal="right" wrapText="1"/>
    </xf>
    <xf numFmtId="3" fontId="82" fillId="0" borderId="122" xfId="88" applyNumberFormat="1" applyFont="1" applyFill="1" applyBorder="1" applyAlignment="1">
      <alignment horizontal="right"/>
      <protection/>
    </xf>
    <xf numFmtId="3" fontId="81" fillId="0" borderId="25" xfId="0" applyNumberFormat="1" applyFont="1" applyFill="1" applyBorder="1" applyAlignment="1">
      <alignment horizontal="right" vertical="center" wrapText="1"/>
    </xf>
    <xf numFmtId="3" fontId="81" fillId="0" borderId="24" xfId="88" applyNumberFormat="1" applyFont="1" applyFill="1" applyBorder="1" applyAlignment="1">
      <alignment horizontal="center" vertical="center"/>
      <protection/>
    </xf>
    <xf numFmtId="3" fontId="81" fillId="0" borderId="25" xfId="88" applyNumberFormat="1" applyFont="1" applyFill="1" applyBorder="1" applyAlignment="1">
      <alignment horizontal="center" vertical="center"/>
      <protection/>
    </xf>
    <xf numFmtId="3" fontId="81" fillId="0" borderId="30" xfId="88" applyNumberFormat="1" applyFont="1" applyFill="1" applyBorder="1" applyAlignment="1">
      <alignment wrapText="1"/>
      <protection/>
    </xf>
    <xf numFmtId="3" fontId="81" fillId="0" borderId="25" xfId="88" applyNumberFormat="1" applyFont="1" applyFill="1" applyBorder="1" applyAlignment="1">
      <alignment horizontal="right"/>
      <protection/>
    </xf>
    <xf numFmtId="3" fontId="81" fillId="0" borderId="29" xfId="88" applyNumberFormat="1" applyFont="1" applyFill="1" applyBorder="1" applyAlignment="1">
      <alignment horizontal="right"/>
      <protection/>
    </xf>
    <xf numFmtId="3" fontId="81" fillId="0" borderId="59" xfId="88" applyNumberFormat="1" applyFont="1" applyFill="1" applyBorder="1" applyAlignment="1">
      <alignment horizontal="center"/>
      <protection/>
    </xf>
    <xf numFmtId="3" fontId="85" fillId="0" borderId="0" xfId="88" applyNumberFormat="1" applyFont="1" applyFill="1" applyAlignment="1">
      <alignment horizontal="center" vertical="center"/>
      <protection/>
    </xf>
    <xf numFmtId="3" fontId="81" fillId="0" borderId="30" xfId="88" applyNumberFormat="1" applyFont="1" applyFill="1" applyBorder="1" applyAlignment="1">
      <alignment horizontal="right"/>
      <protection/>
    </xf>
    <xf numFmtId="3" fontId="81" fillId="0" borderId="31" xfId="88" applyNumberFormat="1" applyFont="1" applyFill="1" applyBorder="1" applyAlignment="1">
      <alignment horizontal="right"/>
      <protection/>
    </xf>
    <xf numFmtId="3" fontId="81" fillId="0" borderId="75" xfId="88" applyNumberFormat="1" applyFont="1" applyFill="1" applyBorder="1" applyAlignment="1">
      <alignment horizontal="center"/>
      <protection/>
    </xf>
    <xf numFmtId="3" fontId="81" fillId="0" borderId="30" xfId="0" applyNumberFormat="1" applyFont="1" applyFill="1" applyBorder="1" applyAlignment="1">
      <alignment horizontal="right" wrapText="1"/>
    </xf>
    <xf numFmtId="3" fontId="81" fillId="0" borderId="35" xfId="0" applyNumberFormat="1" applyFont="1" applyFill="1" applyBorder="1" applyAlignment="1">
      <alignment horizontal="right" wrapText="1"/>
    </xf>
    <xf numFmtId="3" fontId="85" fillId="0" borderId="0" xfId="88" applyNumberFormat="1" applyFont="1" applyFill="1" applyAlignment="1">
      <alignment horizontal="center"/>
      <protection/>
    </xf>
    <xf numFmtId="3" fontId="82" fillId="0" borderId="24" xfId="88" applyNumberFormat="1" applyFont="1" applyFill="1" applyBorder="1" applyAlignment="1">
      <alignment horizontal="center" vertical="center"/>
      <protection/>
    </xf>
    <xf numFmtId="3" fontId="82" fillId="0" borderId="30" xfId="88" applyNumberFormat="1" applyFont="1" applyFill="1" applyBorder="1" applyAlignment="1">
      <alignment horizontal="left" wrapText="1" indent="4"/>
      <protection/>
    </xf>
    <xf numFmtId="3" fontId="82" fillId="0" borderId="25" xfId="88" applyNumberFormat="1" applyFont="1" applyFill="1" applyBorder="1" applyAlignment="1">
      <alignment horizontal="right"/>
      <protection/>
    </xf>
    <xf numFmtId="3" fontId="82" fillId="0" borderId="29" xfId="88" applyNumberFormat="1" applyFont="1" applyFill="1" applyBorder="1" applyAlignment="1">
      <alignment horizontal="right"/>
      <protection/>
    </xf>
    <xf numFmtId="3" fontId="82" fillId="0" borderId="59" xfId="88" applyNumberFormat="1" applyFont="1" applyFill="1" applyBorder="1" applyAlignment="1">
      <alignment horizontal="center"/>
      <protection/>
    </xf>
    <xf numFmtId="3" fontId="82" fillId="0" borderId="25" xfId="0" applyNumberFormat="1" applyFont="1" applyFill="1" applyBorder="1" applyAlignment="1">
      <alignment horizontal="right" wrapText="1"/>
    </xf>
    <xf numFmtId="3" fontId="82" fillId="0" borderId="26" xfId="0" applyNumberFormat="1" applyFont="1" applyFill="1" applyBorder="1" applyAlignment="1">
      <alignment horizontal="right" wrapText="1"/>
    </xf>
    <xf numFmtId="3" fontId="89" fillId="0" borderId="0" xfId="88" applyNumberFormat="1" applyFont="1" applyFill="1" applyAlignment="1">
      <alignment horizontal="center" vertical="center"/>
      <protection/>
    </xf>
    <xf numFmtId="3" fontId="89" fillId="0" borderId="0" xfId="88" applyNumberFormat="1" applyFont="1" applyFill="1" applyBorder="1" applyAlignment="1">
      <alignment horizontal="center" vertical="center"/>
      <protection/>
    </xf>
    <xf numFmtId="3" fontId="89" fillId="0" borderId="25" xfId="88" applyNumberFormat="1" applyFont="1" applyFill="1" applyBorder="1" applyAlignment="1">
      <alignment horizontal="center" vertical="center"/>
      <protection/>
    </xf>
    <xf numFmtId="3" fontId="82" fillId="0" borderId="30" xfId="88" applyNumberFormat="1" applyFont="1" applyFill="1" applyBorder="1" applyAlignment="1">
      <alignment horizontal="left" vertical="top" wrapText="1" indent="4"/>
      <protection/>
    </xf>
    <xf numFmtId="3" fontId="81" fillId="0" borderId="32" xfId="88" applyNumberFormat="1" applyFont="1" applyFill="1" applyBorder="1" applyAlignment="1">
      <alignment horizontal="center" vertical="center"/>
      <protection/>
    </xf>
    <xf numFmtId="3" fontId="82" fillId="0" borderId="0" xfId="88" applyNumberFormat="1" applyFont="1" applyFill="1" applyAlignment="1">
      <alignment horizontal="center" vertical="center"/>
      <protection/>
    </xf>
    <xf numFmtId="3" fontId="81" fillId="0" borderId="0" xfId="88" applyNumberFormat="1" applyFont="1" applyFill="1" applyAlignment="1">
      <alignment horizontal="center" vertical="center"/>
      <protection/>
    </xf>
    <xf numFmtId="3" fontId="81" fillId="0" borderId="30" xfId="88" applyNumberFormat="1" applyFont="1" applyFill="1" applyBorder="1" applyAlignment="1">
      <alignment horizontal="left" wrapText="1" indent="2"/>
      <protection/>
    </xf>
    <xf numFmtId="3" fontId="82" fillId="0" borderId="32" xfId="88" applyNumberFormat="1" applyFont="1" applyFill="1" applyBorder="1" applyAlignment="1">
      <alignment horizontal="center" vertical="center"/>
      <protection/>
    </xf>
    <xf numFmtId="3" fontId="82" fillId="0" borderId="30" xfId="88" applyNumberFormat="1" applyFont="1" applyFill="1" applyBorder="1" applyAlignment="1">
      <alignment horizontal="right"/>
      <protection/>
    </xf>
    <xf numFmtId="3" fontId="82" fillId="0" borderId="31" xfId="88" applyNumberFormat="1" applyFont="1" applyFill="1" applyBorder="1" applyAlignment="1">
      <alignment horizontal="right"/>
      <protection/>
    </xf>
    <xf numFmtId="3" fontId="82" fillId="0" borderId="30" xfId="0" applyNumberFormat="1" applyFont="1" applyFill="1" applyBorder="1" applyAlignment="1">
      <alignment horizontal="right" wrapText="1"/>
    </xf>
    <xf numFmtId="3" fontId="82" fillId="0" borderId="35" xfId="0" applyNumberFormat="1" applyFont="1" applyFill="1" applyBorder="1" applyAlignment="1">
      <alignment horizontal="right" wrapText="1"/>
    </xf>
    <xf numFmtId="3" fontId="82" fillId="0" borderId="75" xfId="88" applyNumberFormat="1" applyFont="1" applyFill="1" applyBorder="1" applyAlignment="1">
      <alignment horizontal="center"/>
      <protection/>
    </xf>
    <xf numFmtId="3" fontId="82" fillId="0" borderId="32" xfId="88" applyNumberFormat="1" applyFont="1" applyFill="1" applyBorder="1" applyAlignment="1">
      <alignment horizontal="center"/>
      <protection/>
    </xf>
    <xf numFmtId="3" fontId="81" fillId="0" borderId="25" xfId="88" applyNumberFormat="1" applyFont="1" applyFill="1" applyBorder="1" applyAlignment="1">
      <alignment horizontal="center"/>
      <protection/>
    </xf>
    <xf numFmtId="3" fontId="81" fillId="0" borderId="122" xfId="0" applyNumberFormat="1" applyFont="1" applyFill="1" applyBorder="1" applyAlignment="1">
      <alignment/>
    </xf>
    <xf numFmtId="3" fontId="85" fillId="0" borderId="0" xfId="88" applyNumberFormat="1" applyFont="1" applyFill="1" applyAlignment="1">
      <alignment/>
      <protection/>
    </xf>
    <xf numFmtId="3" fontId="81" fillId="0" borderId="149" xfId="88" applyNumberFormat="1" applyFont="1" applyFill="1" applyBorder="1" applyAlignment="1">
      <alignment horizontal="center" vertical="center"/>
      <protection/>
    </xf>
    <xf numFmtId="3" fontId="81" fillId="0" borderId="150" xfId="88" applyNumberFormat="1" applyFont="1" applyFill="1" applyBorder="1" applyAlignment="1">
      <alignment horizontal="center" vertical="center"/>
      <protection/>
    </xf>
    <xf numFmtId="3" fontId="81" fillId="0" borderId="161" xfId="88" applyNumberFormat="1" applyFont="1" applyFill="1" applyBorder="1" applyAlignment="1">
      <alignment horizontal="center"/>
      <protection/>
    </xf>
    <xf numFmtId="3" fontId="81" fillId="0" borderId="152" xfId="88" applyNumberFormat="1" applyFont="1" applyFill="1" applyBorder="1" applyAlignment="1">
      <alignment horizontal="right"/>
      <protection/>
    </xf>
    <xf numFmtId="3" fontId="81" fillId="0" borderId="150" xfId="0" applyNumberFormat="1" applyFont="1" applyFill="1" applyBorder="1" applyAlignment="1">
      <alignment horizontal="right" wrapText="1"/>
    </xf>
    <xf numFmtId="3" fontId="81" fillId="0" borderId="148" xfId="0" applyNumberFormat="1" applyFont="1" applyFill="1" applyBorder="1" applyAlignment="1">
      <alignment horizontal="right" wrapText="1"/>
    </xf>
    <xf numFmtId="3" fontId="90" fillId="0" borderId="0" xfId="88" applyNumberFormat="1" applyFont="1" applyFill="1" applyAlignment="1">
      <alignment horizontal="center" vertical="center"/>
      <protection/>
    </xf>
    <xf numFmtId="3" fontId="90" fillId="0" borderId="0" xfId="88" applyNumberFormat="1" applyFont="1" applyFill="1" applyBorder="1">
      <alignment/>
      <protection/>
    </xf>
    <xf numFmtId="14" fontId="2" fillId="0" borderId="140" xfId="92" applyNumberFormat="1" applyFont="1" applyFill="1" applyBorder="1" applyAlignment="1">
      <alignment horizontal="center" vertical="center" wrapText="1"/>
      <protection/>
    </xf>
    <xf numFmtId="3" fontId="12" fillId="0" borderId="24" xfId="0" applyNumberFormat="1" applyFont="1" applyFill="1" applyBorder="1" applyAlignment="1">
      <alignment horizontal="center" vertical="top"/>
    </xf>
    <xf numFmtId="3" fontId="12" fillId="0" borderId="122" xfId="0" applyNumberFormat="1" applyFont="1" applyFill="1" applyBorder="1" applyAlignment="1">
      <alignment horizontal="center"/>
    </xf>
    <xf numFmtId="3" fontId="12" fillId="0" borderId="25" xfId="98" applyNumberFormat="1" applyFont="1" applyFill="1" applyBorder="1" applyAlignment="1">
      <alignment horizontal="left"/>
      <protection/>
    </xf>
    <xf numFmtId="3" fontId="12" fillId="0" borderId="25" xfId="98" applyNumberFormat="1" applyFont="1" applyFill="1" applyBorder="1" applyAlignment="1">
      <alignment horizontal="center" vertical="top" wrapText="1"/>
      <protection/>
    </xf>
    <xf numFmtId="3" fontId="12" fillId="0" borderId="29" xfId="0" applyNumberFormat="1" applyFont="1" applyFill="1" applyBorder="1" applyAlignment="1">
      <alignment vertical="top"/>
    </xf>
    <xf numFmtId="0" fontId="4" fillId="0" borderId="0" xfId="101" applyFont="1" applyFill="1" applyBorder="1" applyAlignment="1">
      <alignment horizontal="center" vertical="center"/>
      <protection/>
    </xf>
    <xf numFmtId="0" fontId="5" fillId="0" borderId="0" xfId="101" applyFont="1" applyFill="1" applyBorder="1" applyAlignment="1">
      <alignment horizontal="center" vertical="center"/>
      <protection/>
    </xf>
    <xf numFmtId="0" fontId="2" fillId="0" borderId="0" xfId="83" applyFont="1" applyFill="1" applyBorder="1" applyAlignment="1">
      <alignment horizontal="center"/>
      <protection/>
    </xf>
    <xf numFmtId="0" fontId="2" fillId="0" borderId="0" xfId="83" applyFont="1" applyFill="1" applyBorder="1" applyAlignment="1">
      <alignment/>
      <protection/>
    </xf>
    <xf numFmtId="0" fontId="2" fillId="0" borderId="25" xfId="91" applyFont="1" applyFill="1" applyBorder="1" applyAlignment="1">
      <alignment horizontal="left" shrinkToFit="1"/>
      <protection/>
    </xf>
    <xf numFmtId="0" fontId="2" fillId="0" borderId="128" xfId="91" applyFont="1" applyFill="1" applyBorder="1" applyAlignment="1">
      <alignment shrinkToFit="1"/>
      <protection/>
    </xf>
    <xf numFmtId="0" fontId="2" fillId="0" borderId="25" xfId="101" applyFont="1" applyFill="1" applyBorder="1" applyAlignment="1">
      <alignment horizontal="center" vertical="center"/>
      <protection/>
    </xf>
    <xf numFmtId="3" fontId="4" fillId="0" borderId="26" xfId="10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left" wrapText="1"/>
    </xf>
    <xf numFmtId="3" fontId="13" fillId="0" borderId="25" xfId="98" applyNumberFormat="1" applyFont="1" applyFill="1" applyBorder="1" applyAlignment="1">
      <alignment horizontal="left"/>
      <protection/>
    </xf>
    <xf numFmtId="0" fontId="80" fillId="0" borderId="13" xfId="0" applyFont="1" applyFill="1" applyBorder="1" applyAlignment="1">
      <alignment horizontal="center" vertical="top"/>
    </xf>
    <xf numFmtId="3" fontId="10" fillId="0" borderId="0" xfId="101" applyNumberFormat="1" applyFont="1" applyAlignment="1" applyProtection="1">
      <alignment horizontal="center" vertical="center"/>
      <protection locked="0"/>
    </xf>
    <xf numFmtId="0" fontId="10" fillId="0" borderId="32" xfId="102" applyFont="1" applyBorder="1" applyAlignment="1" applyProtection="1">
      <alignment horizontal="center"/>
      <protection locked="0"/>
    </xf>
    <xf numFmtId="3" fontId="24" fillId="0" borderId="30" xfId="98" applyNumberFormat="1" applyFont="1" applyBorder="1" applyAlignment="1" applyProtection="1">
      <alignment horizontal="left"/>
      <protection locked="0"/>
    </xf>
    <xf numFmtId="0" fontId="24" fillId="0" borderId="30" xfId="101" applyFont="1" applyBorder="1" applyAlignment="1" applyProtection="1">
      <alignment horizontal="left" wrapText="1"/>
      <protection locked="0"/>
    </xf>
    <xf numFmtId="0" fontId="10" fillId="0" borderId="30" xfId="102" applyFont="1" applyBorder="1" applyAlignment="1" applyProtection="1">
      <alignment horizontal="center"/>
      <protection locked="0"/>
    </xf>
    <xf numFmtId="3" fontId="10" fillId="0" borderId="30" xfId="102" applyNumberFormat="1" applyFont="1" applyBorder="1" applyProtection="1">
      <alignment/>
      <protection locked="0"/>
    </xf>
    <xf numFmtId="3" fontId="10" fillId="0" borderId="30" xfId="101" applyNumberFormat="1" applyFont="1" applyBorder="1" applyProtection="1">
      <alignment/>
      <protection locked="0"/>
    </xf>
    <xf numFmtId="3" fontId="10" fillId="0" borderId="31" xfId="101" applyNumberFormat="1" applyFont="1" applyBorder="1" applyAlignment="1" applyProtection="1">
      <alignment horizontal="right"/>
      <protection locked="0"/>
    </xf>
    <xf numFmtId="3" fontId="10" fillId="0" borderId="35" xfId="101" applyNumberFormat="1" applyFont="1" applyBorder="1" applyAlignment="1" applyProtection="1">
      <alignment horizontal="left"/>
      <protection locked="0"/>
    </xf>
    <xf numFmtId="0" fontId="10" fillId="0" borderId="0" xfId="101" applyFont="1" applyAlignment="1" applyProtection="1">
      <alignment horizontal="left"/>
      <protection locked="0"/>
    </xf>
    <xf numFmtId="0" fontId="10" fillId="0" borderId="0" xfId="101" applyFont="1" applyAlignment="1" applyProtection="1">
      <alignment horizontal="center" vertical="center"/>
      <protection locked="0"/>
    </xf>
    <xf numFmtId="3" fontId="10" fillId="0" borderId="25" xfId="98" applyNumberFormat="1" applyFont="1" applyBorder="1" applyAlignment="1" applyProtection="1">
      <alignment horizontal="center" vertical="top"/>
      <protection locked="0"/>
    </xf>
    <xf numFmtId="0" fontId="10" fillId="0" borderId="25" xfId="101" applyFont="1" applyBorder="1" applyAlignment="1" applyProtection="1">
      <alignment horizontal="left" wrapText="1"/>
      <protection locked="0"/>
    </xf>
    <xf numFmtId="3" fontId="10" fillId="0" borderId="30" xfId="102" applyNumberFormat="1" applyFont="1" applyBorder="1" applyAlignment="1" applyProtection="1">
      <alignment vertical="center"/>
      <protection locked="0"/>
    </xf>
    <xf numFmtId="3" fontId="10" fillId="0" borderId="30" xfId="101" applyNumberFormat="1" applyFont="1" applyBorder="1" applyAlignment="1" applyProtection="1">
      <alignment vertical="center"/>
      <protection locked="0"/>
    </xf>
    <xf numFmtId="3" fontId="10" fillId="0" borderId="31" xfId="101" applyNumberFormat="1" applyFont="1" applyBorder="1" applyAlignment="1" applyProtection="1">
      <alignment horizontal="right" vertical="center"/>
      <protection locked="0"/>
    </xf>
    <xf numFmtId="3" fontId="10" fillId="0" borderId="35" xfId="101" applyNumberFormat="1" applyFont="1" applyBorder="1" applyAlignment="1" applyProtection="1">
      <alignment horizontal="right"/>
      <protection locked="0"/>
    </xf>
    <xf numFmtId="0" fontId="10" fillId="0" borderId="0" xfId="101" applyFont="1" applyProtection="1">
      <alignment/>
      <protection locked="0"/>
    </xf>
    <xf numFmtId="3" fontId="10" fillId="0" borderId="25" xfId="98" applyNumberFormat="1" applyFont="1" applyBorder="1" applyAlignment="1" applyProtection="1">
      <alignment horizontal="center"/>
      <protection locked="0"/>
    </xf>
    <xf numFmtId="0" fontId="10" fillId="0" borderId="30" xfId="101" applyFont="1" applyBorder="1" applyAlignment="1" applyProtection="1">
      <alignment horizontal="left" wrapText="1"/>
      <protection locked="0"/>
    </xf>
    <xf numFmtId="0" fontId="16" fillId="0" borderId="25" xfId="101" applyFont="1" applyBorder="1" applyProtection="1">
      <alignment/>
      <protection locked="0"/>
    </xf>
    <xf numFmtId="0" fontId="16" fillId="0" borderId="30" xfId="102" applyFont="1" applyBorder="1" applyAlignment="1" applyProtection="1">
      <alignment horizontal="left"/>
      <protection locked="0"/>
    </xf>
    <xf numFmtId="3" fontId="24" fillId="0" borderId="25" xfId="98" applyNumberFormat="1" applyFont="1" applyBorder="1" applyAlignment="1" applyProtection="1">
      <alignment horizontal="left"/>
      <protection locked="0"/>
    </xf>
    <xf numFmtId="0" fontId="16" fillId="0" borderId="25" xfId="101" applyFont="1" applyBorder="1" applyAlignment="1" applyProtection="1">
      <alignment horizontal="left"/>
      <protection locked="0"/>
    </xf>
    <xf numFmtId="3" fontId="13" fillId="0" borderId="30" xfId="102" applyNumberFormat="1" applyFont="1" applyBorder="1" applyProtection="1">
      <alignment/>
      <protection locked="0"/>
    </xf>
    <xf numFmtId="3" fontId="10" fillId="0" borderId="31" xfId="101" applyNumberFormat="1" applyFont="1" applyBorder="1" applyAlignment="1" applyProtection="1">
      <alignment horizontal="left"/>
      <protection locked="0"/>
    </xf>
    <xf numFmtId="0" fontId="13" fillId="0" borderId="25" xfId="101" applyFont="1" applyBorder="1" applyAlignment="1" applyProtection="1">
      <alignment wrapText="1"/>
      <protection locked="0"/>
    </xf>
    <xf numFmtId="0" fontId="30" fillId="0" borderId="25" xfId="101" applyFont="1" applyBorder="1" applyAlignment="1" applyProtection="1">
      <alignment horizontal="left"/>
      <protection locked="0"/>
    </xf>
    <xf numFmtId="0" fontId="10" fillId="0" borderId="32" xfId="102" applyFont="1" applyBorder="1" applyAlignment="1" applyProtection="1">
      <alignment horizontal="center" vertical="top"/>
      <protection locked="0"/>
    </xf>
    <xf numFmtId="0" fontId="10" fillId="0" borderId="25" xfId="101" applyFont="1" applyBorder="1" applyAlignment="1" applyProtection="1">
      <alignment horizontal="left" vertical="top" wrapText="1"/>
      <protection locked="0"/>
    </xf>
    <xf numFmtId="0" fontId="10" fillId="0" borderId="30" xfId="102" applyFont="1" applyBorder="1" applyAlignment="1" applyProtection="1">
      <alignment horizontal="center" vertical="top"/>
      <protection locked="0"/>
    </xf>
    <xf numFmtId="3" fontId="10" fillId="0" borderId="30" xfId="102" applyNumberFormat="1" applyFont="1" applyBorder="1" applyAlignment="1" applyProtection="1">
      <alignment horizontal="center" vertical="top"/>
      <protection locked="0"/>
    </xf>
    <xf numFmtId="3" fontId="10" fillId="0" borderId="30" xfId="101" applyNumberFormat="1" applyFont="1" applyBorder="1" applyAlignment="1" applyProtection="1">
      <alignment horizontal="right"/>
      <protection locked="0"/>
    </xf>
    <xf numFmtId="0" fontId="10" fillId="0" borderId="0" xfId="101" applyFont="1" applyAlignment="1" applyProtection="1">
      <alignment vertical="top"/>
      <protection locked="0"/>
    </xf>
    <xf numFmtId="0" fontId="10" fillId="0" borderId="30" xfId="101" applyFont="1" applyBorder="1" applyAlignment="1" applyProtection="1">
      <alignment horizontal="left" vertical="top" wrapText="1"/>
      <protection locked="0"/>
    </xf>
    <xf numFmtId="3" fontId="10" fillId="0" borderId="30" xfId="102" applyNumberFormat="1" applyFont="1" applyBorder="1" applyAlignment="1" applyProtection="1">
      <alignment horizontal="right"/>
      <protection locked="0"/>
    </xf>
    <xf numFmtId="3" fontId="24" fillId="0" borderId="30" xfId="0" applyNumberFormat="1" applyFont="1" applyBorder="1" applyAlignment="1" applyProtection="1">
      <alignment horizontal="left"/>
      <protection locked="0"/>
    </xf>
    <xf numFmtId="0" fontId="10" fillId="0" borderId="24" xfId="102" applyFont="1" applyBorder="1" applyAlignment="1" applyProtection="1">
      <alignment horizontal="center"/>
      <protection locked="0"/>
    </xf>
    <xf numFmtId="0" fontId="10" fillId="0" borderId="25" xfId="102" applyFont="1" applyBorder="1" applyAlignment="1" applyProtection="1">
      <alignment horizontal="center"/>
      <protection locked="0"/>
    </xf>
    <xf numFmtId="3" fontId="10" fillId="0" borderId="25" xfId="102" applyNumberFormat="1" applyFont="1" applyBorder="1" applyAlignment="1" applyProtection="1">
      <alignment vertical="center"/>
      <protection locked="0"/>
    </xf>
    <xf numFmtId="3" fontId="10" fillId="0" borderId="25" xfId="101" applyNumberFormat="1" applyFont="1" applyBorder="1" applyAlignment="1" applyProtection="1">
      <alignment vertical="center"/>
      <protection locked="0"/>
    </xf>
    <xf numFmtId="3" fontId="10" fillId="0" borderId="29" xfId="101" applyNumberFormat="1" applyFont="1" applyBorder="1" applyAlignment="1" applyProtection="1">
      <alignment horizontal="right" vertical="center"/>
      <protection locked="0"/>
    </xf>
    <xf numFmtId="3" fontId="10" fillId="0" borderId="26" xfId="101" applyNumberFormat="1" applyFont="1" applyBorder="1" applyAlignment="1" applyProtection="1">
      <alignment horizontal="right"/>
      <protection locked="0"/>
    </xf>
    <xf numFmtId="0" fontId="10" fillId="0" borderId="174" xfId="102" applyFont="1" applyBorder="1" applyAlignment="1" applyProtection="1">
      <alignment horizontal="center"/>
      <protection locked="0"/>
    </xf>
    <xf numFmtId="3" fontId="10" fillId="0" borderId="107" xfId="98" applyNumberFormat="1" applyFont="1" applyBorder="1" applyAlignment="1" applyProtection="1">
      <alignment horizontal="center"/>
      <protection locked="0"/>
    </xf>
    <xf numFmtId="0" fontId="10" fillId="0" borderId="107" xfId="101" applyFont="1" applyBorder="1" applyAlignment="1" applyProtection="1">
      <alignment horizontal="left" wrapText="1"/>
      <protection locked="0"/>
    </xf>
    <xf numFmtId="0" fontId="10" fillId="0" borderId="107" xfId="102" applyFont="1" applyBorder="1" applyAlignment="1" applyProtection="1">
      <alignment horizontal="center"/>
      <protection locked="0"/>
    </xf>
    <xf numFmtId="3" fontId="10" fillId="0" borderId="107" xfId="102" applyNumberFormat="1" applyFont="1" applyBorder="1" applyAlignment="1" applyProtection="1">
      <alignment vertical="center"/>
      <protection locked="0"/>
    </xf>
    <xf numFmtId="3" fontId="10" fillId="0" borderId="107" xfId="101" applyNumberFormat="1" applyFont="1" applyBorder="1" applyAlignment="1" applyProtection="1">
      <alignment vertical="center"/>
      <protection locked="0"/>
    </xf>
    <xf numFmtId="3" fontId="10" fillId="0" borderId="157" xfId="101" applyNumberFormat="1" applyFont="1" applyBorder="1" applyAlignment="1" applyProtection="1">
      <alignment horizontal="right" vertical="center"/>
      <protection locked="0"/>
    </xf>
    <xf numFmtId="3" fontId="10" fillId="0" borderId="145" xfId="101" applyNumberFormat="1" applyFont="1" applyBorder="1" applyAlignment="1" applyProtection="1">
      <alignment horizontal="right"/>
      <protection locked="0"/>
    </xf>
    <xf numFmtId="3" fontId="24" fillId="0" borderId="31" xfId="0" applyNumberFormat="1" applyFont="1" applyBorder="1" applyAlignment="1" applyProtection="1">
      <alignment horizontal="left"/>
      <protection locked="0"/>
    </xf>
    <xf numFmtId="3" fontId="10" fillId="0" borderId="30" xfId="98" applyNumberFormat="1" applyFont="1" applyBorder="1" applyAlignment="1" applyProtection="1">
      <alignment horizontal="center"/>
      <protection locked="0"/>
    </xf>
    <xf numFmtId="3" fontId="2" fillId="0" borderId="0" xfId="92" applyNumberFormat="1" applyFont="1" applyAlignment="1">
      <alignment horizontal="left" wrapText="1"/>
      <protection/>
    </xf>
    <xf numFmtId="3" fontId="4" fillId="0" borderId="0" xfId="88" applyNumberFormat="1" applyFont="1" applyFill="1" applyAlignment="1">
      <alignment horizontal="center"/>
      <protection/>
    </xf>
    <xf numFmtId="3" fontId="4" fillId="0" borderId="0" xfId="88" applyNumberFormat="1" applyFont="1" applyFill="1" applyAlignment="1">
      <alignment horizontal="center" vertical="center"/>
      <protection/>
    </xf>
    <xf numFmtId="3" fontId="2" fillId="0" borderId="0" xfId="92" applyNumberFormat="1" applyFont="1" applyAlignment="1">
      <alignment horizontal="center" vertical="center"/>
      <protection/>
    </xf>
    <xf numFmtId="3" fontId="80" fillId="0" borderId="25" xfId="92" applyNumberFormat="1" applyFont="1" applyBorder="1" applyAlignment="1">
      <alignment horizontal="right" vertical="center" wrapText="1"/>
      <protection/>
    </xf>
    <xf numFmtId="3" fontId="2" fillId="0" borderId="117" xfId="92" applyNumberFormat="1" applyFont="1" applyFill="1" applyBorder="1" applyAlignment="1">
      <alignment horizontal="center" vertical="center" wrapText="1"/>
      <protection/>
    </xf>
    <xf numFmtId="3" fontId="2" fillId="0" borderId="25" xfId="92" applyNumberFormat="1" applyFont="1" applyFill="1" applyBorder="1" applyAlignment="1">
      <alignment horizontal="center" vertical="center" wrapText="1"/>
      <protection/>
    </xf>
    <xf numFmtId="3" fontId="2" fillId="0" borderId="44" xfId="92" applyNumberFormat="1" applyFont="1" applyFill="1" applyBorder="1" applyAlignment="1">
      <alignment horizontal="right" vertical="center" wrapText="1"/>
      <protection/>
    </xf>
    <xf numFmtId="3" fontId="2" fillId="0" borderId="140" xfId="92" applyNumberFormat="1" applyFont="1" applyFill="1" applyBorder="1" applyAlignment="1">
      <alignment horizontal="right" vertical="center" wrapText="1"/>
      <protection/>
    </xf>
    <xf numFmtId="3" fontId="80" fillId="0" borderId="25" xfId="92" applyNumberFormat="1" applyFont="1" applyFill="1" applyBorder="1" applyAlignment="1">
      <alignment horizontal="right" vertical="center" wrapText="1"/>
      <protection/>
    </xf>
    <xf numFmtId="3" fontId="2" fillId="0" borderId="0" xfId="92" applyNumberFormat="1" applyFont="1" applyFill="1">
      <alignment/>
      <protection/>
    </xf>
    <xf numFmtId="3" fontId="2" fillId="0" borderId="25" xfId="92" applyNumberFormat="1" applyFont="1" applyFill="1" applyBorder="1" applyAlignment="1">
      <alignment horizontal="center" vertical="top" wrapText="1"/>
      <protection/>
    </xf>
    <xf numFmtId="3" fontId="2" fillId="0" borderId="24" xfId="92" applyNumberFormat="1" applyFont="1" applyFill="1" applyBorder="1" applyAlignment="1">
      <alignment horizontal="center" vertical="center" wrapText="1"/>
      <protection/>
    </xf>
    <xf numFmtId="0" fontId="2" fillId="0" borderId="25" xfId="91" applyFont="1" applyFill="1" applyBorder="1" applyAlignment="1">
      <alignment vertical="center"/>
      <protection/>
    </xf>
    <xf numFmtId="3" fontId="2" fillId="0" borderId="0" xfId="92" applyNumberFormat="1" applyFont="1" applyBorder="1" applyAlignment="1">
      <alignment horizontal="right" vertical="center" wrapText="1"/>
      <protection/>
    </xf>
    <xf numFmtId="3" fontId="2" fillId="0" borderId="113" xfId="92" applyNumberFormat="1" applyFont="1" applyFill="1" applyBorder="1" applyAlignment="1">
      <alignment horizontal="center" vertical="center" wrapText="1"/>
      <protection/>
    </xf>
    <xf numFmtId="3" fontId="2" fillId="0" borderId="127" xfId="92" applyNumberFormat="1" applyFont="1" applyBorder="1" applyAlignment="1">
      <alignment horizontal="right" vertical="center" wrapText="1"/>
      <protection/>
    </xf>
    <xf numFmtId="3" fontId="2" fillId="0" borderId="30" xfId="92" applyNumberFormat="1" applyFont="1" applyBorder="1" applyAlignment="1">
      <alignment horizontal="right" vertical="center" wrapText="1"/>
      <protection/>
    </xf>
    <xf numFmtId="14" fontId="2" fillId="0" borderId="175" xfId="92" applyNumberFormat="1" applyFont="1" applyBorder="1" applyAlignment="1">
      <alignment horizontal="center" vertical="center" wrapText="1"/>
      <protection/>
    </xf>
    <xf numFmtId="3" fontId="2" fillId="0" borderId="176" xfId="92" applyNumberFormat="1" applyFont="1" applyBorder="1" applyAlignment="1">
      <alignment horizontal="center" vertical="center" wrapText="1"/>
      <protection/>
    </xf>
    <xf numFmtId="14" fontId="2" fillId="0" borderId="177" xfId="92" applyNumberFormat="1" applyFont="1" applyBorder="1" applyAlignment="1">
      <alignment horizontal="center" vertical="center" wrapText="1"/>
      <protection/>
    </xf>
    <xf numFmtId="3" fontId="2" fillId="0" borderId="178" xfId="92" applyNumberFormat="1" applyFont="1" applyBorder="1" applyAlignment="1">
      <alignment horizontal="right" vertical="center" wrapText="1"/>
      <protection/>
    </xf>
    <xf numFmtId="3" fontId="2" fillId="0" borderId="156" xfId="92" applyNumberFormat="1" applyFont="1" applyBorder="1" applyAlignment="1">
      <alignment horizontal="right" vertical="center" wrapText="1"/>
      <protection/>
    </xf>
    <xf numFmtId="3" fontId="2" fillId="0" borderId="123" xfId="92" applyNumberFormat="1" applyFont="1" applyBorder="1" applyAlignment="1">
      <alignment horizontal="right" vertical="center" wrapText="1"/>
      <protection/>
    </xf>
    <xf numFmtId="3" fontId="2" fillId="0" borderId="54" xfId="92" applyNumberFormat="1" applyFont="1" applyBorder="1" applyAlignment="1">
      <alignment horizontal="right" vertical="center" wrapText="1"/>
      <protection/>
    </xf>
    <xf numFmtId="3" fontId="2" fillId="0" borderId="177" xfId="92" applyNumberFormat="1" applyFont="1" applyBorder="1" applyAlignment="1">
      <alignment horizontal="right" vertical="center" wrapText="1"/>
      <protection/>
    </xf>
    <xf numFmtId="3" fontId="2" fillId="0" borderId="55" xfId="92" applyNumberFormat="1" applyFont="1" applyBorder="1" applyAlignment="1">
      <alignment horizontal="right" vertical="center" wrapText="1"/>
      <protection/>
    </xf>
    <xf numFmtId="3" fontId="2" fillId="0" borderId="132" xfId="92" applyNumberFormat="1" applyFont="1" applyBorder="1" applyAlignment="1">
      <alignment horizontal="left" vertical="center" wrapText="1"/>
      <protection/>
    </xf>
    <xf numFmtId="3" fontId="2" fillId="0" borderId="76" xfId="92" applyNumberFormat="1" applyFont="1" applyBorder="1" applyAlignment="1">
      <alignment horizontal="center" vertical="center" wrapText="1"/>
      <protection/>
    </xf>
    <xf numFmtId="3" fontId="2" fillId="0" borderId="149" xfId="92" applyNumberFormat="1" applyFont="1" applyBorder="1" applyAlignment="1">
      <alignment horizontal="center" vertical="center" wrapText="1"/>
      <protection/>
    </xf>
    <xf numFmtId="3" fontId="2" fillId="0" borderId="150" xfId="92" applyNumberFormat="1" applyFont="1" applyBorder="1" applyAlignment="1">
      <alignment horizontal="center" vertical="center" wrapText="1"/>
      <protection/>
    </xf>
    <xf numFmtId="3" fontId="2" fillId="0" borderId="54" xfId="92" applyNumberFormat="1" applyFont="1" applyBorder="1" applyAlignment="1">
      <alignment horizontal="left" vertical="center" wrapText="1"/>
      <protection/>
    </xf>
    <xf numFmtId="3" fontId="2" fillId="0" borderId="179" xfId="92" applyNumberFormat="1" applyFont="1" applyBorder="1" applyAlignment="1">
      <alignment horizontal="right" vertical="center" wrapText="1"/>
      <protection/>
    </xf>
    <xf numFmtId="3" fontId="2" fillId="0" borderId="150" xfId="92" applyNumberFormat="1" applyFont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25" xfId="91" applyFont="1" applyFill="1" applyBorder="1" applyAlignment="1">
      <alignment vertical="center" wrapText="1"/>
      <protection/>
    </xf>
    <xf numFmtId="0" fontId="2" fillId="0" borderId="25" xfId="91" applyFont="1" applyFill="1" applyBorder="1" applyAlignment="1">
      <alignment vertical="center" shrinkToFit="1"/>
      <protection/>
    </xf>
    <xf numFmtId="3" fontId="2" fillId="0" borderId="0" xfId="90" applyNumberFormat="1" applyFont="1" applyAlignment="1">
      <alignment horizontal="right" vertical="center"/>
      <protection/>
    </xf>
    <xf numFmtId="3" fontId="10" fillId="0" borderId="29" xfId="98" applyNumberFormat="1" applyFont="1" applyFill="1" applyBorder="1" applyAlignment="1">
      <alignment horizontal="left"/>
      <protection/>
    </xf>
    <xf numFmtId="3" fontId="2" fillId="0" borderId="24" xfId="88" applyNumberFormat="1" applyFont="1" applyFill="1" applyBorder="1" applyAlignment="1">
      <alignment horizontal="center"/>
      <protection/>
    </xf>
    <xf numFmtId="3" fontId="2" fillId="0" borderId="25" xfId="88" applyNumberFormat="1" applyFont="1" applyFill="1" applyBorder="1">
      <alignment/>
      <protection/>
    </xf>
    <xf numFmtId="3" fontId="2" fillId="0" borderId="59" xfId="88" applyNumberFormat="1" applyFont="1" applyFill="1" applyBorder="1" applyAlignment="1">
      <alignment horizontal="center"/>
      <protection/>
    </xf>
    <xf numFmtId="0" fontId="25" fillId="0" borderId="25" xfId="91" applyFont="1" applyFill="1" applyBorder="1" applyAlignment="1">
      <alignment vertical="center" wrapText="1"/>
      <protection/>
    </xf>
    <xf numFmtId="3" fontId="10" fillId="0" borderId="180" xfId="101" applyNumberFormat="1" applyFont="1" applyFill="1" applyBorder="1" applyAlignment="1">
      <alignment horizontal="right" vertical="center"/>
      <protection/>
    </xf>
    <xf numFmtId="3" fontId="91" fillId="0" borderId="25" xfId="0" applyNumberFormat="1" applyFont="1" applyFill="1" applyBorder="1" applyAlignment="1">
      <alignment horizontal="right" wrapText="1"/>
    </xf>
    <xf numFmtId="3" fontId="91" fillId="0" borderId="26" xfId="0" applyNumberFormat="1" applyFont="1" applyFill="1" applyBorder="1" applyAlignment="1">
      <alignment horizontal="right" wrapText="1"/>
    </xf>
    <xf numFmtId="3" fontId="81" fillId="0" borderId="113" xfId="88" applyNumberFormat="1" applyFont="1" applyFill="1" applyBorder="1" applyAlignment="1">
      <alignment horizontal="right"/>
      <protection/>
    </xf>
    <xf numFmtId="3" fontId="91" fillId="0" borderId="30" xfId="0" applyNumberFormat="1" applyFont="1" applyFill="1" applyBorder="1" applyAlignment="1">
      <alignment horizontal="right" wrapText="1"/>
    </xf>
    <xf numFmtId="3" fontId="91" fillId="0" borderId="35" xfId="0" applyNumberFormat="1" applyFont="1" applyFill="1" applyBorder="1" applyAlignment="1">
      <alignment horizontal="right" wrapText="1"/>
    </xf>
    <xf numFmtId="3" fontId="81" fillId="0" borderId="122" xfId="88" applyNumberFormat="1" applyFont="1" applyFill="1" applyBorder="1" applyAlignment="1">
      <alignment horizontal="right" vertical="center"/>
      <protection/>
    </xf>
    <xf numFmtId="3" fontId="91" fillId="0" borderId="25" xfId="0" applyNumberFormat="1" applyFont="1" applyFill="1" applyBorder="1" applyAlignment="1">
      <alignment horizontal="right" vertical="center" wrapText="1"/>
    </xf>
    <xf numFmtId="3" fontId="91" fillId="0" borderId="26" xfId="0" applyNumberFormat="1" applyFont="1" applyFill="1" applyBorder="1" applyAlignment="1">
      <alignment horizontal="right" vertical="center" wrapText="1"/>
    </xf>
    <xf numFmtId="3" fontId="92" fillId="0" borderId="25" xfId="0" applyNumberFormat="1" applyFont="1" applyFill="1" applyBorder="1" applyAlignment="1">
      <alignment horizontal="right" wrapText="1"/>
    </xf>
    <xf numFmtId="3" fontId="92" fillId="0" borderId="26" xfId="0" applyNumberFormat="1" applyFont="1" applyFill="1" applyBorder="1" applyAlignment="1">
      <alignment horizontal="right" wrapText="1"/>
    </xf>
    <xf numFmtId="3" fontId="82" fillId="0" borderId="122" xfId="88" applyNumberFormat="1" applyFont="1" applyFill="1" applyBorder="1" applyAlignment="1">
      <alignment horizontal="right" vertical="center"/>
      <protection/>
    </xf>
    <xf numFmtId="3" fontId="92" fillId="0" borderId="25" xfId="0" applyNumberFormat="1" applyFont="1" applyFill="1" applyBorder="1" applyAlignment="1">
      <alignment horizontal="right" vertical="center" wrapText="1"/>
    </xf>
    <xf numFmtId="3" fontId="92" fillId="0" borderId="26" xfId="0" applyNumberFormat="1" applyFont="1" applyFill="1" applyBorder="1" applyAlignment="1">
      <alignment horizontal="right" vertical="center" wrapText="1"/>
    </xf>
    <xf numFmtId="3" fontId="92" fillId="0" borderId="30" xfId="0" applyNumberFormat="1" applyFont="1" applyFill="1" applyBorder="1" applyAlignment="1">
      <alignment horizontal="right" wrapText="1"/>
    </xf>
    <xf numFmtId="3" fontId="92" fillId="0" borderId="35" xfId="0" applyNumberFormat="1" applyFont="1" applyFill="1" applyBorder="1" applyAlignment="1">
      <alignment horizontal="right" wrapText="1"/>
    </xf>
    <xf numFmtId="3" fontId="85" fillId="0" borderId="25" xfId="88" applyNumberFormat="1" applyFont="1" applyFill="1" applyBorder="1">
      <alignment/>
      <protection/>
    </xf>
    <xf numFmtId="3" fontId="86" fillId="0" borderId="25" xfId="88" applyNumberFormat="1" applyFont="1" applyFill="1" applyBorder="1">
      <alignment/>
      <protection/>
    </xf>
    <xf numFmtId="3" fontId="86" fillId="0" borderId="26" xfId="88" applyNumberFormat="1" applyFont="1" applyFill="1" applyBorder="1">
      <alignment/>
      <protection/>
    </xf>
    <xf numFmtId="3" fontId="91" fillId="0" borderId="23" xfId="0" applyNumberFormat="1" applyFont="1" applyFill="1" applyBorder="1" applyAlignment="1">
      <alignment horizontal="right" wrapText="1"/>
    </xf>
    <xf numFmtId="3" fontId="81" fillId="0" borderId="136" xfId="0" applyNumberFormat="1" applyFont="1" applyFill="1" applyBorder="1" applyAlignment="1">
      <alignment horizontal="right"/>
    </xf>
    <xf numFmtId="3" fontId="81" fillId="0" borderId="113" xfId="0" applyNumberFormat="1" applyFont="1" applyFill="1" applyBorder="1" applyAlignment="1">
      <alignment horizontal="right"/>
    </xf>
    <xf numFmtId="3" fontId="85" fillId="0" borderId="122" xfId="101" applyNumberFormat="1" applyFont="1" applyFill="1" applyBorder="1" applyAlignment="1">
      <alignment horizontal="right"/>
      <protection/>
    </xf>
    <xf numFmtId="3" fontId="13" fillId="0" borderId="122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vertical="center"/>
    </xf>
    <xf numFmtId="3" fontId="13" fillId="0" borderId="123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107" xfId="0" applyNumberFormat="1" applyFont="1" applyFill="1" applyBorder="1" applyAlignment="1">
      <alignment horizontal="center" vertical="center"/>
    </xf>
    <xf numFmtId="3" fontId="13" fillId="0" borderId="147" xfId="0" applyNumberFormat="1" applyFont="1" applyFill="1" applyBorder="1" applyAlignment="1">
      <alignment horizontal="center" vertical="center"/>
    </xf>
    <xf numFmtId="3" fontId="13" fillId="0" borderId="107" xfId="0" applyNumberFormat="1" applyFont="1" applyFill="1" applyBorder="1" applyAlignment="1">
      <alignment vertical="center"/>
    </xf>
    <xf numFmtId="3" fontId="16" fillId="0" borderId="25" xfId="98" applyNumberFormat="1" applyFont="1" applyFill="1" applyBorder="1" applyAlignment="1">
      <alignment horizontal="left"/>
      <protection/>
    </xf>
    <xf numFmtId="3" fontId="16" fillId="0" borderId="122" xfId="0" applyNumberFormat="1" applyFont="1" applyFill="1" applyBorder="1" applyAlignment="1">
      <alignment horizontal="center" vertical="center"/>
    </xf>
    <xf numFmtId="3" fontId="16" fillId="0" borderId="25" xfId="98" applyNumberFormat="1" applyFont="1" applyFill="1" applyBorder="1" applyAlignment="1">
      <alignment horizontal="left" indent="1"/>
      <protection/>
    </xf>
    <xf numFmtId="3" fontId="16" fillId="0" borderId="25" xfId="98" applyNumberFormat="1" applyFont="1" applyFill="1" applyBorder="1" applyAlignment="1">
      <alignment horizontal="center" vertical="center"/>
      <protection/>
    </xf>
    <xf numFmtId="3" fontId="16" fillId="0" borderId="25" xfId="0" applyNumberFormat="1" applyFont="1" applyFill="1" applyBorder="1" applyAlignment="1">
      <alignment vertical="center"/>
    </xf>
    <xf numFmtId="3" fontId="13" fillId="0" borderId="25" xfId="98" applyNumberFormat="1" applyFont="1" applyFill="1" applyBorder="1" applyAlignment="1">
      <alignment horizontal="center" vertical="center"/>
      <protection/>
    </xf>
    <xf numFmtId="3" fontId="13" fillId="0" borderId="149" xfId="0" applyNumberFormat="1" applyFont="1" applyFill="1" applyBorder="1" applyAlignment="1">
      <alignment horizontal="center" vertical="center"/>
    </xf>
    <xf numFmtId="3" fontId="13" fillId="0" borderId="152" xfId="0" applyNumberFormat="1" applyFont="1" applyFill="1" applyBorder="1" applyAlignment="1">
      <alignment horizontal="center" vertical="center"/>
    </xf>
    <xf numFmtId="3" fontId="13" fillId="0" borderId="150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/>
    </xf>
    <xf numFmtId="3" fontId="13" fillId="0" borderId="25" xfId="98" applyNumberFormat="1" applyFont="1" applyFill="1" applyBorder="1" applyAlignment="1">
      <alignment horizontal="center"/>
      <protection/>
    </xf>
    <xf numFmtId="3" fontId="16" fillId="0" borderId="25" xfId="0" applyNumberFormat="1" applyFont="1" applyFill="1" applyBorder="1" applyAlignment="1">
      <alignment horizontal="center"/>
    </xf>
    <xf numFmtId="3" fontId="16" fillId="0" borderId="25" xfId="0" applyNumberFormat="1" applyFont="1" applyFill="1" applyBorder="1" applyAlignment="1">
      <alignment/>
    </xf>
    <xf numFmtId="0" fontId="45" fillId="0" borderId="13" xfId="0" applyFont="1" applyBorder="1" applyAlignment="1">
      <alignment horizontal="left" wrapText="1"/>
    </xf>
    <xf numFmtId="3" fontId="45" fillId="0" borderId="0" xfId="0" applyNumberFormat="1" applyFont="1" applyBorder="1" applyAlignment="1">
      <alignment horizontal="right"/>
    </xf>
    <xf numFmtId="10" fontId="45" fillId="0" borderId="27" xfId="111" applyNumberFormat="1" applyFont="1" applyBorder="1" applyAlignment="1">
      <alignment/>
    </xf>
    <xf numFmtId="3" fontId="4" fillId="0" borderId="0" xfId="111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6" fillId="0" borderId="13" xfId="90" applyFont="1" applyBorder="1" applyAlignment="1">
      <alignment horizontal="left" vertical="center" wrapText="1" indent="2"/>
      <protection/>
    </xf>
    <xf numFmtId="3" fontId="46" fillId="0" borderId="0" xfId="90" applyNumberFormat="1" applyFont="1" applyBorder="1" applyAlignment="1">
      <alignment vertical="center"/>
      <protection/>
    </xf>
    <xf numFmtId="10" fontId="46" fillId="0" borderId="27" xfId="111" applyNumberFormat="1" applyFont="1" applyBorder="1" applyAlignment="1">
      <alignment vertical="center"/>
    </xf>
    <xf numFmtId="0" fontId="45" fillId="0" borderId="13" xfId="90" applyFont="1" applyBorder="1" applyAlignment="1">
      <alignment wrapText="1"/>
      <protection/>
    </xf>
    <xf numFmtId="3" fontId="45" fillId="0" borderId="0" xfId="90" applyNumberFormat="1" applyFont="1" applyBorder="1" applyAlignment="1">
      <alignment/>
      <protection/>
    </xf>
    <xf numFmtId="0" fontId="45" fillId="0" borderId="13" xfId="90" applyFont="1" applyFill="1" applyBorder="1" applyAlignment="1">
      <alignment wrapText="1"/>
      <protection/>
    </xf>
    <xf numFmtId="3" fontId="45" fillId="0" borderId="0" xfId="90" applyNumberFormat="1" applyFont="1" applyFill="1" applyBorder="1" applyAlignment="1">
      <alignment/>
      <protection/>
    </xf>
    <xf numFmtId="10" fontId="45" fillId="0" borderId="27" xfId="111" applyNumberFormat="1" applyFont="1" applyFill="1" applyBorder="1" applyAlignment="1">
      <alignment/>
    </xf>
    <xf numFmtId="3" fontId="4" fillId="0" borderId="0" xfId="111" applyNumberFormat="1" applyFont="1" applyFill="1" applyBorder="1" applyAlignment="1">
      <alignment/>
    </xf>
    <xf numFmtId="0" fontId="4" fillId="0" borderId="0" xfId="90" applyFont="1" applyFill="1" applyAlignment="1">
      <alignment/>
      <protection/>
    </xf>
    <xf numFmtId="0" fontId="46" fillId="0" borderId="13" xfId="90" applyFont="1" applyFill="1" applyBorder="1" applyAlignment="1">
      <alignment horizontal="left" vertical="center" wrapText="1" indent="2"/>
      <protection/>
    </xf>
    <xf numFmtId="3" fontId="46" fillId="0" borderId="0" xfId="90" applyNumberFormat="1" applyFont="1" applyFill="1" applyBorder="1" applyAlignment="1">
      <alignment vertical="center"/>
      <protection/>
    </xf>
    <xf numFmtId="10" fontId="46" fillId="0" borderId="27" xfId="111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horizontal="left" vertical="center" wrapText="1"/>
    </xf>
    <xf numFmtId="3" fontId="13" fillId="0" borderId="181" xfId="88" applyNumberFormat="1" applyFont="1" applyFill="1" applyBorder="1" applyAlignment="1">
      <alignment horizontal="center" vertical="center"/>
      <protection/>
    </xf>
    <xf numFmtId="3" fontId="10" fillId="0" borderId="182" xfId="88" applyNumberFormat="1" applyFont="1" applyFill="1" applyBorder="1" applyAlignment="1">
      <alignment horizontal="center" vertical="center" wrapText="1"/>
      <protection/>
    </xf>
    <xf numFmtId="3" fontId="10" fillId="0" borderId="183" xfId="88" applyNumberFormat="1" applyFont="1" applyFill="1" applyBorder="1" applyAlignment="1">
      <alignment horizontal="center"/>
      <protection/>
    </xf>
    <xf numFmtId="3" fontId="81" fillId="0" borderId="184" xfId="0" applyNumberFormat="1" applyFont="1" applyFill="1" applyBorder="1" applyAlignment="1">
      <alignment vertical="center"/>
    </xf>
    <xf numFmtId="3" fontId="2" fillId="33" borderId="0" xfId="88" applyNumberFormat="1" applyFont="1" applyFill="1" applyAlignment="1">
      <alignment horizontal="center" vertical="center"/>
      <protection/>
    </xf>
    <xf numFmtId="3" fontId="2" fillId="33" borderId="0" xfId="88" applyNumberFormat="1" applyFont="1" applyFill="1" applyAlignment="1">
      <alignment horizont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60" applyFont="1" applyFill="1" applyBorder="1" applyAlignment="1">
      <alignment horizontal="left" vertical="center"/>
      <protection/>
    </xf>
    <xf numFmtId="0" fontId="4" fillId="0" borderId="0" xfId="93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3" fontId="92" fillId="0" borderId="30" xfId="88" applyNumberFormat="1" applyFont="1" applyFill="1" applyBorder="1" applyAlignment="1">
      <alignment horizontal="left" vertical="top" wrapText="1" indent="4"/>
      <protection/>
    </xf>
    <xf numFmtId="3" fontId="2" fillId="0" borderId="25" xfId="50" applyNumberFormat="1" applyFont="1" applyFill="1" applyBorder="1" applyAlignment="1">
      <alignment horizontal="right" vertical="center"/>
    </xf>
    <xf numFmtId="3" fontId="2" fillId="0" borderId="26" xfId="50" applyNumberFormat="1" applyFont="1" applyFill="1" applyBorder="1" applyAlignment="1">
      <alignment horizontal="right" vertical="center"/>
    </xf>
    <xf numFmtId="3" fontId="2" fillId="0" borderId="54" xfId="50" applyNumberFormat="1" applyFont="1" applyFill="1" applyBorder="1" applyAlignment="1">
      <alignment horizontal="right" vertical="center"/>
    </xf>
    <xf numFmtId="3" fontId="2" fillId="0" borderId="55" xfId="50" applyNumberFormat="1" applyFont="1" applyFill="1" applyBorder="1" applyAlignment="1">
      <alignment horizontal="right" vertical="center"/>
    </xf>
    <xf numFmtId="0" fontId="2" fillId="0" borderId="185" xfId="97" applyFont="1" applyFill="1" applyBorder="1" applyAlignment="1">
      <alignment horizontal="center" vertical="top"/>
      <protection/>
    </xf>
    <xf numFmtId="14" fontId="2" fillId="34" borderId="54" xfId="97" applyNumberFormat="1" applyFont="1" applyFill="1" applyBorder="1" applyAlignment="1">
      <alignment horizontal="center" vertical="center"/>
      <protection/>
    </xf>
    <xf numFmtId="0" fontId="2" fillId="0" borderId="186" xfId="97" applyFont="1" applyFill="1" applyBorder="1" applyAlignment="1">
      <alignment horizontal="center" vertical="top"/>
      <protection/>
    </xf>
    <xf numFmtId="14" fontId="2" fillId="34" borderId="107" xfId="97" applyNumberFormat="1" applyFont="1" applyFill="1" applyBorder="1" applyAlignment="1">
      <alignment horizontal="center" vertical="center"/>
      <protection/>
    </xf>
    <xf numFmtId="3" fontId="2" fillId="0" borderId="107" xfId="50" applyNumberFormat="1" applyFont="1" applyFill="1" applyBorder="1" applyAlignment="1">
      <alignment horizontal="right" vertical="center"/>
    </xf>
    <xf numFmtId="3" fontId="2" fillId="0" borderId="145" xfId="50" applyNumberFormat="1" applyFont="1" applyFill="1" applyBorder="1" applyAlignment="1">
      <alignment horizontal="right" vertical="center"/>
    </xf>
    <xf numFmtId="0" fontId="93" fillId="0" borderId="38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left" vertical="center" wrapText="1"/>
    </xf>
    <xf numFmtId="0" fontId="87" fillId="0" borderId="27" xfId="0" applyFont="1" applyFill="1" applyBorder="1" applyAlignment="1">
      <alignment horizontal="left" vertical="center" wrapText="1"/>
    </xf>
    <xf numFmtId="0" fontId="88" fillId="0" borderId="27" xfId="0" applyFont="1" applyFill="1" applyBorder="1" applyAlignment="1">
      <alignment horizontal="left" vertical="center" wrapText="1"/>
    </xf>
    <xf numFmtId="0" fontId="88" fillId="0" borderId="28" xfId="0" applyFont="1" applyFill="1" applyBorder="1" applyAlignment="1">
      <alignment horizontal="left" vertical="center" wrapText="1"/>
    </xf>
    <xf numFmtId="3" fontId="93" fillId="0" borderId="2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2" fillId="0" borderId="18" xfId="93" applyFont="1" applyFill="1" applyBorder="1" applyAlignment="1">
      <alignment horizontal="left" vertical="center"/>
      <protection/>
    </xf>
    <xf numFmtId="0" fontId="2" fillId="0" borderId="187" xfId="91" applyFont="1" applyFill="1" applyBorder="1" applyAlignment="1">
      <alignment horizontal="left" vertical="center" wrapText="1"/>
      <protection/>
    </xf>
    <xf numFmtId="0" fontId="87" fillId="0" borderId="187" xfId="93" applyFont="1" applyFill="1" applyBorder="1" applyAlignment="1">
      <alignment horizontal="left" vertical="center" wrapText="1"/>
      <protection/>
    </xf>
    <xf numFmtId="0" fontId="2" fillId="0" borderId="187" xfId="101" applyFont="1" applyFill="1" applyBorder="1" applyAlignment="1">
      <alignment horizontal="left" vertical="center" wrapText="1"/>
      <protection/>
    </xf>
    <xf numFmtId="0" fontId="2" fillId="0" borderId="187" xfId="91" applyFont="1" applyFill="1" applyBorder="1" applyAlignment="1">
      <alignment horizontal="left"/>
      <protection/>
    </xf>
    <xf numFmtId="3" fontId="4" fillId="0" borderId="188" xfId="93" applyNumberFormat="1" applyFont="1" applyFill="1" applyBorder="1" applyAlignment="1">
      <alignment horizontal="right" vertical="center"/>
      <protection/>
    </xf>
    <xf numFmtId="0" fontId="2" fillId="0" borderId="189" xfId="91" applyFont="1" applyFill="1" applyBorder="1" applyAlignment="1">
      <alignment vertical="center" wrapText="1"/>
      <protection/>
    </xf>
    <xf numFmtId="3" fontId="2" fillId="0" borderId="81" xfId="0" applyNumberFormat="1" applyFont="1" applyBorder="1" applyAlignment="1">
      <alignment horizontal="right" vertical="center" wrapText="1"/>
    </xf>
    <xf numFmtId="0" fontId="87" fillId="0" borderId="190" xfId="93" applyFont="1" applyFill="1" applyBorder="1" applyAlignment="1">
      <alignment horizontal="left" vertical="center" wrapText="1"/>
      <protection/>
    </xf>
    <xf numFmtId="3" fontId="2" fillId="0" borderId="86" xfId="0" applyNumberFormat="1" applyFont="1" applyBorder="1" applyAlignment="1">
      <alignment horizontal="right" vertical="center" wrapText="1"/>
    </xf>
    <xf numFmtId="0" fontId="2" fillId="0" borderId="190" xfId="101" applyFont="1" applyFill="1" applyBorder="1" applyAlignment="1">
      <alignment vertical="center" wrapText="1"/>
      <protection/>
    </xf>
    <xf numFmtId="0" fontId="2" fillId="0" borderId="191" xfId="93" applyFont="1" applyFill="1" applyBorder="1" applyAlignment="1">
      <alignment vertical="center" wrapText="1"/>
      <protection/>
    </xf>
    <xf numFmtId="3" fontId="2" fillId="0" borderId="188" xfId="0" applyNumberFormat="1" applyFont="1" applyBorder="1" applyAlignment="1">
      <alignment horizontal="right" vertical="center" wrapText="1"/>
    </xf>
    <xf numFmtId="0" fontId="4" fillId="0" borderId="68" xfId="93" applyFont="1" applyFill="1" applyBorder="1" applyAlignment="1">
      <alignment horizontal="center" vertical="center" wrapText="1"/>
      <protection/>
    </xf>
    <xf numFmtId="3" fontId="4" fillId="0" borderId="39" xfId="93" applyNumberFormat="1" applyFont="1" applyFill="1" applyBorder="1" applyAlignment="1">
      <alignment horizontal="right" vertical="center"/>
      <protection/>
    </xf>
    <xf numFmtId="3" fontId="81" fillId="0" borderId="25" xfId="98" applyNumberFormat="1" applyFont="1" applyFill="1" applyBorder="1" applyAlignment="1">
      <alignment horizontal="left"/>
      <protection/>
    </xf>
    <xf numFmtId="3" fontId="81" fillId="0" borderId="107" xfId="98" applyNumberFormat="1" applyFont="1" applyFill="1" applyBorder="1" applyAlignment="1">
      <alignment/>
      <protection/>
    </xf>
    <xf numFmtId="3" fontId="81" fillId="0" borderId="29" xfId="98" applyNumberFormat="1" applyFont="1" applyFill="1" applyBorder="1" applyAlignment="1">
      <alignment/>
      <protection/>
    </xf>
    <xf numFmtId="3" fontId="10" fillId="0" borderId="192" xfId="0" applyNumberFormat="1" applyFont="1" applyFill="1" applyBorder="1" applyAlignment="1">
      <alignment horizontal="center" vertical="center" wrapText="1"/>
    </xf>
    <xf numFmtId="3" fontId="81" fillId="0" borderId="26" xfId="0" applyNumberFormat="1" applyFont="1" applyFill="1" applyBorder="1" applyAlignment="1">
      <alignment horizontal="right" vertical="center" wrapText="1"/>
    </xf>
    <xf numFmtId="3" fontId="91" fillId="0" borderId="134" xfId="0" applyNumberFormat="1" applyFont="1" applyFill="1" applyBorder="1" applyAlignment="1">
      <alignment horizontal="right" wrapText="1"/>
    </xf>
    <xf numFmtId="0" fontId="2" fillId="0" borderId="25" xfId="101" applyFont="1" applyBorder="1" applyAlignment="1">
      <alignment vertical="center" wrapText="1"/>
      <protection/>
    </xf>
    <xf numFmtId="0" fontId="2" fillId="0" borderId="51" xfId="101" applyFont="1" applyFill="1" applyBorder="1" applyAlignment="1">
      <alignment horizontal="center" vertical="center"/>
      <protection/>
    </xf>
    <xf numFmtId="0" fontId="10" fillId="0" borderId="52" xfId="101" applyFont="1" applyBorder="1" applyAlignment="1">
      <alignment horizontal="left" vertical="center" wrapText="1"/>
      <protection/>
    </xf>
    <xf numFmtId="3" fontId="2" fillId="0" borderId="52" xfId="100" applyNumberFormat="1" applyFont="1" applyFill="1" applyBorder="1" applyAlignment="1">
      <alignment vertical="center"/>
      <protection/>
    </xf>
    <xf numFmtId="0" fontId="10" fillId="0" borderId="25" xfId="101" applyFont="1" applyBorder="1" applyAlignment="1">
      <alignment horizontal="left" vertical="center" wrapText="1"/>
      <protection/>
    </xf>
    <xf numFmtId="0" fontId="10" fillId="0" borderId="25" xfId="101" applyFont="1" applyBorder="1" applyAlignment="1">
      <alignment vertical="center" wrapText="1"/>
      <protection/>
    </xf>
    <xf numFmtId="0" fontId="24" fillId="0" borderId="25" xfId="101" applyFont="1" applyBorder="1" applyAlignment="1">
      <alignment vertical="center" wrapText="1"/>
      <protection/>
    </xf>
    <xf numFmtId="0" fontId="12" fillId="0" borderId="25" xfId="101" applyFont="1" applyBorder="1" applyAlignment="1">
      <alignment horizontal="left" vertical="center" wrapText="1"/>
      <protection/>
    </xf>
    <xf numFmtId="3" fontId="24" fillId="0" borderId="25" xfId="88" applyNumberFormat="1" applyFont="1" applyBorder="1" applyAlignment="1">
      <alignment vertical="center" wrapText="1"/>
      <protection/>
    </xf>
    <xf numFmtId="0" fontId="12" fillId="0" borderId="25" xfId="101" applyFont="1" applyBorder="1" applyAlignment="1">
      <alignment vertical="center" wrapText="1"/>
      <protection/>
    </xf>
    <xf numFmtId="0" fontId="10" fillId="0" borderId="25" xfId="101" applyFont="1" applyBorder="1" applyAlignment="1">
      <alignment horizontal="left" vertical="top" wrapText="1"/>
      <protection/>
    </xf>
    <xf numFmtId="0" fontId="94" fillId="0" borderId="25" xfId="101" applyFont="1" applyBorder="1" applyAlignment="1">
      <alignment horizontal="left" vertical="center" wrapText="1"/>
      <protection/>
    </xf>
    <xf numFmtId="0" fontId="94" fillId="0" borderId="25" xfId="101" applyFont="1" applyBorder="1" applyAlignment="1">
      <alignment vertical="center" wrapText="1"/>
      <protection/>
    </xf>
    <xf numFmtId="0" fontId="2" fillId="0" borderId="25" xfId="101" applyFont="1" applyBorder="1" applyAlignment="1">
      <alignment horizontal="left" vertical="center" wrapText="1"/>
      <protection/>
    </xf>
    <xf numFmtId="3" fontId="4" fillId="0" borderId="74" xfId="101" applyNumberFormat="1" applyFont="1" applyFill="1" applyBorder="1" applyAlignment="1">
      <alignment horizontal="right" vertical="center" wrapText="1"/>
      <protection/>
    </xf>
    <xf numFmtId="3" fontId="4" fillId="0" borderId="34" xfId="101" applyNumberFormat="1" applyFont="1" applyFill="1" applyBorder="1" applyAlignment="1">
      <alignment horizontal="right" vertical="center" wrapText="1"/>
      <protection/>
    </xf>
    <xf numFmtId="3" fontId="2" fillId="0" borderId="54" xfId="92" applyNumberFormat="1" applyFont="1" applyFill="1" applyBorder="1" applyAlignment="1">
      <alignment horizontal="right" vertical="center" wrapText="1"/>
      <protection/>
    </xf>
    <xf numFmtId="3" fontId="2" fillId="0" borderId="25" xfId="88" applyNumberFormat="1" applyFont="1" applyFill="1" applyBorder="1" applyAlignment="1">
      <alignment shrinkToFit="1"/>
      <protection/>
    </xf>
    <xf numFmtId="0" fontId="5" fillId="0" borderId="0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3" fontId="2" fillId="0" borderId="46" xfId="87" applyNumberFormat="1" applyFont="1" applyFill="1" applyBorder="1" applyAlignment="1">
      <alignment vertical="center"/>
      <protection/>
    </xf>
    <xf numFmtId="3" fontId="10" fillId="0" borderId="29" xfId="98" applyNumberFormat="1" applyFont="1" applyFill="1" applyBorder="1" applyAlignment="1">
      <alignment horizontal="left" wrapText="1"/>
      <protection/>
    </xf>
    <xf numFmtId="3" fontId="2" fillId="0" borderId="0" xfId="74" applyNumberFormat="1" applyFont="1" applyAlignment="1">
      <alignment horizontal="right"/>
      <protection/>
    </xf>
    <xf numFmtId="3" fontId="2" fillId="0" borderId="0" xfId="74" applyNumberFormat="1" applyFont="1" applyAlignment="1">
      <alignment horizontal="center"/>
      <protection/>
    </xf>
    <xf numFmtId="0" fontId="2" fillId="0" borderId="0" xfId="74" applyFont="1">
      <alignment/>
      <protection/>
    </xf>
    <xf numFmtId="0" fontId="2" fillId="0" borderId="0" xfId="101" applyFont="1">
      <alignment/>
      <protection/>
    </xf>
    <xf numFmtId="0" fontId="10" fillId="0" borderId="0" xfId="101" applyFont="1" applyAlignment="1">
      <alignment horizontal="center"/>
      <protection/>
    </xf>
    <xf numFmtId="0" fontId="10" fillId="0" borderId="0" xfId="101" applyFont="1">
      <alignment/>
      <protection/>
    </xf>
    <xf numFmtId="3" fontId="10" fillId="0" borderId="0" xfId="101" applyNumberFormat="1" applyFont="1" applyAlignment="1">
      <alignment horizontal="right"/>
      <protection/>
    </xf>
    <xf numFmtId="3" fontId="10" fillId="0" borderId="0" xfId="101" applyNumberFormat="1" applyFont="1" applyAlignment="1">
      <alignment horizontal="center" wrapText="1"/>
      <protection/>
    </xf>
    <xf numFmtId="3" fontId="13" fillId="0" borderId="0" xfId="101" applyNumberFormat="1" applyFont="1" applyAlignment="1">
      <alignment horizontal="right"/>
      <protection/>
    </xf>
    <xf numFmtId="3" fontId="12" fillId="0" borderId="0" xfId="101" applyNumberFormat="1" applyFont="1" applyAlignment="1">
      <alignment horizontal="right"/>
      <protection/>
    </xf>
    <xf numFmtId="0" fontId="6" fillId="0" borderId="0" xfId="101" applyFont="1" applyAlignment="1">
      <alignment horizontal="center"/>
      <protection/>
    </xf>
    <xf numFmtId="0" fontId="6" fillId="0" borderId="0" xfId="102" applyFont="1" applyAlignment="1">
      <alignment horizontal="center" wrapText="1"/>
      <protection/>
    </xf>
    <xf numFmtId="3" fontId="6" fillId="0" borderId="0" xfId="102" applyNumberFormat="1" applyFont="1" applyAlignment="1">
      <alignment horizontal="center"/>
      <protection/>
    </xf>
    <xf numFmtId="0" fontId="6" fillId="0" borderId="0" xfId="0" applyFont="1" applyAlignment="1">
      <alignment/>
    </xf>
    <xf numFmtId="3" fontId="2" fillId="0" borderId="28" xfId="101" applyNumberFormat="1" applyFont="1" applyBorder="1" applyAlignment="1">
      <alignment horizontal="center" vertical="center" wrapText="1"/>
      <protection/>
    </xf>
    <xf numFmtId="3" fontId="2" fillId="0" borderId="16" xfId="101" applyNumberFormat="1" applyFont="1" applyBorder="1" applyAlignment="1">
      <alignment horizontal="center" vertical="center" wrapText="1"/>
      <protection/>
    </xf>
    <xf numFmtId="3" fontId="2" fillId="0" borderId="14" xfId="101" applyNumberFormat="1" applyFont="1" applyBorder="1" applyAlignment="1">
      <alignment horizontal="center" vertical="center" wrapText="1"/>
      <protection/>
    </xf>
    <xf numFmtId="3" fontId="10" fillId="0" borderId="0" xfId="101" applyNumberFormat="1" applyFont="1" applyAlignment="1">
      <alignment horizontal="center" vertical="center"/>
      <protection/>
    </xf>
    <xf numFmtId="0" fontId="4" fillId="0" borderId="32" xfId="101" applyFont="1" applyBorder="1" applyAlignment="1">
      <alignment horizontal="center"/>
      <protection/>
    </xf>
    <xf numFmtId="0" fontId="25" fillId="0" borderId="30" xfId="101" applyFont="1" applyBorder="1" applyAlignment="1">
      <alignment horizontal="left"/>
      <protection/>
    </xf>
    <xf numFmtId="3" fontId="2" fillId="0" borderId="127" xfId="92" applyNumberFormat="1" applyFont="1" applyBorder="1" applyAlignment="1">
      <alignment horizontal="left"/>
      <protection/>
    </xf>
    <xf numFmtId="3" fontId="2" fillId="0" borderId="30" xfId="101" applyNumberFormat="1" applyFont="1" applyBorder="1" applyAlignment="1">
      <alignment horizontal="right"/>
      <protection/>
    </xf>
    <xf numFmtId="3" fontId="2" fillId="0" borderId="30" xfId="91" applyNumberFormat="1" applyFont="1" applyBorder="1" applyAlignment="1">
      <alignment horizontal="right"/>
      <protection/>
    </xf>
    <xf numFmtId="3" fontId="2" fillId="0" borderId="31" xfId="101" applyNumberFormat="1" applyFont="1" applyBorder="1" applyAlignment="1">
      <alignment horizontal="right"/>
      <protection/>
    </xf>
    <xf numFmtId="0" fontId="2" fillId="0" borderId="75" xfId="101" applyFont="1" applyBorder="1" applyAlignment="1">
      <alignment horizontal="center" wrapText="1"/>
      <protection/>
    </xf>
    <xf numFmtId="3" fontId="2" fillId="0" borderId="124" xfId="91" applyNumberFormat="1" applyFont="1" applyBorder="1" applyAlignment="1">
      <alignment horizontal="right" wrapText="1"/>
      <protection/>
    </xf>
    <xf numFmtId="3" fontId="2" fillId="0" borderId="142" xfId="91" applyNumberFormat="1" applyFont="1" applyBorder="1" applyAlignment="1">
      <alignment horizontal="right" wrapText="1"/>
      <protection/>
    </xf>
    <xf numFmtId="3" fontId="4" fillId="0" borderId="141" xfId="91" applyNumberFormat="1" applyFont="1" applyBorder="1" applyAlignment="1">
      <alignment horizontal="right" wrapText="1"/>
      <protection/>
    </xf>
    <xf numFmtId="3" fontId="2" fillId="0" borderId="137" xfId="101" applyNumberFormat="1" applyFont="1" applyBorder="1" applyAlignment="1">
      <alignment horizontal="right"/>
      <protection/>
    </xf>
    <xf numFmtId="0" fontId="4" fillId="0" borderId="0" xfId="101" applyFont="1">
      <alignment/>
      <protection/>
    </xf>
    <xf numFmtId="0" fontId="2" fillId="0" borderId="30" xfId="101" applyFont="1" applyBorder="1" applyAlignment="1">
      <alignment horizontal="center"/>
      <protection/>
    </xf>
    <xf numFmtId="0" fontId="29" fillId="0" borderId="25" xfId="91" applyFont="1" applyBorder="1" applyAlignment="1">
      <alignment horizontal="left"/>
      <protection/>
    </xf>
    <xf numFmtId="3" fontId="2" fillId="0" borderId="25" xfId="91" applyNumberFormat="1" applyFont="1" applyBorder="1" applyAlignment="1">
      <alignment horizontal="right" wrapText="1"/>
      <protection/>
    </xf>
    <xf numFmtId="3" fontId="4" fillId="0" borderId="140" xfId="91" applyNumberFormat="1" applyFont="1" applyBorder="1" applyAlignment="1">
      <alignment horizontal="right" wrapText="1"/>
      <protection/>
    </xf>
    <xf numFmtId="0" fontId="4" fillId="0" borderId="24" xfId="101" applyFont="1" applyBorder="1" applyAlignment="1">
      <alignment horizontal="center"/>
      <protection/>
    </xf>
    <xf numFmtId="0" fontId="2" fillId="0" borderId="25" xfId="101" applyFont="1" applyBorder="1" applyAlignment="1">
      <alignment horizontal="center"/>
      <protection/>
    </xf>
    <xf numFmtId="0" fontId="26" fillId="0" borderId="25" xfId="91" applyFont="1" applyBorder="1" applyAlignment="1">
      <alignment horizontal="left"/>
      <protection/>
    </xf>
    <xf numFmtId="3" fontId="2" fillId="0" borderId="25" xfId="101" applyNumberFormat="1" applyFont="1" applyBorder="1" applyAlignment="1">
      <alignment horizontal="right"/>
      <protection/>
    </xf>
    <xf numFmtId="3" fontId="2" fillId="0" borderId="25" xfId="91" applyNumberFormat="1" applyFont="1" applyBorder="1" applyAlignment="1">
      <alignment horizontal="right"/>
      <protection/>
    </xf>
    <xf numFmtId="3" fontId="2" fillId="0" borderId="29" xfId="101" applyNumberFormat="1" applyFont="1" applyBorder="1" applyAlignment="1">
      <alignment horizontal="right"/>
      <protection/>
    </xf>
    <xf numFmtId="0" fontId="2" fillId="0" borderId="59" xfId="101" applyFont="1" applyBorder="1" applyAlignment="1">
      <alignment horizontal="center" wrapText="1"/>
      <protection/>
    </xf>
    <xf numFmtId="3" fontId="2" fillId="0" borderId="122" xfId="91" applyNumberFormat="1" applyFont="1" applyBorder="1" applyAlignment="1">
      <alignment horizontal="right" wrapText="1"/>
      <protection/>
    </xf>
    <xf numFmtId="3" fontId="2" fillId="0" borderId="138" xfId="101" applyNumberFormat="1" applyFont="1" applyBorder="1" applyAlignment="1">
      <alignment horizontal="right"/>
      <protection/>
    </xf>
    <xf numFmtId="0" fontId="85" fillId="0" borderId="24" xfId="101" applyFont="1" applyBorder="1" applyAlignment="1">
      <alignment horizontal="center"/>
      <protection/>
    </xf>
    <xf numFmtId="0" fontId="85" fillId="0" borderId="25" xfId="91" applyFont="1" applyBorder="1" applyAlignment="1">
      <alignment horizontal="left"/>
      <protection/>
    </xf>
    <xf numFmtId="3" fontId="86" fillId="0" borderId="25" xfId="91" applyNumberFormat="1" applyFont="1" applyBorder="1" applyAlignment="1">
      <alignment horizontal="right"/>
      <protection/>
    </xf>
    <xf numFmtId="0" fontId="85" fillId="0" borderId="59" xfId="101" applyFont="1" applyBorder="1" applyAlignment="1">
      <alignment horizontal="center" wrapText="1"/>
      <protection/>
    </xf>
    <xf numFmtId="3" fontId="86" fillId="0" borderId="122" xfId="91" applyNumberFormat="1" applyFont="1" applyBorder="1" applyAlignment="1">
      <alignment horizontal="right" wrapText="1"/>
      <protection/>
    </xf>
    <xf numFmtId="3" fontId="86" fillId="0" borderId="25" xfId="91" applyNumberFormat="1" applyFont="1" applyBorder="1" applyAlignment="1">
      <alignment horizontal="right" wrapText="1"/>
      <protection/>
    </xf>
    <xf numFmtId="3" fontId="85" fillId="0" borderId="25" xfId="91" applyNumberFormat="1" applyFont="1" applyBorder="1" applyAlignment="1">
      <alignment horizontal="right" wrapText="1"/>
      <protection/>
    </xf>
    <xf numFmtId="3" fontId="85" fillId="0" borderId="140" xfId="91" applyNumberFormat="1" applyFont="1" applyBorder="1" applyAlignment="1">
      <alignment horizontal="right" wrapText="1"/>
      <protection/>
    </xf>
    <xf numFmtId="3" fontId="85" fillId="0" borderId="138" xfId="101" applyNumberFormat="1" applyFont="1" applyBorder="1" applyAlignment="1">
      <alignment horizontal="right"/>
      <protection/>
    </xf>
    <xf numFmtId="0" fontId="85" fillId="0" borderId="0" xfId="101" applyFont="1">
      <alignment/>
      <protection/>
    </xf>
    <xf numFmtId="3" fontId="85" fillId="0" borderId="122" xfId="91" applyNumberFormat="1" applyFont="1" applyBorder="1" applyAlignment="1">
      <alignment horizontal="right" wrapText="1"/>
      <protection/>
    </xf>
    <xf numFmtId="0" fontId="2" fillId="0" borderId="25" xfId="91" applyFont="1" applyBorder="1" applyAlignment="1">
      <alignment horizontal="left"/>
      <protection/>
    </xf>
    <xf numFmtId="0" fontId="2" fillId="0" borderId="54" xfId="101" applyFont="1" applyBorder="1" applyAlignment="1">
      <alignment horizontal="center"/>
      <protection/>
    </xf>
    <xf numFmtId="0" fontId="85" fillId="0" borderId="54" xfId="91" applyFont="1" applyBorder="1" applyAlignment="1">
      <alignment horizontal="left"/>
      <protection/>
    </xf>
    <xf numFmtId="3" fontId="2" fillId="0" borderId="54" xfId="101" applyNumberFormat="1" applyFont="1" applyBorder="1" applyAlignment="1">
      <alignment horizontal="right"/>
      <protection/>
    </xf>
    <xf numFmtId="3" fontId="86" fillId="0" borderId="54" xfId="91" applyNumberFormat="1" applyFont="1" applyBorder="1" applyAlignment="1">
      <alignment horizontal="right"/>
      <protection/>
    </xf>
    <xf numFmtId="3" fontId="2" fillId="0" borderId="153" xfId="101" applyNumberFormat="1" applyFont="1" applyBorder="1" applyAlignment="1">
      <alignment horizontal="right"/>
      <protection/>
    </xf>
    <xf numFmtId="0" fontId="85" fillId="0" borderId="156" xfId="101" applyFont="1" applyBorder="1" applyAlignment="1">
      <alignment horizontal="center" wrapText="1"/>
      <protection/>
    </xf>
    <xf numFmtId="3" fontId="85" fillId="0" borderId="123" xfId="91" applyNumberFormat="1" applyFont="1" applyBorder="1" applyAlignment="1">
      <alignment horizontal="right" wrapText="1"/>
      <protection/>
    </xf>
    <xf numFmtId="3" fontId="85" fillId="0" borderId="54" xfId="91" applyNumberFormat="1" applyFont="1" applyBorder="1" applyAlignment="1">
      <alignment horizontal="right" wrapText="1"/>
      <protection/>
    </xf>
    <xf numFmtId="3" fontId="86" fillId="0" borderId="54" xfId="91" applyNumberFormat="1" applyFont="1" applyBorder="1" applyAlignment="1">
      <alignment horizontal="right" wrapText="1"/>
      <protection/>
    </xf>
    <xf numFmtId="3" fontId="85" fillId="0" borderId="177" xfId="91" applyNumberFormat="1" applyFont="1" applyBorder="1" applyAlignment="1">
      <alignment horizontal="right" wrapText="1"/>
      <protection/>
    </xf>
    <xf numFmtId="3" fontId="85" fillId="0" borderId="193" xfId="101" applyNumberFormat="1" applyFont="1" applyBorder="1" applyAlignment="1">
      <alignment horizontal="right"/>
      <protection/>
    </xf>
    <xf numFmtId="0" fontId="2" fillId="0" borderId="182" xfId="101" applyFont="1" applyBorder="1" applyAlignment="1">
      <alignment horizontal="center"/>
      <protection/>
    </xf>
    <xf numFmtId="0" fontId="4" fillId="0" borderId="182" xfId="91" applyFont="1" applyBorder="1" applyAlignment="1">
      <alignment horizontal="left"/>
      <protection/>
    </xf>
    <xf numFmtId="3" fontId="2" fillId="0" borderId="182" xfId="91" applyNumberFormat="1" applyFont="1" applyBorder="1" applyAlignment="1">
      <alignment horizontal="right"/>
      <protection/>
    </xf>
    <xf numFmtId="0" fontId="4" fillId="0" borderId="183" xfId="101" applyFont="1" applyBorder="1" applyAlignment="1">
      <alignment horizontal="center" wrapText="1"/>
      <protection/>
    </xf>
    <xf numFmtId="3" fontId="4" fillId="0" borderId="184" xfId="91" applyNumberFormat="1" applyFont="1" applyBorder="1" applyAlignment="1">
      <alignment horizontal="right" wrapText="1"/>
      <protection/>
    </xf>
    <xf numFmtId="3" fontId="85" fillId="0" borderId="194" xfId="101" applyNumberFormat="1" applyFont="1" applyBorder="1" applyAlignment="1">
      <alignment horizontal="right"/>
      <protection/>
    </xf>
    <xf numFmtId="0" fontId="29" fillId="0" borderId="30" xfId="91" applyFont="1" applyBorder="1" applyAlignment="1">
      <alignment horizontal="left"/>
      <protection/>
    </xf>
    <xf numFmtId="3" fontId="86" fillId="0" borderId="30" xfId="101" applyNumberFormat="1" applyFont="1" applyBorder="1" applyAlignment="1">
      <alignment horizontal="right"/>
      <protection/>
    </xf>
    <xf numFmtId="3" fontId="86" fillId="0" borderId="30" xfId="91" applyNumberFormat="1" applyFont="1" applyBorder="1" applyAlignment="1">
      <alignment horizontal="right"/>
      <protection/>
    </xf>
    <xf numFmtId="3" fontId="86" fillId="0" borderId="31" xfId="101" applyNumberFormat="1" applyFont="1" applyBorder="1" applyAlignment="1">
      <alignment horizontal="right"/>
      <protection/>
    </xf>
    <xf numFmtId="3" fontId="85" fillId="0" borderId="113" xfId="91" applyNumberFormat="1" applyFont="1" applyBorder="1" applyAlignment="1">
      <alignment horizontal="right" wrapText="1"/>
      <protection/>
    </xf>
    <xf numFmtId="3" fontId="85" fillId="0" borderId="30" xfId="91" applyNumberFormat="1" applyFont="1" applyBorder="1" applyAlignment="1">
      <alignment horizontal="right" wrapText="1"/>
      <protection/>
    </xf>
    <xf numFmtId="3" fontId="86" fillId="0" borderId="30" xfId="91" applyNumberFormat="1" applyFont="1" applyBorder="1" applyAlignment="1">
      <alignment horizontal="right" wrapText="1"/>
      <protection/>
    </xf>
    <xf numFmtId="3" fontId="85" fillId="0" borderId="175" xfId="91" applyNumberFormat="1" applyFont="1" applyBorder="1" applyAlignment="1">
      <alignment horizontal="right" wrapText="1"/>
      <protection/>
    </xf>
    <xf numFmtId="3" fontId="85" fillId="0" borderId="137" xfId="101" applyNumberFormat="1" applyFont="1" applyBorder="1" applyAlignment="1">
      <alignment horizontal="right"/>
      <protection/>
    </xf>
    <xf numFmtId="3" fontId="85" fillId="0" borderId="25" xfId="91" applyNumberFormat="1" applyFont="1" applyBorder="1" applyAlignment="1">
      <alignment horizontal="right"/>
      <protection/>
    </xf>
    <xf numFmtId="3" fontId="85" fillId="0" borderId="25" xfId="101" applyNumberFormat="1" applyFont="1" applyBorder="1" applyAlignment="1">
      <alignment horizontal="right"/>
      <protection/>
    </xf>
    <xf numFmtId="3" fontId="85" fillId="0" borderId="29" xfId="101" applyNumberFormat="1" applyFont="1" applyBorder="1" applyAlignment="1">
      <alignment horizontal="right"/>
      <protection/>
    </xf>
    <xf numFmtId="3" fontId="85" fillId="0" borderId="54" xfId="91" applyNumberFormat="1" applyFont="1" applyBorder="1" applyAlignment="1">
      <alignment horizontal="right"/>
      <protection/>
    </xf>
    <xf numFmtId="3" fontId="85" fillId="0" borderId="153" xfId="101" applyNumberFormat="1" applyFont="1" applyBorder="1" applyAlignment="1">
      <alignment horizontal="right"/>
      <protection/>
    </xf>
    <xf numFmtId="3" fontId="4" fillId="0" borderId="182" xfId="101" applyNumberFormat="1" applyFont="1" applyBorder="1" applyAlignment="1">
      <alignment horizontal="right"/>
      <protection/>
    </xf>
    <xf numFmtId="0" fontId="85" fillId="0" borderId="183" xfId="101" applyFont="1" applyBorder="1" applyAlignment="1">
      <alignment horizontal="center" wrapText="1"/>
      <protection/>
    </xf>
    <xf numFmtId="3" fontId="2" fillId="0" borderId="113" xfId="91" applyNumberFormat="1" applyFont="1" applyBorder="1" applyAlignment="1">
      <alignment horizontal="right" wrapText="1"/>
      <protection/>
    </xf>
    <xf numFmtId="3" fontId="2" fillId="0" borderId="30" xfId="91" applyNumberFormat="1" applyFont="1" applyBorder="1" applyAlignment="1">
      <alignment horizontal="right" wrapText="1"/>
      <protection/>
    </xf>
    <xf numFmtId="3" fontId="4" fillId="0" borderId="175" xfId="91" applyNumberFormat="1" applyFont="1" applyBorder="1" applyAlignment="1">
      <alignment horizontal="right" wrapText="1"/>
      <protection/>
    </xf>
    <xf numFmtId="0" fontId="2" fillId="0" borderId="25" xfId="91" applyFont="1" applyBorder="1" applyAlignment="1">
      <alignment wrapText="1"/>
      <protection/>
    </xf>
    <xf numFmtId="0" fontId="2" fillId="0" borderId="25" xfId="101" applyFont="1" applyBorder="1" applyAlignment="1">
      <alignment horizontal="center" vertical="top"/>
      <protection/>
    </xf>
    <xf numFmtId="0" fontId="2" fillId="0" borderId="156" xfId="101" applyFont="1" applyBorder="1" applyAlignment="1">
      <alignment horizontal="center" wrapText="1"/>
      <protection/>
    </xf>
    <xf numFmtId="3" fontId="2" fillId="0" borderId="123" xfId="101" applyNumberFormat="1" applyFont="1" applyBorder="1" applyAlignment="1">
      <alignment horizontal="right"/>
      <protection/>
    </xf>
    <xf numFmtId="3" fontId="2" fillId="0" borderId="193" xfId="101" applyNumberFormat="1" applyFont="1" applyBorder="1" applyAlignment="1">
      <alignment horizontal="right"/>
      <protection/>
    </xf>
    <xf numFmtId="0" fontId="4" fillId="0" borderId="76" xfId="101" applyFont="1" applyBorder="1" applyAlignment="1">
      <alignment horizontal="center"/>
      <protection/>
    </xf>
    <xf numFmtId="3" fontId="4" fillId="0" borderId="195" xfId="101" applyNumberFormat="1" applyFont="1" applyBorder="1" applyAlignment="1">
      <alignment horizontal="right"/>
      <protection/>
    </xf>
    <xf numFmtId="3" fontId="4" fillId="0" borderId="183" xfId="101" applyNumberFormat="1" applyFont="1" applyBorder="1" applyAlignment="1">
      <alignment horizontal="right"/>
      <protection/>
    </xf>
    <xf numFmtId="3" fontId="2" fillId="0" borderId="194" xfId="101" applyNumberFormat="1" applyFont="1" applyBorder="1" applyAlignment="1">
      <alignment horizontal="right"/>
      <protection/>
    </xf>
    <xf numFmtId="3" fontId="4" fillId="0" borderId="30" xfId="101" applyNumberFormat="1" applyFont="1" applyBorder="1" applyAlignment="1">
      <alignment horizontal="right"/>
      <protection/>
    </xf>
    <xf numFmtId="3" fontId="4" fillId="0" borderId="175" xfId="101" applyNumberFormat="1" applyFont="1" applyBorder="1" applyAlignment="1">
      <alignment horizontal="right"/>
      <protection/>
    </xf>
    <xf numFmtId="3" fontId="2" fillId="0" borderId="113" xfId="101" applyNumberFormat="1" applyFont="1" applyBorder="1" applyAlignment="1">
      <alignment horizontal="center"/>
      <protection/>
    </xf>
    <xf numFmtId="3" fontId="2" fillId="0" borderId="196" xfId="101" applyNumberFormat="1" applyFont="1" applyBorder="1" applyAlignment="1">
      <alignment horizontal="right"/>
      <protection/>
    </xf>
    <xf numFmtId="3" fontId="4" fillId="0" borderId="25" xfId="101" applyNumberFormat="1" applyFont="1" applyBorder="1" applyAlignment="1">
      <alignment horizontal="right"/>
      <protection/>
    </xf>
    <xf numFmtId="3" fontId="4" fillId="0" borderId="140" xfId="101" applyNumberFormat="1" applyFont="1" applyBorder="1" applyAlignment="1">
      <alignment horizontal="right"/>
      <protection/>
    </xf>
    <xf numFmtId="3" fontId="4" fillId="0" borderId="122" xfId="101" applyNumberFormat="1" applyFont="1" applyBorder="1" applyAlignment="1">
      <alignment horizontal="right"/>
      <protection/>
    </xf>
    <xf numFmtId="3" fontId="2" fillId="0" borderId="180" xfId="101" applyNumberFormat="1" applyFont="1" applyBorder="1" applyAlignment="1">
      <alignment horizontal="right"/>
      <protection/>
    </xf>
    <xf numFmtId="3" fontId="4" fillId="0" borderId="54" xfId="101" applyNumberFormat="1" applyFont="1" applyBorder="1" applyAlignment="1">
      <alignment horizontal="right"/>
      <protection/>
    </xf>
    <xf numFmtId="3" fontId="4" fillId="0" borderId="177" xfId="101" applyNumberFormat="1" applyFont="1" applyBorder="1" applyAlignment="1">
      <alignment horizontal="right"/>
      <protection/>
    </xf>
    <xf numFmtId="3" fontId="4" fillId="0" borderId="123" xfId="101" applyNumberFormat="1" applyFont="1" applyBorder="1" applyAlignment="1">
      <alignment horizontal="right"/>
      <protection/>
    </xf>
    <xf numFmtId="3" fontId="2" fillId="0" borderId="197" xfId="101" applyNumberFormat="1" applyFont="1" applyBorder="1" applyAlignment="1">
      <alignment horizontal="right"/>
      <protection/>
    </xf>
    <xf numFmtId="0" fontId="2" fillId="0" borderId="132" xfId="101" applyFont="1" applyBorder="1" applyAlignment="1">
      <alignment horizontal="center"/>
      <protection/>
    </xf>
    <xf numFmtId="3" fontId="4" fillId="0" borderId="132" xfId="101" applyNumberFormat="1" applyFont="1" applyBorder="1" applyAlignment="1">
      <alignment horizontal="right"/>
      <protection/>
    </xf>
    <xf numFmtId="3" fontId="4" fillId="0" borderId="171" xfId="101" applyNumberFormat="1" applyFont="1" applyBorder="1" applyAlignment="1">
      <alignment horizontal="right"/>
      <protection/>
    </xf>
    <xf numFmtId="3" fontId="4" fillId="0" borderId="168" xfId="101" applyNumberFormat="1" applyFont="1" applyBorder="1" applyAlignment="1">
      <alignment horizontal="right"/>
      <protection/>
    </xf>
    <xf numFmtId="3" fontId="2" fillId="0" borderId="27" xfId="101" applyNumberFormat="1" applyFont="1" applyBorder="1" applyAlignment="1">
      <alignment horizontal="right"/>
      <protection/>
    </xf>
    <xf numFmtId="3" fontId="4" fillId="0" borderId="198" xfId="101" applyNumberFormat="1" applyFont="1" applyBorder="1" applyAlignment="1">
      <alignment horizontal="right"/>
      <protection/>
    </xf>
    <xf numFmtId="3" fontId="4" fillId="0" borderId="184" xfId="101" applyNumberFormat="1" applyFont="1" applyBorder="1" applyAlignment="1">
      <alignment horizontal="right"/>
      <protection/>
    </xf>
    <xf numFmtId="3" fontId="2" fillId="0" borderId="199" xfId="101" applyNumberFormat="1" applyFont="1" applyBorder="1" applyAlignment="1">
      <alignment horizontal="right"/>
      <protection/>
    </xf>
    <xf numFmtId="0" fontId="2" fillId="0" borderId="24" xfId="101" applyFont="1" applyBorder="1" applyAlignment="1">
      <alignment horizontal="center"/>
      <protection/>
    </xf>
    <xf numFmtId="3" fontId="2" fillId="0" borderId="175" xfId="101" applyNumberFormat="1" applyFont="1" applyBorder="1" applyAlignment="1">
      <alignment horizontal="right"/>
      <protection/>
    </xf>
    <xf numFmtId="0" fontId="2" fillId="0" borderId="113" xfId="101" applyFont="1" applyBorder="1" applyAlignment="1">
      <alignment horizontal="center" wrapText="1"/>
      <protection/>
    </xf>
    <xf numFmtId="3" fontId="2" fillId="0" borderId="113" xfId="101" applyNumberFormat="1" applyFont="1" applyBorder="1" applyAlignment="1">
      <alignment horizontal="right"/>
      <protection/>
    </xf>
    <xf numFmtId="0" fontId="85" fillId="0" borderId="144" xfId="91" applyFont="1" applyBorder="1">
      <alignment/>
      <protection/>
    </xf>
    <xf numFmtId="3" fontId="2" fillId="0" borderId="54" xfId="91" applyNumberFormat="1" applyFont="1" applyBorder="1" applyAlignment="1">
      <alignment horizontal="right"/>
      <protection/>
    </xf>
    <xf numFmtId="3" fontId="2" fillId="0" borderId="123" xfId="91" applyNumberFormat="1" applyFont="1" applyBorder="1" applyAlignment="1">
      <alignment horizontal="right" wrapText="1"/>
      <protection/>
    </xf>
    <xf numFmtId="3" fontId="2" fillId="0" borderId="54" xfId="91" applyNumberFormat="1" applyFont="1" applyBorder="1" applyAlignment="1">
      <alignment horizontal="right" wrapText="1"/>
      <protection/>
    </xf>
    <xf numFmtId="3" fontId="4" fillId="0" borderId="194" xfId="101" applyNumberFormat="1" applyFont="1" applyBorder="1" applyAlignment="1">
      <alignment horizontal="right"/>
      <protection/>
    </xf>
    <xf numFmtId="0" fontId="2" fillId="0" borderId="128" xfId="91" applyFont="1" applyBorder="1">
      <alignment/>
      <protection/>
    </xf>
    <xf numFmtId="0" fontId="85" fillId="0" borderId="128" xfId="91" applyFont="1" applyBorder="1">
      <alignment/>
      <protection/>
    </xf>
    <xf numFmtId="3" fontId="2" fillId="0" borderId="143" xfId="91" applyNumberFormat="1" applyFont="1" applyBorder="1" applyAlignment="1">
      <alignment horizontal="right" vertical="center" wrapText="1"/>
      <protection/>
    </xf>
    <xf numFmtId="3" fontId="4" fillId="0" borderId="154" xfId="91" applyNumberFormat="1" applyFont="1" applyBorder="1" applyAlignment="1">
      <alignment horizontal="right" vertical="center" wrapText="1"/>
      <protection/>
    </xf>
    <xf numFmtId="3" fontId="4" fillId="0" borderId="45" xfId="91" applyNumberFormat="1" applyFont="1" applyBorder="1" applyAlignment="1">
      <alignment horizontal="right" vertical="center" wrapText="1"/>
      <protection/>
    </xf>
    <xf numFmtId="0" fontId="2" fillId="0" borderId="0" xfId="101" applyFont="1" applyAlignment="1">
      <alignment vertical="center"/>
      <protection/>
    </xf>
    <xf numFmtId="3" fontId="2" fillId="0" borderId="0" xfId="74" applyNumberFormat="1" applyFont="1" applyAlignment="1">
      <alignment horizontal="left"/>
      <protection/>
    </xf>
    <xf numFmtId="3" fontId="80" fillId="0" borderId="0" xfId="74" applyNumberFormat="1" applyFont="1" applyAlignment="1">
      <alignment horizontal="left"/>
      <protection/>
    </xf>
    <xf numFmtId="3" fontId="2" fillId="0" borderId="0" xfId="102" applyNumberFormat="1" applyFont="1" applyAlignment="1">
      <alignment horizontal="right"/>
      <protection/>
    </xf>
    <xf numFmtId="3" fontId="2" fillId="0" borderId="0" xfId="102" applyNumberFormat="1" applyFont="1" applyAlignment="1">
      <alignment horizontal="right" wrapText="1"/>
      <protection/>
    </xf>
    <xf numFmtId="3" fontId="4" fillId="0" borderId="0" xfId="102" applyNumberFormat="1" applyFont="1" applyAlignment="1">
      <alignment horizontal="right"/>
      <protection/>
    </xf>
    <xf numFmtId="3" fontId="2" fillId="0" borderId="0" xfId="101" applyNumberFormat="1" applyFont="1" applyAlignment="1">
      <alignment horizontal="right"/>
      <protection/>
    </xf>
    <xf numFmtId="0" fontId="2" fillId="0" borderId="0" xfId="101" applyFont="1" applyAlignment="1">
      <alignment horizontal="left"/>
      <protection/>
    </xf>
    <xf numFmtId="3" fontId="2" fillId="0" borderId="0" xfId="101" applyNumberFormat="1" applyFont="1" applyAlignment="1">
      <alignment horizontal="center" wrapText="1"/>
      <protection/>
    </xf>
    <xf numFmtId="3" fontId="4" fillId="0" borderId="0" xfId="101" applyNumberFormat="1" applyFont="1" applyAlignment="1">
      <alignment horizontal="right"/>
      <protection/>
    </xf>
    <xf numFmtId="0" fontId="2" fillId="0" borderId="0" xfId="101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90" applyNumberFormat="1" applyFont="1" applyAlignment="1">
      <alignment horizontal="right" vertical="center"/>
      <protection/>
    </xf>
    <xf numFmtId="0" fontId="4" fillId="0" borderId="0" xfId="90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90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200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3" fontId="4" fillId="0" borderId="202" xfId="0" applyNumberFormat="1" applyFont="1" applyBorder="1" applyAlignment="1">
      <alignment horizontal="center" vertical="center"/>
    </xf>
    <xf numFmtId="3" fontId="4" fillId="0" borderId="192" xfId="0" applyNumberFormat="1" applyFont="1" applyBorder="1" applyAlignment="1">
      <alignment horizontal="center" vertical="center"/>
    </xf>
    <xf numFmtId="3" fontId="2" fillId="0" borderId="0" xfId="87" applyNumberFormat="1" applyFont="1" applyFill="1" applyAlignment="1">
      <alignment horizontal="left"/>
      <protection/>
    </xf>
    <xf numFmtId="3" fontId="4" fillId="0" borderId="0" xfId="87" applyNumberFormat="1" applyFont="1" applyFill="1" applyAlignment="1">
      <alignment horizontal="center" vertical="center"/>
      <protection/>
    </xf>
    <xf numFmtId="3" fontId="10" fillId="0" borderId="203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16" fillId="0" borderId="135" xfId="0" applyNumberFormat="1" applyFont="1" applyFill="1" applyBorder="1" applyAlignment="1">
      <alignment horizontal="left" vertical="center"/>
    </xf>
    <xf numFmtId="3" fontId="16" fillId="0" borderId="204" xfId="0" applyNumberFormat="1" applyFont="1" applyFill="1" applyBorder="1" applyAlignment="1">
      <alignment horizontal="left" vertical="center"/>
    </xf>
    <xf numFmtId="3" fontId="16" fillId="0" borderId="136" xfId="0" applyNumberFormat="1" applyFont="1" applyFill="1" applyBorder="1" applyAlignment="1">
      <alignment horizontal="left" vertical="center"/>
    </xf>
    <xf numFmtId="3" fontId="13" fillId="0" borderId="205" xfId="0" applyNumberFormat="1" applyFont="1" applyFill="1" applyBorder="1" applyAlignment="1">
      <alignment horizontal="center" vertical="center"/>
    </xf>
    <xf numFmtId="3" fontId="13" fillId="0" borderId="129" xfId="0" applyNumberFormat="1" applyFont="1" applyFill="1" applyBorder="1" applyAlignment="1">
      <alignment horizontal="center" vertical="center"/>
    </xf>
    <xf numFmtId="3" fontId="13" fillId="0" borderId="121" xfId="0" applyNumberFormat="1" applyFont="1" applyFill="1" applyBorder="1" applyAlignment="1">
      <alignment horizontal="center" vertical="center"/>
    </xf>
    <xf numFmtId="3" fontId="13" fillId="0" borderId="205" xfId="98" applyNumberFormat="1" applyFont="1" applyFill="1" applyBorder="1" applyAlignment="1">
      <alignment horizontal="center" vertical="center"/>
      <protection/>
    </xf>
    <xf numFmtId="3" fontId="13" fillId="0" borderId="129" xfId="98" applyNumberFormat="1" applyFont="1" applyFill="1" applyBorder="1" applyAlignment="1">
      <alignment horizontal="center" vertical="center"/>
      <protection/>
    </xf>
    <xf numFmtId="3" fontId="13" fillId="0" borderId="121" xfId="98" applyNumberFormat="1" applyFont="1" applyFill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200" xfId="0" applyNumberFormat="1" applyFont="1" applyFill="1" applyBorder="1" applyAlignment="1">
      <alignment horizontal="center" vertical="center" textRotation="90"/>
    </xf>
    <xf numFmtId="3" fontId="10" fillId="0" borderId="201" xfId="0" applyNumberFormat="1" applyFont="1" applyFill="1" applyBorder="1" applyAlignment="1">
      <alignment horizontal="center" vertical="center" textRotation="90"/>
    </xf>
    <xf numFmtId="3" fontId="10" fillId="0" borderId="206" xfId="0" applyNumberFormat="1" applyFont="1" applyFill="1" applyBorder="1" applyAlignment="1">
      <alignment horizontal="center" vertical="center" textRotation="90"/>
    </xf>
    <xf numFmtId="0" fontId="0" fillId="0" borderId="103" xfId="0" applyFont="1" applyFill="1" applyBorder="1" applyAlignment="1">
      <alignment horizontal="center" vertical="center"/>
    </xf>
    <xf numFmtId="3" fontId="13" fillId="0" borderId="206" xfId="0" applyNumberFormat="1" applyFont="1" applyFill="1" applyBorder="1" applyAlignment="1">
      <alignment horizontal="center" vertical="center"/>
    </xf>
    <xf numFmtId="3" fontId="13" fillId="0" borderId="111" xfId="0" applyNumberFormat="1" applyFont="1" applyFill="1" applyBorder="1" applyAlignment="1">
      <alignment horizontal="center" vertical="center"/>
    </xf>
    <xf numFmtId="3" fontId="13" fillId="0" borderId="103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0" fillId="0" borderId="203" xfId="0" applyNumberFormat="1" applyFont="1" applyFill="1" applyBorder="1" applyAlignment="1">
      <alignment horizontal="center" vertical="center"/>
    </xf>
    <xf numFmtId="3" fontId="10" fillId="0" borderId="202" xfId="0" applyNumberFormat="1" applyFont="1" applyFill="1" applyBorder="1" applyAlignment="1">
      <alignment horizontal="center" vertical="center" wrapText="1"/>
    </xf>
    <xf numFmtId="3" fontId="10" fillId="0" borderId="19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54" xfId="0" applyNumberFormat="1" applyFont="1" applyFill="1" applyBorder="1" applyAlignment="1">
      <alignment horizontal="center" vertical="center"/>
    </xf>
    <xf numFmtId="3" fontId="13" fillId="0" borderId="66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207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10" fillId="0" borderId="202" xfId="0" applyNumberFormat="1" applyFont="1" applyFill="1" applyBorder="1" applyAlignment="1">
      <alignment horizontal="center" vertical="center" textRotation="90"/>
    </xf>
    <xf numFmtId="0" fontId="0" fillId="0" borderId="192" xfId="0" applyFont="1" applyFill="1" applyBorder="1" applyAlignment="1">
      <alignment horizontal="center" vertical="center"/>
    </xf>
    <xf numFmtId="3" fontId="13" fillId="0" borderId="202" xfId="0" applyNumberFormat="1" applyFont="1" applyFill="1" applyBorder="1" applyAlignment="1">
      <alignment horizontal="center" vertical="center"/>
    </xf>
    <xf numFmtId="3" fontId="13" fillId="0" borderId="192" xfId="0" applyNumberFormat="1" applyFont="1" applyFill="1" applyBorder="1" applyAlignment="1">
      <alignment horizontal="center" vertical="center"/>
    </xf>
    <xf numFmtId="3" fontId="10" fillId="0" borderId="206" xfId="0" applyNumberFormat="1" applyFont="1" applyFill="1" applyBorder="1" applyAlignment="1">
      <alignment horizontal="center" vertical="center" wrapText="1"/>
    </xf>
    <xf numFmtId="3" fontId="10" fillId="0" borderId="10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left" vertical="center" wrapText="1"/>
    </xf>
    <xf numFmtId="3" fontId="12" fillId="0" borderId="122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left" vertical="top" wrapText="1"/>
    </xf>
    <xf numFmtId="3" fontId="12" fillId="0" borderId="122" xfId="0" applyNumberFormat="1" applyFont="1" applyFill="1" applyBorder="1" applyAlignment="1">
      <alignment horizontal="left" vertical="top" wrapText="1"/>
    </xf>
    <xf numFmtId="3" fontId="12" fillId="0" borderId="25" xfId="0" applyNumberFormat="1" applyFont="1" applyFill="1" applyBorder="1" applyAlignment="1">
      <alignment horizontal="left" vertical="top" wrapText="1"/>
    </xf>
    <xf numFmtId="3" fontId="10" fillId="0" borderId="29" xfId="98" applyNumberFormat="1" applyFont="1" applyFill="1" applyBorder="1" applyAlignment="1">
      <alignment horizontal="left" wrapText="1"/>
      <protection/>
    </xf>
    <xf numFmtId="3" fontId="10" fillId="0" borderId="122" xfId="98" applyNumberFormat="1" applyFont="1" applyFill="1" applyBorder="1" applyAlignment="1">
      <alignment horizontal="left" wrapText="1"/>
      <protection/>
    </xf>
    <xf numFmtId="3" fontId="16" fillId="0" borderId="135" xfId="98" applyNumberFormat="1" applyFont="1" applyFill="1" applyBorder="1" applyAlignment="1">
      <alignment horizontal="left" vertical="center"/>
      <protection/>
    </xf>
    <xf numFmtId="3" fontId="16" fillId="0" borderId="204" xfId="98" applyNumberFormat="1" applyFont="1" applyFill="1" applyBorder="1" applyAlignment="1">
      <alignment horizontal="left" vertical="center"/>
      <protection/>
    </xf>
    <xf numFmtId="3" fontId="16" fillId="0" borderId="136" xfId="98" applyNumberFormat="1" applyFont="1" applyFill="1" applyBorder="1" applyAlignment="1">
      <alignment horizontal="left" vertical="center"/>
      <protection/>
    </xf>
    <xf numFmtId="3" fontId="12" fillId="0" borderId="51" xfId="0" applyNumberFormat="1" applyFont="1" applyFill="1" applyBorder="1" applyAlignment="1">
      <alignment horizontal="left" vertical="center"/>
    </xf>
    <xf numFmtId="3" fontId="12" fillId="0" borderId="121" xfId="0" applyNumberFormat="1" applyFont="1" applyFill="1" applyBorder="1" applyAlignment="1">
      <alignment horizontal="left" vertical="center"/>
    </xf>
    <xf numFmtId="3" fontId="12" fillId="0" borderId="52" xfId="0" applyNumberFormat="1" applyFont="1" applyFill="1" applyBorder="1" applyAlignment="1">
      <alignment horizontal="left" vertical="center"/>
    </xf>
    <xf numFmtId="3" fontId="10" fillId="0" borderId="29" xfId="98" applyNumberFormat="1" applyFont="1" applyFill="1" applyBorder="1" applyAlignment="1">
      <alignment horizontal="left" vertical="top" wrapText="1"/>
      <protection/>
    </xf>
    <xf numFmtId="3" fontId="10" fillId="0" borderId="122" xfId="98" applyNumberFormat="1" applyFont="1" applyFill="1" applyBorder="1" applyAlignment="1">
      <alignment horizontal="left" vertical="top" wrapText="1"/>
      <protection/>
    </xf>
    <xf numFmtId="3" fontId="10" fillId="0" borderId="128" xfId="98" applyNumberFormat="1" applyFont="1" applyFill="1" applyBorder="1" applyAlignment="1">
      <alignment horizontal="left" wrapText="1"/>
      <protection/>
    </xf>
    <xf numFmtId="3" fontId="10" fillId="0" borderId="29" xfId="98" applyNumberFormat="1" applyFont="1" applyFill="1" applyBorder="1" applyAlignment="1">
      <alignment horizontal="left"/>
      <protection/>
    </xf>
    <xf numFmtId="3" fontId="10" fillId="0" borderId="122" xfId="98" applyNumberFormat="1" applyFont="1" applyFill="1" applyBorder="1" applyAlignment="1">
      <alignment horizontal="left"/>
      <protection/>
    </xf>
    <xf numFmtId="3" fontId="12" fillId="0" borderId="0" xfId="0" applyNumberFormat="1" applyFont="1" applyFill="1" applyAlignment="1">
      <alignment horizontal="right"/>
    </xf>
    <xf numFmtId="3" fontId="10" fillId="0" borderId="192" xfId="0" applyNumberFormat="1" applyFont="1" applyFill="1" applyBorder="1" applyAlignment="1">
      <alignment horizontal="center" vertical="center" textRotation="90"/>
    </xf>
    <xf numFmtId="3" fontId="10" fillId="0" borderId="110" xfId="0" applyNumberFormat="1" applyFont="1" applyFill="1" applyBorder="1" applyAlignment="1">
      <alignment horizontal="center" vertical="center"/>
    </xf>
    <xf numFmtId="3" fontId="10" fillId="0" borderId="106" xfId="0" applyNumberFormat="1" applyFont="1" applyFill="1" applyBorder="1" applyAlignment="1">
      <alignment horizontal="center" vertical="center"/>
    </xf>
    <xf numFmtId="3" fontId="10" fillId="0" borderId="111" xfId="0" applyNumberFormat="1" applyFont="1" applyFill="1" applyBorder="1" applyAlignment="1">
      <alignment horizontal="center" vertical="center"/>
    </xf>
    <xf numFmtId="3" fontId="10" fillId="0" borderId="203" xfId="87" applyNumberFormat="1" applyFont="1" applyFill="1" applyBorder="1" applyAlignment="1">
      <alignment horizontal="center" vertical="center" wrapText="1"/>
      <protection/>
    </xf>
    <xf numFmtId="3" fontId="13" fillId="0" borderId="208" xfId="0" applyNumberFormat="1" applyFont="1" applyFill="1" applyBorder="1" applyAlignment="1">
      <alignment horizontal="center" vertical="center"/>
    </xf>
    <xf numFmtId="3" fontId="13" fillId="0" borderId="209" xfId="0" applyNumberFormat="1" applyFont="1" applyFill="1" applyBorder="1" applyAlignment="1">
      <alignment horizontal="center" vertical="center"/>
    </xf>
    <xf numFmtId="3" fontId="10" fillId="0" borderId="202" xfId="0" applyNumberFormat="1" applyFont="1" applyFill="1" applyBorder="1" applyAlignment="1">
      <alignment horizontal="center" vertical="center" textRotation="90" wrapText="1"/>
    </xf>
    <xf numFmtId="0" fontId="0" fillId="0" borderId="192" xfId="0" applyFont="1" applyFill="1" applyBorder="1" applyAlignment="1">
      <alignment horizontal="center" vertical="center" textRotation="90" wrapText="1"/>
    </xf>
    <xf numFmtId="3" fontId="10" fillId="0" borderId="210" xfId="0" applyNumberFormat="1" applyFont="1" applyFill="1" applyBorder="1" applyAlignment="1">
      <alignment horizontal="center" vertical="center" wrapText="1"/>
    </xf>
    <xf numFmtId="3" fontId="10" fillId="0" borderId="211" xfId="0" applyNumberFormat="1" applyFont="1" applyFill="1" applyBorder="1" applyAlignment="1">
      <alignment horizontal="center" vertical="center" wrapText="1"/>
    </xf>
    <xf numFmtId="3" fontId="13" fillId="0" borderId="212" xfId="0" applyNumberFormat="1" applyFont="1" applyFill="1" applyBorder="1" applyAlignment="1">
      <alignment horizontal="center" vertical="center" wrapText="1"/>
    </xf>
    <xf numFmtId="3" fontId="13" fillId="0" borderId="213" xfId="0" applyNumberFormat="1" applyFont="1" applyFill="1" applyBorder="1" applyAlignment="1">
      <alignment horizontal="center" vertical="center" wrapText="1"/>
    </xf>
    <xf numFmtId="0" fontId="13" fillId="0" borderId="66" xfId="102" applyFont="1" applyFill="1" applyBorder="1" applyAlignment="1" applyProtection="1">
      <alignment horizontal="center" vertical="center"/>
      <protection locked="0"/>
    </xf>
    <xf numFmtId="0" fontId="13" fillId="0" borderId="41" xfId="102" applyFont="1" applyFill="1" applyBorder="1" applyAlignment="1" applyProtection="1">
      <alignment horizontal="center" vertical="center"/>
      <protection locked="0"/>
    </xf>
    <xf numFmtId="0" fontId="13" fillId="0" borderId="207" xfId="102" applyFont="1" applyFill="1" applyBorder="1" applyAlignment="1" applyProtection="1">
      <alignment horizontal="center" vertical="center"/>
      <protection locked="0"/>
    </xf>
    <xf numFmtId="0" fontId="13" fillId="0" borderId="20" xfId="102" applyFont="1" applyFill="1" applyBorder="1" applyAlignment="1" applyProtection="1">
      <alignment horizontal="center" vertical="center"/>
      <protection locked="0"/>
    </xf>
    <xf numFmtId="0" fontId="13" fillId="0" borderId="21" xfId="102" applyFont="1" applyFill="1" applyBorder="1" applyAlignment="1" applyProtection="1">
      <alignment horizontal="center" vertical="center"/>
      <protection locked="0"/>
    </xf>
    <xf numFmtId="0" fontId="13" fillId="0" borderId="154" xfId="102" applyFont="1" applyFill="1" applyBorder="1" applyAlignment="1" applyProtection="1">
      <alignment horizontal="center" vertical="center"/>
      <protection locked="0"/>
    </xf>
    <xf numFmtId="0" fontId="2" fillId="0" borderId="0" xfId="102" applyFont="1" applyFill="1" applyBorder="1" applyAlignment="1" applyProtection="1">
      <alignment horizontal="left" vertical="center"/>
      <protection locked="0"/>
    </xf>
    <xf numFmtId="0" fontId="4" fillId="0" borderId="0" xfId="101" applyFont="1" applyFill="1" applyBorder="1" applyAlignment="1" applyProtection="1">
      <alignment horizontal="center"/>
      <protection locked="0"/>
    </xf>
    <xf numFmtId="0" fontId="4" fillId="0" borderId="0" xfId="102" applyFont="1" applyFill="1" applyBorder="1" applyAlignment="1" applyProtection="1">
      <alignment horizontal="center" vertical="center"/>
      <protection locked="0"/>
    </xf>
    <xf numFmtId="3" fontId="10" fillId="0" borderId="200" xfId="88" applyNumberFormat="1" applyFont="1" applyFill="1" applyBorder="1" applyAlignment="1" applyProtection="1">
      <alignment horizontal="center" vertical="center" textRotation="90"/>
      <protection locked="0"/>
    </xf>
    <xf numFmtId="3" fontId="10" fillId="0" borderId="201" xfId="88" applyNumberFormat="1" applyFont="1" applyFill="1" applyBorder="1" applyAlignment="1" applyProtection="1">
      <alignment horizontal="center" vertical="center" textRotation="90"/>
      <protection locked="0"/>
    </xf>
    <xf numFmtId="3" fontId="10" fillId="0" borderId="202" xfId="88" applyNumberFormat="1" applyFont="1" applyFill="1" applyBorder="1" applyAlignment="1" applyProtection="1">
      <alignment horizontal="center" vertical="center" textRotation="90"/>
      <protection locked="0"/>
    </xf>
    <xf numFmtId="3" fontId="10" fillId="0" borderId="192" xfId="88" applyNumberFormat="1" applyFont="1" applyFill="1" applyBorder="1" applyAlignment="1" applyProtection="1">
      <alignment horizontal="center" vertical="center" textRotation="90"/>
      <protection locked="0"/>
    </xf>
    <xf numFmtId="0" fontId="13" fillId="0" borderId="202" xfId="101" applyFont="1" applyFill="1" applyBorder="1" applyAlignment="1" applyProtection="1">
      <alignment horizontal="center" vertical="center" wrapText="1"/>
      <protection locked="0"/>
    </xf>
    <xf numFmtId="0" fontId="13" fillId="0" borderId="192" xfId="101" applyFont="1" applyFill="1" applyBorder="1" applyAlignment="1" applyProtection="1">
      <alignment horizontal="center" vertical="center" wrapText="1"/>
      <protection locked="0"/>
    </xf>
    <xf numFmtId="0" fontId="10" fillId="0" borderId="202" xfId="101" applyFont="1" applyFill="1" applyBorder="1" applyAlignment="1" applyProtection="1">
      <alignment horizontal="center" vertical="center" textRotation="90" wrapText="1"/>
      <protection locked="0"/>
    </xf>
    <xf numFmtId="0" fontId="10" fillId="0" borderId="192" xfId="101" applyFont="1" applyFill="1" applyBorder="1" applyAlignment="1" applyProtection="1">
      <alignment horizontal="center" vertical="center" textRotation="90" wrapText="1"/>
      <protection locked="0"/>
    </xf>
    <xf numFmtId="3" fontId="10" fillId="0" borderId="202" xfId="101" applyNumberFormat="1" applyFont="1" applyFill="1" applyBorder="1" applyAlignment="1" applyProtection="1">
      <alignment horizontal="center" vertical="center" wrapText="1"/>
      <protection locked="0"/>
    </xf>
    <xf numFmtId="3" fontId="10" fillId="0" borderId="192" xfId="101" applyNumberFormat="1" applyFont="1" applyFill="1" applyBorder="1" applyAlignment="1" applyProtection="1">
      <alignment horizontal="center" vertical="center" wrapText="1"/>
      <protection locked="0"/>
    </xf>
    <xf numFmtId="3" fontId="13" fillId="0" borderId="36" xfId="101" applyNumberFormat="1" applyFont="1" applyFill="1" applyBorder="1" applyAlignment="1" applyProtection="1">
      <alignment horizontal="center" vertical="center" wrapText="1"/>
      <protection locked="0"/>
    </xf>
    <xf numFmtId="3" fontId="13" fillId="0" borderId="37" xfId="10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88" applyNumberFormat="1" applyFont="1" applyFill="1" applyAlignment="1">
      <alignment horizontal="left"/>
      <protection/>
    </xf>
    <xf numFmtId="3" fontId="2" fillId="0" borderId="0" xfId="88" applyNumberFormat="1" applyFont="1" applyFill="1" applyAlignment="1">
      <alignment horizontal="right"/>
      <protection/>
    </xf>
    <xf numFmtId="3" fontId="4" fillId="0" borderId="0" xfId="88" applyNumberFormat="1" applyFont="1" applyFill="1" applyAlignment="1">
      <alignment horizontal="center"/>
      <protection/>
    </xf>
    <xf numFmtId="3" fontId="4" fillId="0" borderId="0" xfId="88" applyNumberFormat="1" applyFont="1" applyFill="1" applyAlignment="1">
      <alignment horizontal="center" vertical="center"/>
      <protection/>
    </xf>
    <xf numFmtId="3" fontId="12" fillId="0" borderId="0" xfId="88" applyNumberFormat="1" applyFont="1" applyFill="1" applyAlignment="1">
      <alignment horizontal="right"/>
      <protection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214" xfId="88" applyNumberFormat="1" applyFont="1" applyFill="1" applyBorder="1" applyAlignment="1">
      <alignment horizontal="center" vertical="center" wrapText="1"/>
      <protection/>
    </xf>
    <xf numFmtId="3" fontId="13" fillId="0" borderId="215" xfId="88" applyNumberFormat="1" applyFont="1" applyFill="1" applyBorder="1" applyAlignment="1">
      <alignment horizontal="center" vertical="center" wrapText="1"/>
      <protection/>
    </xf>
    <xf numFmtId="3" fontId="10" fillId="0" borderId="216" xfId="0" applyNumberFormat="1" applyFont="1" applyFill="1" applyBorder="1" applyAlignment="1">
      <alignment horizontal="center" vertical="center"/>
    </xf>
    <xf numFmtId="3" fontId="10" fillId="0" borderId="217" xfId="0" applyNumberFormat="1" applyFont="1" applyFill="1" applyBorder="1" applyAlignment="1">
      <alignment horizontal="center" vertical="center"/>
    </xf>
    <xf numFmtId="3" fontId="10" fillId="0" borderId="214" xfId="88" applyNumberFormat="1" applyFont="1" applyFill="1" applyBorder="1" applyAlignment="1">
      <alignment horizontal="center" vertical="center" wrapText="1"/>
      <protection/>
    </xf>
    <xf numFmtId="3" fontId="10" fillId="0" borderId="215" xfId="88" applyNumberFormat="1" applyFont="1" applyFill="1" applyBorder="1" applyAlignment="1">
      <alignment horizontal="center" vertical="center" wrapText="1"/>
      <protection/>
    </xf>
    <xf numFmtId="3" fontId="10" fillId="0" borderId="218" xfId="88" applyNumberFormat="1" applyFont="1" applyFill="1" applyBorder="1" applyAlignment="1">
      <alignment horizontal="center" vertical="center" textRotation="90"/>
      <protection/>
    </xf>
    <xf numFmtId="3" fontId="10" fillId="0" borderId="219" xfId="88" applyNumberFormat="1" applyFont="1" applyFill="1" applyBorder="1" applyAlignment="1">
      <alignment horizontal="center" vertical="center" textRotation="90"/>
      <protection/>
    </xf>
    <xf numFmtId="3" fontId="10" fillId="0" borderId="214" xfId="88" applyNumberFormat="1" applyFont="1" applyFill="1" applyBorder="1" applyAlignment="1">
      <alignment horizontal="center" vertical="center" textRotation="90"/>
      <protection/>
    </xf>
    <xf numFmtId="3" fontId="10" fillId="0" borderId="215" xfId="88" applyNumberFormat="1" applyFont="1" applyFill="1" applyBorder="1" applyAlignment="1">
      <alignment horizontal="center" vertical="center" textRotation="90"/>
      <protection/>
    </xf>
    <xf numFmtId="3" fontId="10" fillId="0" borderId="220" xfId="88" applyNumberFormat="1" applyFont="1" applyFill="1" applyBorder="1" applyAlignment="1">
      <alignment horizontal="center" vertical="center" wrapText="1"/>
      <protection/>
    </xf>
    <xf numFmtId="3" fontId="10" fillId="0" borderId="221" xfId="88" applyNumberFormat="1" applyFont="1" applyFill="1" applyBorder="1" applyAlignment="1">
      <alignment horizontal="center" vertical="center" wrapText="1"/>
      <protection/>
    </xf>
    <xf numFmtId="0" fontId="13" fillId="0" borderId="214" xfId="88" applyFont="1" applyFill="1" applyBorder="1" applyAlignment="1">
      <alignment horizontal="center" vertical="center" wrapText="1"/>
      <protection/>
    </xf>
    <xf numFmtId="0" fontId="13" fillId="0" borderId="215" xfId="88" applyFont="1" applyFill="1" applyBorder="1" applyAlignment="1">
      <alignment horizontal="center" vertical="center" wrapText="1"/>
      <protection/>
    </xf>
    <xf numFmtId="3" fontId="13" fillId="0" borderId="195" xfId="88" applyNumberFormat="1" applyFont="1" applyFill="1" applyBorder="1" applyAlignment="1">
      <alignment horizontal="center" vertical="center" wrapText="1"/>
      <protection/>
    </xf>
    <xf numFmtId="3" fontId="13" fillId="0" borderId="222" xfId="88" applyNumberFormat="1" applyFont="1" applyFill="1" applyBorder="1" applyAlignment="1">
      <alignment horizontal="center" vertical="center" wrapText="1"/>
      <protection/>
    </xf>
    <xf numFmtId="3" fontId="13" fillId="0" borderId="223" xfId="88" applyNumberFormat="1" applyFont="1" applyFill="1" applyBorder="1" applyAlignment="1">
      <alignment horizontal="center" vertical="center" wrapText="1"/>
      <protection/>
    </xf>
    <xf numFmtId="3" fontId="10" fillId="0" borderId="208" xfId="0" applyNumberFormat="1" applyFont="1" applyFill="1" applyBorder="1" applyAlignment="1">
      <alignment horizontal="center" vertical="center" textRotation="90" wrapText="1"/>
    </xf>
    <xf numFmtId="0" fontId="10" fillId="0" borderId="209" xfId="0" applyFont="1" applyFill="1" applyBorder="1" applyAlignment="1">
      <alignment horizontal="center" vertical="center" textRotation="90" wrapText="1"/>
    </xf>
    <xf numFmtId="3" fontId="12" fillId="0" borderId="135" xfId="0" applyNumberFormat="1" applyFont="1" applyFill="1" applyBorder="1" applyAlignment="1">
      <alignment horizontal="left" wrapText="1"/>
    </xf>
    <xf numFmtId="3" fontId="12" fillId="0" borderId="204" xfId="0" applyNumberFormat="1" applyFont="1" applyFill="1" applyBorder="1" applyAlignment="1">
      <alignment horizontal="left" wrapText="1"/>
    </xf>
    <xf numFmtId="3" fontId="12" fillId="0" borderId="224" xfId="0" applyNumberFormat="1" applyFont="1" applyFill="1" applyBorder="1" applyAlignment="1">
      <alignment horizontal="left" wrapText="1"/>
    </xf>
    <xf numFmtId="3" fontId="81" fillId="0" borderId="29" xfId="88" applyNumberFormat="1" applyFont="1" applyFill="1" applyBorder="1" applyAlignment="1">
      <alignment horizontal="left" wrapText="1"/>
      <protection/>
    </xf>
    <xf numFmtId="0" fontId="0" fillId="0" borderId="128" xfId="0" applyBorder="1" applyAlignment="1">
      <alignment horizontal="left" wrapText="1"/>
    </xf>
    <xf numFmtId="0" fontId="0" fillId="0" borderId="225" xfId="0" applyBorder="1" applyAlignment="1">
      <alignment horizontal="left" wrapText="1"/>
    </xf>
    <xf numFmtId="3" fontId="12" fillId="0" borderId="29" xfId="0" applyNumberFormat="1" applyFont="1" applyFill="1" applyBorder="1" applyAlignment="1">
      <alignment horizontal="left" wrapText="1"/>
    </xf>
    <xf numFmtId="3" fontId="81" fillId="0" borderId="160" xfId="88" applyNumberFormat="1" applyFont="1" applyFill="1" applyBorder="1" applyAlignment="1">
      <alignment horizontal="left" wrapText="1"/>
      <protection/>
    </xf>
    <xf numFmtId="0" fontId="0" fillId="0" borderId="151" xfId="0" applyBorder="1" applyAlignment="1">
      <alignment horizontal="left" wrapText="1"/>
    </xf>
    <xf numFmtId="0" fontId="0" fillId="0" borderId="226" xfId="0" applyBorder="1" applyAlignment="1">
      <alignment horizontal="left" wrapText="1"/>
    </xf>
    <xf numFmtId="3" fontId="13" fillId="0" borderId="0" xfId="88" applyNumberFormat="1" applyFont="1" applyFill="1" applyAlignment="1">
      <alignment horizontal="center" vertical="center" wrapText="1"/>
      <protection/>
    </xf>
    <xf numFmtId="0" fontId="12" fillId="0" borderId="0" xfId="88" applyFont="1" applyFill="1" applyBorder="1" applyAlignment="1">
      <alignment horizontal="right" wrapText="1"/>
      <protection/>
    </xf>
    <xf numFmtId="0" fontId="4" fillId="0" borderId="227" xfId="88" applyFont="1" applyFill="1" applyBorder="1" applyAlignment="1">
      <alignment horizontal="center" vertical="center" wrapText="1"/>
      <protection/>
    </xf>
    <xf numFmtId="0" fontId="4" fillId="0" borderId="228" xfId="88" applyFont="1" applyFill="1" applyBorder="1" applyAlignment="1">
      <alignment horizontal="center" vertical="center" wrapText="1"/>
      <protection/>
    </xf>
    <xf numFmtId="3" fontId="2" fillId="0" borderId="170" xfId="0" applyNumberFormat="1" applyFont="1" applyFill="1" applyBorder="1" applyAlignment="1">
      <alignment horizontal="center" vertical="center" wrapText="1"/>
    </xf>
    <xf numFmtId="3" fontId="2" fillId="0" borderId="229" xfId="0" applyNumberFormat="1" applyFont="1" applyFill="1" applyBorder="1" applyAlignment="1">
      <alignment horizontal="center" vertical="center" wrapText="1"/>
    </xf>
    <xf numFmtId="0" fontId="2" fillId="0" borderId="0" xfId="102" applyFont="1" applyFill="1" applyBorder="1" applyAlignment="1">
      <alignment horizontal="left" vertical="center"/>
      <protection/>
    </xf>
    <xf numFmtId="3" fontId="13" fillId="0" borderId="20" xfId="91" applyNumberFormat="1" applyFont="1" applyFill="1" applyBorder="1" applyAlignment="1">
      <alignment horizontal="center" vertical="center" wrapText="1"/>
      <protection/>
    </xf>
    <xf numFmtId="3" fontId="13" fillId="0" borderId="21" xfId="91" applyNumberFormat="1" applyFont="1" applyFill="1" applyBorder="1" applyAlignment="1">
      <alignment horizontal="center" vertical="center" wrapText="1"/>
      <protection/>
    </xf>
    <xf numFmtId="3" fontId="13" fillId="0" borderId="230" xfId="91" applyNumberFormat="1" applyFont="1" applyFill="1" applyBorder="1" applyAlignment="1">
      <alignment horizontal="center" vertical="center" wrapText="1"/>
      <protection/>
    </xf>
    <xf numFmtId="3" fontId="2" fillId="0" borderId="0" xfId="101" applyNumberFormat="1" applyFont="1" applyFill="1" applyBorder="1" applyAlignment="1">
      <alignment horizontal="right"/>
      <protection/>
    </xf>
    <xf numFmtId="0" fontId="4" fillId="0" borderId="0" xfId="101" applyFont="1" applyFill="1" applyBorder="1" applyAlignment="1">
      <alignment horizontal="center"/>
      <protection/>
    </xf>
    <xf numFmtId="0" fontId="4" fillId="0" borderId="0" xfId="102" applyFont="1" applyFill="1" applyBorder="1" applyAlignment="1">
      <alignment horizontal="center" vertical="center"/>
      <protection/>
    </xf>
    <xf numFmtId="3" fontId="13" fillId="0" borderId="208" xfId="101" applyNumberFormat="1" applyFont="1" applyFill="1" applyBorder="1" applyAlignment="1">
      <alignment horizontal="center" vertical="center" wrapText="1"/>
      <protection/>
    </xf>
    <xf numFmtId="3" fontId="13" fillId="0" borderId="202" xfId="101" applyNumberFormat="1" applyFont="1" applyFill="1" applyBorder="1" applyAlignment="1">
      <alignment horizontal="center" vertical="center" wrapText="1"/>
      <protection/>
    </xf>
    <xf numFmtId="3" fontId="13" fillId="0" borderId="210" xfId="101" applyNumberFormat="1" applyFont="1" applyFill="1" applyBorder="1" applyAlignment="1">
      <alignment horizontal="center" vertical="center" wrapText="1"/>
      <protection/>
    </xf>
    <xf numFmtId="3" fontId="10" fillId="0" borderId="231" xfId="101" applyNumberFormat="1" applyFont="1" applyFill="1" applyBorder="1" applyAlignment="1">
      <alignment horizontal="center" vertical="center" wrapText="1"/>
      <protection/>
    </xf>
    <xf numFmtId="3" fontId="10" fillId="0" borderId="232" xfId="101" applyNumberFormat="1" applyFont="1" applyFill="1" applyBorder="1" applyAlignment="1">
      <alignment horizontal="center" vertical="center" wrapText="1"/>
      <protection/>
    </xf>
    <xf numFmtId="3" fontId="10" fillId="0" borderId="233" xfId="101" applyNumberFormat="1" applyFont="1" applyFill="1" applyBorder="1" applyAlignment="1">
      <alignment horizontal="center" vertical="center" wrapText="1"/>
      <protection/>
    </xf>
    <xf numFmtId="3" fontId="10" fillId="0" borderId="234" xfId="101" applyNumberFormat="1" applyFont="1" applyFill="1" applyBorder="1" applyAlignment="1">
      <alignment horizontal="center" vertical="center" wrapText="1"/>
      <protection/>
    </xf>
    <xf numFmtId="3" fontId="10" fillId="0" borderId="235" xfId="101" applyNumberFormat="1" applyFont="1" applyFill="1" applyBorder="1" applyAlignment="1">
      <alignment horizontal="center" vertical="center" wrapText="1"/>
      <protection/>
    </xf>
    <xf numFmtId="3" fontId="10" fillId="0" borderId="61" xfId="101" applyNumberFormat="1" applyFont="1" applyFill="1" applyBorder="1" applyAlignment="1">
      <alignment horizontal="center" vertical="center" wrapText="1"/>
      <protection/>
    </xf>
    <xf numFmtId="3" fontId="10" fillId="0" borderId="189" xfId="88" applyNumberFormat="1" applyFont="1" applyFill="1" applyBorder="1" applyAlignment="1">
      <alignment horizontal="center" vertical="center" textRotation="90"/>
      <protection/>
    </xf>
    <xf numFmtId="3" fontId="10" fillId="0" borderId="190" xfId="88" applyNumberFormat="1" applyFont="1" applyFill="1" applyBorder="1" applyAlignment="1">
      <alignment horizontal="center" vertical="center" textRotation="90"/>
      <protection/>
    </xf>
    <xf numFmtId="3" fontId="10" fillId="0" borderId="191" xfId="88" applyNumberFormat="1" applyFont="1" applyFill="1" applyBorder="1" applyAlignment="1">
      <alignment horizontal="center" vertical="center" textRotation="90"/>
      <protection/>
    </xf>
    <xf numFmtId="3" fontId="10" fillId="0" borderId="234" xfId="88" applyNumberFormat="1" applyFont="1" applyFill="1" applyBorder="1" applyAlignment="1">
      <alignment horizontal="center" vertical="center" textRotation="90"/>
      <protection/>
    </xf>
    <xf numFmtId="3" fontId="10" fillId="0" borderId="235" xfId="88" applyNumberFormat="1" applyFont="1" applyFill="1" applyBorder="1" applyAlignment="1">
      <alignment horizontal="center" vertical="center" textRotation="90"/>
      <protection/>
    </xf>
    <xf numFmtId="3" fontId="10" fillId="0" borderId="61" xfId="88" applyNumberFormat="1" applyFont="1" applyFill="1" applyBorder="1" applyAlignment="1">
      <alignment horizontal="center" vertical="center" textRotation="90"/>
      <protection/>
    </xf>
    <xf numFmtId="0" fontId="13" fillId="0" borderId="202" xfId="101" applyFont="1" applyFill="1" applyBorder="1" applyAlignment="1">
      <alignment horizontal="center" vertical="center" wrapText="1"/>
      <protection/>
    </xf>
    <xf numFmtId="0" fontId="13" fillId="0" borderId="236" xfId="101" applyFont="1" applyFill="1" applyBorder="1" applyAlignment="1">
      <alignment horizontal="center" vertical="center" wrapText="1"/>
      <protection/>
    </xf>
    <xf numFmtId="0" fontId="13" fillId="0" borderId="192" xfId="101" applyFont="1" applyFill="1" applyBorder="1" applyAlignment="1">
      <alignment horizontal="center" vertical="center" wrapText="1"/>
      <protection/>
    </xf>
    <xf numFmtId="3" fontId="10" fillId="0" borderId="163" xfId="101" applyNumberFormat="1" applyFont="1" applyFill="1" applyBorder="1" applyAlignment="1">
      <alignment horizontal="center" vertical="center" wrapText="1"/>
      <protection/>
    </xf>
    <xf numFmtId="3" fontId="13" fillId="0" borderId="237" xfId="101" applyNumberFormat="1" applyFont="1" applyFill="1" applyBorder="1" applyAlignment="1">
      <alignment horizontal="center" vertical="center" wrapText="1"/>
      <protection/>
    </xf>
    <xf numFmtId="3" fontId="13" fillId="0" borderId="238" xfId="101" applyNumberFormat="1" applyFont="1" applyFill="1" applyBorder="1" applyAlignment="1">
      <alignment horizontal="center" vertical="center" wrapText="1"/>
      <protection/>
    </xf>
    <xf numFmtId="0" fontId="10" fillId="0" borderId="239" xfId="101" applyFont="1" applyFill="1" applyBorder="1" applyAlignment="1">
      <alignment horizontal="center" vertical="center" textRotation="90" wrapText="1"/>
      <protection/>
    </xf>
    <xf numFmtId="0" fontId="10" fillId="0" borderId="240" xfId="101" applyFont="1" applyFill="1" applyBorder="1" applyAlignment="1">
      <alignment horizontal="center" vertical="center" textRotation="90" wrapText="1"/>
      <protection/>
    </xf>
    <xf numFmtId="0" fontId="10" fillId="0" borderId="62" xfId="101" applyFont="1" applyFill="1" applyBorder="1" applyAlignment="1">
      <alignment horizontal="center" vertical="center" textRotation="90" wrapText="1"/>
      <protection/>
    </xf>
    <xf numFmtId="3" fontId="10" fillId="0" borderId="79" xfId="101" applyNumberFormat="1" applyFont="1" applyFill="1" applyBorder="1" applyAlignment="1">
      <alignment horizontal="center" vertical="center" wrapText="1"/>
      <protection/>
    </xf>
    <xf numFmtId="3" fontId="10" fillId="0" borderId="84" xfId="101" applyNumberFormat="1" applyFont="1" applyFill="1" applyBorder="1" applyAlignment="1">
      <alignment horizontal="center" vertical="center" wrapText="1"/>
      <protection/>
    </xf>
    <xf numFmtId="3" fontId="10" fillId="0" borderId="241" xfId="101" applyNumberFormat="1" applyFont="1" applyFill="1" applyBorder="1" applyAlignment="1">
      <alignment horizontal="center" vertical="center" wrapText="1"/>
      <protection/>
    </xf>
    <xf numFmtId="3" fontId="13" fillId="0" borderId="106" xfId="101" applyNumberFormat="1" applyFont="1" applyFill="1" applyBorder="1" applyAlignment="1">
      <alignment horizontal="center" vertical="center" wrapText="1"/>
      <protection/>
    </xf>
    <xf numFmtId="3" fontId="13" fillId="0" borderId="242" xfId="101" applyNumberFormat="1" applyFont="1" applyFill="1" applyBorder="1" applyAlignment="1">
      <alignment horizontal="center" vertical="center" wrapText="1"/>
      <protection/>
    </xf>
    <xf numFmtId="3" fontId="4" fillId="0" borderId="20" xfId="91" applyNumberFormat="1" applyFont="1" applyFill="1" applyBorder="1" applyAlignment="1">
      <alignment horizontal="center" vertical="center" wrapText="1"/>
      <protection/>
    </xf>
    <xf numFmtId="3" fontId="4" fillId="0" borderId="21" xfId="91" applyNumberFormat="1" applyFont="1" applyFill="1" applyBorder="1" applyAlignment="1">
      <alignment horizontal="center" vertical="center" wrapText="1"/>
      <protection/>
    </xf>
    <xf numFmtId="3" fontId="4" fillId="0" borderId="230" xfId="91" applyNumberFormat="1" applyFont="1" applyFill="1" applyBorder="1" applyAlignment="1">
      <alignment horizontal="center" vertical="center" wrapText="1"/>
      <protection/>
    </xf>
    <xf numFmtId="3" fontId="2" fillId="0" borderId="234" xfId="88" applyNumberFormat="1" applyFont="1" applyFill="1" applyBorder="1" applyAlignment="1">
      <alignment horizontal="center" vertical="center" textRotation="90"/>
      <protection/>
    </xf>
    <xf numFmtId="3" fontId="2" fillId="0" borderId="235" xfId="88" applyNumberFormat="1" applyFont="1" applyFill="1" applyBorder="1" applyAlignment="1">
      <alignment horizontal="center" vertical="center" textRotation="90"/>
      <protection/>
    </xf>
    <xf numFmtId="3" fontId="2" fillId="0" borderId="61" xfId="88" applyNumberFormat="1" applyFont="1" applyFill="1" applyBorder="1" applyAlignment="1">
      <alignment horizontal="center" vertical="center" textRotation="90"/>
      <protection/>
    </xf>
    <xf numFmtId="0" fontId="2" fillId="0" borderId="0" xfId="101" applyFont="1" applyFill="1" applyBorder="1" applyAlignment="1">
      <alignment horizontal="center"/>
      <protection/>
    </xf>
    <xf numFmtId="3" fontId="2" fillId="0" borderId="189" xfId="88" applyNumberFormat="1" applyFont="1" applyFill="1" applyBorder="1" applyAlignment="1">
      <alignment horizontal="center" vertical="center" textRotation="90"/>
      <protection/>
    </xf>
    <xf numFmtId="3" fontId="2" fillId="0" borderId="190" xfId="88" applyNumberFormat="1" applyFont="1" applyFill="1" applyBorder="1" applyAlignment="1">
      <alignment horizontal="center" vertical="center" textRotation="90"/>
      <protection/>
    </xf>
    <xf numFmtId="3" fontId="2" fillId="0" borderId="191" xfId="88" applyNumberFormat="1" applyFont="1" applyFill="1" applyBorder="1" applyAlignment="1">
      <alignment horizontal="center" vertical="center" textRotation="90"/>
      <protection/>
    </xf>
    <xf numFmtId="3" fontId="2" fillId="0" borderId="234" xfId="101" applyNumberFormat="1" applyFont="1" applyFill="1" applyBorder="1" applyAlignment="1">
      <alignment horizontal="center" vertical="center" wrapText="1"/>
      <protection/>
    </xf>
    <xf numFmtId="3" fontId="2" fillId="0" borderId="235" xfId="101" applyNumberFormat="1" applyFont="1" applyFill="1" applyBorder="1" applyAlignment="1">
      <alignment horizontal="center" vertical="center" wrapText="1"/>
      <protection/>
    </xf>
    <xf numFmtId="3" fontId="2" fillId="0" borderId="61" xfId="101" applyNumberFormat="1" applyFont="1" applyFill="1" applyBorder="1" applyAlignment="1">
      <alignment horizontal="center" vertical="center" wrapText="1"/>
      <protection/>
    </xf>
    <xf numFmtId="0" fontId="2" fillId="0" borderId="0" xfId="102" applyFont="1" applyFill="1" applyBorder="1" applyAlignment="1">
      <alignment horizontal="left"/>
      <protection/>
    </xf>
    <xf numFmtId="0" fontId="4" fillId="0" borderId="0" xfId="102" applyFont="1" applyFill="1" applyBorder="1" applyAlignment="1">
      <alignment horizontal="center"/>
      <protection/>
    </xf>
    <xf numFmtId="0" fontId="2" fillId="0" borderId="202" xfId="101" applyFont="1" applyFill="1" applyBorder="1" applyAlignment="1">
      <alignment horizontal="center" vertical="center"/>
      <protection/>
    </xf>
    <xf numFmtId="0" fontId="2" fillId="0" borderId="236" xfId="101" applyFont="1" applyFill="1" applyBorder="1" applyAlignment="1">
      <alignment horizontal="center" vertical="center"/>
      <protection/>
    </xf>
    <xf numFmtId="0" fontId="2" fillId="0" borderId="192" xfId="101" applyFont="1" applyFill="1" applyBorder="1" applyAlignment="1">
      <alignment horizontal="center" vertical="center"/>
      <protection/>
    </xf>
    <xf numFmtId="3" fontId="2" fillId="0" borderId="79" xfId="101" applyNumberFormat="1" applyFont="1" applyFill="1" applyBorder="1" applyAlignment="1">
      <alignment horizontal="center" vertical="center" wrapText="1"/>
      <protection/>
    </xf>
    <xf numFmtId="3" fontId="2" fillId="0" borderId="84" xfId="101" applyNumberFormat="1" applyFont="1" applyFill="1" applyBorder="1" applyAlignment="1">
      <alignment horizontal="center" vertical="center" wrapText="1"/>
      <protection/>
    </xf>
    <xf numFmtId="3" fontId="2" fillId="0" borderId="241" xfId="101" applyNumberFormat="1" applyFont="1" applyFill="1" applyBorder="1" applyAlignment="1">
      <alignment horizontal="center" vertical="center" wrapText="1"/>
      <protection/>
    </xf>
    <xf numFmtId="3" fontId="2" fillId="0" borderId="78" xfId="101" applyNumberFormat="1" applyFont="1" applyFill="1" applyBorder="1" applyAlignment="1">
      <alignment horizontal="center" vertical="center" wrapText="1"/>
      <protection/>
    </xf>
    <xf numFmtId="3" fontId="2" fillId="0" borderId="243" xfId="101" applyNumberFormat="1" applyFont="1" applyFill="1" applyBorder="1" applyAlignment="1">
      <alignment horizontal="center" vertical="center" wrapText="1"/>
      <protection/>
    </xf>
    <xf numFmtId="3" fontId="2" fillId="0" borderId="231" xfId="101" applyNumberFormat="1" applyFont="1" applyFill="1" applyBorder="1" applyAlignment="1">
      <alignment horizontal="center" vertical="center" wrapText="1"/>
      <protection/>
    </xf>
    <xf numFmtId="3" fontId="2" fillId="0" borderId="232" xfId="101" applyNumberFormat="1" applyFont="1" applyFill="1" applyBorder="1" applyAlignment="1">
      <alignment horizontal="center" vertical="center" wrapText="1"/>
      <protection/>
    </xf>
    <xf numFmtId="3" fontId="2" fillId="0" borderId="233" xfId="101" applyNumberFormat="1" applyFont="1" applyFill="1" applyBorder="1" applyAlignment="1">
      <alignment horizontal="center" vertical="center" wrapText="1"/>
      <protection/>
    </xf>
    <xf numFmtId="3" fontId="2" fillId="0" borderId="244" xfId="101" applyNumberFormat="1" applyFont="1" applyFill="1" applyBorder="1" applyAlignment="1">
      <alignment horizontal="center" vertical="center" wrapText="1"/>
      <protection/>
    </xf>
    <xf numFmtId="3" fontId="2" fillId="0" borderId="245" xfId="101" applyNumberFormat="1" applyFont="1" applyFill="1" applyBorder="1" applyAlignment="1">
      <alignment horizontal="center" vertical="center" wrapText="1"/>
      <protection/>
    </xf>
    <xf numFmtId="3" fontId="2" fillId="0" borderId="246" xfId="101" applyNumberFormat="1" applyFont="1" applyFill="1" applyBorder="1" applyAlignment="1">
      <alignment horizontal="center" vertical="center" wrapText="1"/>
      <protection/>
    </xf>
    <xf numFmtId="3" fontId="2" fillId="0" borderId="247" xfId="101" applyNumberFormat="1" applyFont="1" applyFill="1" applyBorder="1" applyAlignment="1">
      <alignment horizontal="center" vertical="center" wrapText="1"/>
      <protection/>
    </xf>
    <xf numFmtId="3" fontId="4" fillId="0" borderId="114" xfId="101" applyNumberFormat="1" applyFont="1" applyFill="1" applyBorder="1" applyAlignment="1">
      <alignment horizontal="center" vertical="center" wrapText="1"/>
      <protection/>
    </xf>
    <xf numFmtId="3" fontId="4" fillId="0" borderId="238" xfId="101" applyNumberFormat="1" applyFont="1" applyFill="1" applyBorder="1" applyAlignment="1">
      <alignment horizontal="center" vertical="center" wrapText="1"/>
      <protection/>
    </xf>
    <xf numFmtId="3" fontId="4" fillId="0" borderId="20" xfId="91" applyNumberFormat="1" applyFont="1" applyBorder="1" applyAlignment="1">
      <alignment horizontal="center" vertical="center" wrapText="1"/>
      <protection/>
    </xf>
    <xf numFmtId="3" fontId="4" fillId="0" borderId="21" xfId="91" applyNumberFormat="1" applyFont="1" applyBorder="1" applyAlignment="1">
      <alignment horizontal="center" vertical="center" wrapText="1"/>
      <protection/>
    </xf>
    <xf numFmtId="3" fontId="4" fillId="0" borderId="230" xfId="91" applyNumberFormat="1" applyFont="1" applyBorder="1" applyAlignment="1">
      <alignment horizontal="center" vertical="center" wrapText="1"/>
      <protection/>
    </xf>
    <xf numFmtId="0" fontId="10" fillId="0" borderId="239" xfId="101" applyFont="1" applyBorder="1" applyAlignment="1">
      <alignment horizontal="center" vertical="center" textRotation="90" wrapText="1"/>
      <protection/>
    </xf>
    <xf numFmtId="0" fontId="10" fillId="0" borderId="240" xfId="101" applyFont="1" applyBorder="1" applyAlignment="1">
      <alignment horizontal="center" vertical="center" textRotation="90" wrapText="1"/>
      <protection/>
    </xf>
    <xf numFmtId="0" fontId="10" fillId="0" borderId="62" xfId="101" applyFont="1" applyBorder="1" applyAlignment="1">
      <alignment horizontal="center" vertical="center" textRotation="90" wrapText="1"/>
      <protection/>
    </xf>
    <xf numFmtId="3" fontId="2" fillId="0" borderId="78" xfId="101" applyNumberFormat="1" applyFont="1" applyBorder="1" applyAlignment="1">
      <alignment horizontal="center" vertical="center" wrapText="1"/>
      <protection/>
    </xf>
    <xf numFmtId="3" fontId="2" fillId="0" borderId="234" xfId="101" applyNumberFormat="1" applyFont="1" applyBorder="1" applyAlignment="1">
      <alignment horizontal="center" vertical="center" wrapText="1"/>
      <protection/>
    </xf>
    <xf numFmtId="3" fontId="2" fillId="0" borderId="243" xfId="101" applyNumberFormat="1" applyFont="1" applyBorder="1" applyAlignment="1">
      <alignment horizontal="center" vertical="center" wrapText="1"/>
      <protection/>
    </xf>
    <xf numFmtId="3" fontId="2" fillId="0" borderId="231" xfId="101" applyNumberFormat="1" applyFont="1" applyBorder="1" applyAlignment="1">
      <alignment horizontal="center" vertical="center" wrapText="1"/>
      <protection/>
    </xf>
    <xf numFmtId="3" fontId="2" fillId="0" borderId="232" xfId="101" applyNumberFormat="1" applyFont="1" applyBorder="1" applyAlignment="1">
      <alignment horizontal="center" vertical="center" wrapText="1"/>
      <protection/>
    </xf>
    <xf numFmtId="3" fontId="2" fillId="0" borderId="233" xfId="101" applyNumberFormat="1" applyFont="1" applyBorder="1" applyAlignment="1">
      <alignment horizontal="center" vertical="center" wrapText="1"/>
      <protection/>
    </xf>
    <xf numFmtId="0" fontId="2" fillId="0" borderId="0" xfId="101" applyFont="1" applyAlignment="1">
      <alignment horizontal="center"/>
      <protection/>
    </xf>
    <xf numFmtId="3" fontId="2" fillId="0" borderId="244" xfId="101" applyNumberFormat="1" applyFont="1" applyBorder="1" applyAlignment="1">
      <alignment horizontal="center" vertical="center" wrapText="1"/>
      <protection/>
    </xf>
    <xf numFmtId="3" fontId="2" fillId="0" borderId="245" xfId="101" applyNumberFormat="1" applyFont="1" applyBorder="1" applyAlignment="1">
      <alignment horizontal="center" vertical="center" wrapText="1"/>
      <protection/>
    </xf>
    <xf numFmtId="3" fontId="2" fillId="0" borderId="246" xfId="101" applyNumberFormat="1" applyFont="1" applyBorder="1" applyAlignment="1">
      <alignment horizontal="center" vertical="center" wrapText="1"/>
      <protection/>
    </xf>
    <xf numFmtId="3" fontId="2" fillId="0" borderId="247" xfId="101" applyNumberFormat="1" applyFont="1" applyBorder="1" applyAlignment="1">
      <alignment horizontal="center" vertical="center" wrapText="1"/>
      <protection/>
    </xf>
    <xf numFmtId="3" fontId="4" fillId="0" borderId="114" xfId="101" applyNumberFormat="1" applyFont="1" applyBorder="1" applyAlignment="1">
      <alignment horizontal="center" vertical="center" wrapText="1"/>
      <protection/>
    </xf>
    <xf numFmtId="3" fontId="4" fillId="0" borderId="238" xfId="101" applyNumberFormat="1" applyFont="1" applyBorder="1" applyAlignment="1">
      <alignment horizontal="center" vertical="center" wrapText="1"/>
      <protection/>
    </xf>
    <xf numFmtId="0" fontId="2" fillId="0" borderId="0" xfId="102" applyFont="1" applyAlignment="1">
      <alignment horizontal="left"/>
      <protection/>
    </xf>
    <xf numFmtId="3" fontId="2" fillId="0" borderId="0" xfId="101" applyNumberFormat="1" applyFont="1" applyAlignment="1">
      <alignment horizontal="right"/>
      <protection/>
    </xf>
    <xf numFmtId="0" fontId="4" fillId="0" borderId="0" xfId="101" applyFont="1" applyAlignment="1">
      <alignment horizontal="center"/>
      <protection/>
    </xf>
    <xf numFmtId="0" fontId="4" fillId="0" borderId="0" xfId="102" applyFont="1" applyAlignment="1">
      <alignment horizontal="center"/>
      <protection/>
    </xf>
    <xf numFmtId="3" fontId="2" fillId="0" borderId="189" xfId="88" applyNumberFormat="1" applyFont="1" applyBorder="1" applyAlignment="1">
      <alignment horizontal="center" vertical="center" textRotation="90"/>
      <protection/>
    </xf>
    <xf numFmtId="3" fontId="2" fillId="0" borderId="190" xfId="88" applyNumberFormat="1" applyFont="1" applyBorder="1" applyAlignment="1">
      <alignment horizontal="center" vertical="center" textRotation="90"/>
      <protection/>
    </xf>
    <xf numFmtId="3" fontId="2" fillId="0" borderId="191" xfId="88" applyNumberFormat="1" applyFont="1" applyBorder="1" applyAlignment="1">
      <alignment horizontal="center" vertical="center" textRotation="90"/>
      <protection/>
    </xf>
    <xf numFmtId="3" fontId="2" fillId="0" borderId="234" xfId="88" applyNumberFormat="1" applyFont="1" applyBorder="1" applyAlignment="1">
      <alignment horizontal="center" vertical="center" textRotation="90"/>
      <protection/>
    </xf>
    <xf numFmtId="3" fontId="2" fillId="0" borderId="235" xfId="88" applyNumberFormat="1" applyFont="1" applyBorder="1" applyAlignment="1">
      <alignment horizontal="center" vertical="center" textRotation="90"/>
      <protection/>
    </xf>
    <xf numFmtId="3" fontId="2" fillId="0" borderId="61" xfId="88" applyNumberFormat="1" applyFont="1" applyBorder="1" applyAlignment="1">
      <alignment horizontal="center" vertical="center" textRotation="90"/>
      <protection/>
    </xf>
    <xf numFmtId="0" fontId="2" fillId="0" borderId="202" xfId="101" applyFont="1" applyBorder="1" applyAlignment="1">
      <alignment horizontal="center" vertical="center"/>
      <protection/>
    </xf>
    <xf numFmtId="0" fontId="2" fillId="0" borderId="236" xfId="101" applyFont="1" applyBorder="1" applyAlignment="1">
      <alignment horizontal="center" vertical="center"/>
      <protection/>
    </xf>
    <xf numFmtId="0" fontId="2" fillId="0" borderId="192" xfId="101" applyFont="1" applyBorder="1" applyAlignment="1">
      <alignment horizontal="center" vertical="center"/>
      <protection/>
    </xf>
    <xf numFmtId="3" fontId="2" fillId="0" borderId="235" xfId="101" applyNumberFormat="1" applyFont="1" applyBorder="1" applyAlignment="1">
      <alignment horizontal="center" vertical="center" wrapText="1"/>
      <protection/>
    </xf>
    <xf numFmtId="3" fontId="2" fillId="0" borderId="61" xfId="101" applyNumberFormat="1" applyFont="1" applyBorder="1" applyAlignment="1">
      <alignment horizontal="center" vertical="center" wrapText="1"/>
      <protection/>
    </xf>
    <xf numFmtId="3" fontId="2" fillId="0" borderId="79" xfId="101" applyNumberFormat="1" applyFont="1" applyBorder="1" applyAlignment="1">
      <alignment horizontal="center" vertical="center" wrapText="1"/>
      <protection/>
    </xf>
    <xf numFmtId="3" fontId="2" fillId="0" borderId="84" xfId="101" applyNumberFormat="1" applyFont="1" applyBorder="1" applyAlignment="1">
      <alignment horizontal="center" vertical="center" wrapText="1"/>
      <protection/>
    </xf>
    <xf numFmtId="3" fontId="2" fillId="0" borderId="241" xfId="101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20" xfId="101" applyFont="1" applyFill="1" applyBorder="1" applyAlignment="1">
      <alignment horizontal="center" vertical="center"/>
      <protection/>
    </xf>
    <xf numFmtId="0" fontId="4" fillId="0" borderId="154" xfId="101" applyFont="1" applyFill="1" applyBorder="1" applyAlignment="1">
      <alignment horizontal="center" vertical="center"/>
      <protection/>
    </xf>
    <xf numFmtId="0" fontId="2" fillId="0" borderId="0" xfId="86" applyFont="1" applyFill="1" applyBorder="1" applyAlignment="1">
      <alignment horizontal="left" vertical="center"/>
      <protection/>
    </xf>
    <xf numFmtId="3" fontId="4" fillId="0" borderId="124" xfId="89" applyNumberFormat="1" applyFont="1" applyFill="1" applyBorder="1" applyAlignment="1">
      <alignment horizontal="center" vertical="center" wrapText="1"/>
      <protection/>
    </xf>
    <xf numFmtId="3" fontId="4" fillId="0" borderId="248" xfId="89" applyNumberFormat="1" applyFont="1" applyFill="1" applyBorder="1" applyAlignment="1">
      <alignment horizontal="center" vertical="center" wrapText="1"/>
      <protection/>
    </xf>
    <xf numFmtId="0" fontId="4" fillId="0" borderId="0" xfId="101" applyFont="1" applyFill="1" applyBorder="1" applyAlignment="1">
      <alignment horizontal="center" vertical="center"/>
      <protection/>
    </xf>
    <xf numFmtId="0" fontId="5" fillId="0" borderId="0" xfId="101" applyFont="1" applyFill="1" applyBorder="1" applyAlignment="1">
      <alignment horizontal="center" vertical="center"/>
      <protection/>
    </xf>
    <xf numFmtId="0" fontId="2" fillId="0" borderId="200" xfId="89" applyFont="1" applyFill="1" applyBorder="1" applyAlignment="1">
      <alignment horizontal="center" vertical="center" textRotation="90"/>
      <protection/>
    </xf>
    <xf numFmtId="0" fontId="2" fillId="0" borderId="201" xfId="89" applyFont="1" applyFill="1" applyBorder="1" applyAlignment="1">
      <alignment horizontal="center" vertical="center" textRotation="90"/>
      <protection/>
    </xf>
    <xf numFmtId="0" fontId="4" fillId="0" borderId="249" xfId="89" applyFont="1" applyFill="1" applyBorder="1" applyAlignment="1">
      <alignment horizontal="center" vertical="center" wrapText="1"/>
      <protection/>
    </xf>
    <xf numFmtId="0" fontId="4" fillId="0" borderId="250" xfId="89" applyFont="1" applyFill="1" applyBorder="1" applyAlignment="1">
      <alignment horizontal="center" vertical="center" wrapText="1"/>
      <protection/>
    </xf>
    <xf numFmtId="3" fontId="4" fillId="0" borderId="142" xfId="89" applyNumberFormat="1" applyFont="1" applyFill="1" applyBorder="1" applyAlignment="1">
      <alignment horizontal="center" vertical="center" wrapText="1"/>
      <protection/>
    </xf>
    <xf numFmtId="3" fontId="4" fillId="0" borderId="109" xfId="89" applyNumberFormat="1" applyFont="1" applyFill="1" applyBorder="1" applyAlignment="1">
      <alignment horizontal="center" vertical="center" wrapText="1"/>
      <protection/>
    </xf>
    <xf numFmtId="3" fontId="4" fillId="0" borderId="77" xfId="89" applyNumberFormat="1" applyFont="1" applyFill="1" applyBorder="1" applyAlignment="1">
      <alignment horizontal="center" vertical="center" wrapText="1"/>
      <protection/>
    </xf>
    <xf numFmtId="0" fontId="2" fillId="0" borderId="160" xfId="83" applyFont="1" applyFill="1" applyBorder="1" applyAlignment="1">
      <alignment horizontal="center" vertical="center" wrapText="1"/>
      <protection/>
    </xf>
    <xf numFmtId="3" fontId="4" fillId="0" borderId="170" xfId="89" applyNumberFormat="1" applyFont="1" applyFill="1" applyBorder="1" applyAlignment="1">
      <alignment horizontal="center" vertical="center" wrapText="1"/>
      <protection/>
    </xf>
    <xf numFmtId="3" fontId="4" fillId="0" borderId="126" xfId="89" applyNumberFormat="1" applyFont="1" applyFill="1" applyBorder="1" applyAlignment="1">
      <alignment horizontal="center" vertical="center" wrapText="1"/>
      <protection/>
    </xf>
    <xf numFmtId="0" fontId="2" fillId="0" borderId="15" xfId="95" applyFont="1" applyFill="1" applyBorder="1" applyAlignment="1">
      <alignment horizontal="center"/>
      <protection/>
    </xf>
    <xf numFmtId="0" fontId="2" fillId="0" borderId="251" xfId="94" applyFont="1" applyFill="1" applyBorder="1" applyAlignment="1">
      <alignment horizontal="center" vertical="center" wrapText="1"/>
      <protection/>
    </xf>
    <xf numFmtId="0" fontId="2" fillId="0" borderId="252" xfId="94" applyFont="1" applyFill="1" applyBorder="1" applyAlignment="1">
      <alignment horizontal="center" vertical="center" wrapText="1"/>
      <protection/>
    </xf>
    <xf numFmtId="0" fontId="4" fillId="0" borderId="0" xfId="94" applyFont="1" applyFill="1" applyAlignment="1">
      <alignment horizontal="center" vertical="center"/>
      <protection/>
    </xf>
    <xf numFmtId="0" fontId="5" fillId="0" borderId="0" xfId="97" applyFont="1" applyFill="1" applyAlignment="1">
      <alignment horizontal="right"/>
      <protection/>
    </xf>
    <xf numFmtId="0" fontId="9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106" xfId="93" applyFont="1" applyFill="1" applyBorder="1" applyAlignment="1">
      <alignment horizontal="center" vertical="center" wrapText="1"/>
      <protection/>
    </xf>
    <xf numFmtId="3" fontId="87" fillId="0" borderId="203" xfId="0" applyNumberFormat="1" applyFont="1" applyFill="1" applyBorder="1" applyAlignment="1">
      <alignment horizontal="right" vertical="center"/>
    </xf>
    <xf numFmtId="3" fontId="87" fillId="0" borderId="163" xfId="0" applyNumberFormat="1" applyFont="1" applyFill="1" applyBorder="1" applyAlignment="1">
      <alignment horizontal="right" vertical="center"/>
    </xf>
    <xf numFmtId="0" fontId="87" fillId="0" borderId="27" xfId="0" applyFont="1" applyBorder="1" applyAlignment="1">
      <alignment horizontal="center" vertical="center"/>
    </xf>
    <xf numFmtId="0" fontId="87" fillId="0" borderId="110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8" fillId="0" borderId="110" xfId="0" applyFont="1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3" fontId="87" fillId="0" borderId="16" xfId="0" applyNumberFormat="1" applyFont="1" applyFill="1" applyBorder="1" applyAlignment="1">
      <alignment horizontal="right" vertical="center"/>
    </xf>
    <xf numFmtId="0" fontId="87" fillId="0" borderId="110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center" vertical="center"/>
    </xf>
    <xf numFmtId="0" fontId="2" fillId="0" borderId="0" xfId="60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15" xfId="93" applyFont="1" applyFill="1" applyBorder="1" applyAlignment="1">
      <alignment horizontal="center"/>
      <protection/>
    </xf>
    <xf numFmtId="0" fontId="93" fillId="0" borderId="110" xfId="0" applyFont="1" applyBorder="1" applyAlignment="1">
      <alignment horizontal="center" vertical="center" wrapText="1"/>
    </xf>
    <xf numFmtId="0" fontId="93" fillId="0" borderId="106" xfId="0" applyFont="1" applyBorder="1" applyAlignment="1">
      <alignment horizontal="center" vertical="center" wrapText="1"/>
    </xf>
    <xf numFmtId="0" fontId="76" fillId="0" borderId="111" xfId="0" applyFont="1" applyBorder="1" applyAlignment="1">
      <alignment horizontal="center" vertical="center" wrapText="1"/>
    </xf>
    <xf numFmtId="0" fontId="4" fillId="0" borderId="0" xfId="93" applyFont="1" applyFill="1" applyBorder="1" applyAlignment="1">
      <alignment horizontal="center" wrapText="1"/>
      <protection/>
    </xf>
    <xf numFmtId="0" fontId="4" fillId="0" borderId="67" xfId="93" applyFont="1" applyFill="1" applyBorder="1" applyAlignment="1">
      <alignment horizontal="center" vertical="center" wrapText="1"/>
      <protection/>
    </xf>
    <xf numFmtId="0" fontId="4" fillId="0" borderId="42" xfId="93" applyFont="1" applyFill="1" applyBorder="1" applyAlignment="1">
      <alignment horizontal="center" vertical="center" wrapText="1"/>
      <protection/>
    </xf>
    <xf numFmtId="0" fontId="4" fillId="0" borderId="253" xfId="93" applyFont="1" applyFill="1" applyBorder="1" applyAlignment="1">
      <alignment horizontal="center" vertical="center" wrapText="1"/>
      <protection/>
    </xf>
    <xf numFmtId="0" fontId="2" fillId="0" borderId="27" xfId="93" applyFont="1" applyFill="1" applyBorder="1" applyAlignment="1">
      <alignment horizontal="center" vertical="center"/>
      <protection/>
    </xf>
    <xf numFmtId="0" fontId="2" fillId="0" borderId="254" xfId="101" applyFont="1" applyFill="1" applyBorder="1" applyAlignment="1">
      <alignment horizontal="center" vertical="center" wrapText="1"/>
      <protection/>
    </xf>
    <xf numFmtId="0" fontId="2" fillId="0" borderId="96" xfId="101" applyFont="1" applyFill="1" applyBorder="1" applyAlignment="1">
      <alignment horizontal="center" vertical="center" wrapText="1"/>
      <protection/>
    </xf>
    <xf numFmtId="0" fontId="2" fillId="0" borderId="255" xfId="101" applyFont="1" applyFill="1" applyBorder="1" applyAlignment="1">
      <alignment horizontal="left" vertical="center" wrapText="1"/>
      <protection/>
    </xf>
    <xf numFmtId="0" fontId="2" fillId="0" borderId="244" xfId="101" applyFont="1" applyFill="1" applyBorder="1" applyAlignment="1">
      <alignment horizontal="left" vertical="center" wrapText="1"/>
      <protection/>
    </xf>
    <xf numFmtId="0" fontId="87" fillId="0" borderId="254" xfId="93" applyFont="1" applyFill="1" applyBorder="1" applyAlignment="1">
      <alignment horizontal="center" vertical="center" wrapText="1"/>
      <protection/>
    </xf>
    <xf numFmtId="0" fontId="87" fillId="0" borderId="96" xfId="93" applyFont="1" applyFill="1" applyBorder="1" applyAlignment="1">
      <alignment horizontal="center" vertical="center" wrapText="1"/>
      <protection/>
    </xf>
    <xf numFmtId="0" fontId="87" fillId="0" borderId="255" xfId="93" applyFont="1" applyFill="1" applyBorder="1" applyAlignment="1">
      <alignment horizontal="left" vertical="center" wrapText="1"/>
      <protection/>
    </xf>
    <xf numFmtId="0" fontId="87" fillId="0" borderId="244" xfId="93" applyFont="1" applyFill="1" applyBorder="1" applyAlignment="1">
      <alignment horizontal="left" vertical="center" wrapText="1"/>
      <protection/>
    </xf>
    <xf numFmtId="0" fontId="4" fillId="0" borderId="0" xfId="93" applyFont="1" applyFill="1" applyBorder="1" applyAlignment="1">
      <alignment horizontal="center"/>
      <protection/>
    </xf>
    <xf numFmtId="0" fontId="4" fillId="0" borderId="0" xfId="93" applyFont="1" applyFill="1" applyBorder="1" applyAlignment="1">
      <alignment horizontal="center" vertical="center"/>
      <protection/>
    </xf>
    <xf numFmtId="3" fontId="2" fillId="0" borderId="256" xfId="0" applyNumberFormat="1" applyFont="1" applyBorder="1" applyAlignment="1">
      <alignment horizontal="right" vertical="center" wrapText="1"/>
    </xf>
    <xf numFmtId="3" fontId="2" fillId="0" borderId="105" xfId="0" applyNumberFormat="1" applyFont="1" applyBorder="1" applyAlignment="1">
      <alignment horizontal="right" vertical="center" wrapText="1"/>
    </xf>
    <xf numFmtId="0" fontId="2" fillId="0" borderId="254" xfId="93" applyFont="1" applyFill="1" applyBorder="1" applyAlignment="1">
      <alignment horizontal="center" vertical="center" wrapText="1"/>
      <protection/>
    </xf>
    <xf numFmtId="0" fontId="2" fillId="0" borderId="96" xfId="93" applyFont="1" applyFill="1" applyBorder="1" applyAlignment="1">
      <alignment horizontal="center" vertical="center" wrapText="1"/>
      <protection/>
    </xf>
    <xf numFmtId="0" fontId="2" fillId="0" borderId="255" xfId="93" applyFont="1" applyFill="1" applyBorder="1" applyAlignment="1">
      <alignment horizontal="left" vertical="center" wrapText="1"/>
      <protection/>
    </xf>
    <xf numFmtId="0" fontId="2" fillId="0" borderId="244" xfId="93" applyFont="1" applyFill="1" applyBorder="1" applyAlignment="1">
      <alignment horizontal="left" vertical="center" wrapText="1"/>
      <protection/>
    </xf>
    <xf numFmtId="2" fontId="4" fillId="0" borderId="20" xfId="93" applyNumberFormat="1" applyFont="1" applyFill="1" applyBorder="1" applyAlignment="1">
      <alignment horizontal="center" vertical="center" wrapText="1"/>
      <protection/>
    </xf>
    <xf numFmtId="2" fontId="4" fillId="0" borderId="21" xfId="93" applyNumberFormat="1" applyFont="1" applyFill="1" applyBorder="1" applyAlignment="1">
      <alignment horizontal="center" vertical="center" wrapText="1"/>
      <protection/>
    </xf>
    <xf numFmtId="2" fontId="4" fillId="0" borderId="38" xfId="93" applyNumberFormat="1" applyFont="1" applyFill="1" applyBorder="1" applyAlignment="1">
      <alignment horizontal="center" vertical="center" wrapText="1"/>
      <protection/>
    </xf>
    <xf numFmtId="0" fontId="2" fillId="0" borderId="110" xfId="91" applyFont="1" applyFill="1" applyBorder="1" applyAlignment="1">
      <alignment horizontal="center" vertical="center" wrapText="1"/>
      <protection/>
    </xf>
    <xf numFmtId="0" fontId="2" fillId="0" borderId="96" xfId="91" applyFont="1" applyFill="1" applyBorder="1" applyAlignment="1">
      <alignment horizontal="center" vertical="center" wrapText="1"/>
      <protection/>
    </xf>
    <xf numFmtId="0" fontId="2" fillId="0" borderId="106" xfId="91" applyFont="1" applyFill="1" applyBorder="1" applyAlignment="1">
      <alignment horizontal="left" vertical="center" wrapText="1"/>
      <protection/>
    </xf>
    <xf numFmtId="0" fontId="2" fillId="0" borderId="208" xfId="91" applyFont="1" applyFill="1" applyBorder="1" applyAlignment="1">
      <alignment horizontal="left" vertical="center" wrapText="1"/>
      <protection/>
    </xf>
    <xf numFmtId="3" fontId="2" fillId="0" borderId="36" xfId="0" applyNumberFormat="1" applyFont="1" applyBorder="1" applyAlignment="1">
      <alignment horizontal="right" vertical="center" wrapText="1"/>
    </xf>
    <xf numFmtId="0" fontId="2" fillId="0" borderId="0" xfId="9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/>
    </xf>
    <xf numFmtId="3" fontId="2" fillId="0" borderId="81" xfId="92" applyNumberFormat="1" applyFont="1" applyBorder="1" applyAlignment="1">
      <alignment horizontal="center" vertical="center" wrapText="1"/>
      <protection/>
    </xf>
    <xf numFmtId="3" fontId="2" fillId="0" borderId="86" xfId="92" applyNumberFormat="1" applyFont="1" applyBorder="1" applyAlignment="1">
      <alignment horizontal="center" vertical="center" wrapText="1"/>
      <protection/>
    </xf>
    <xf numFmtId="3" fontId="2" fillId="0" borderId="188" xfId="92" applyNumberFormat="1" applyFont="1" applyBorder="1" applyAlignment="1">
      <alignment horizontal="center" vertical="center" wrapText="1"/>
      <protection/>
    </xf>
    <xf numFmtId="3" fontId="2" fillId="0" borderId="257" xfId="92" applyNumberFormat="1" applyFont="1" applyBorder="1" applyAlignment="1">
      <alignment horizontal="center" vertical="center" wrapText="1"/>
      <protection/>
    </xf>
    <xf numFmtId="3" fontId="2" fillId="0" borderId="253" xfId="92" applyNumberFormat="1" applyFont="1" applyBorder="1" applyAlignment="1">
      <alignment horizontal="center" vertical="center" wrapText="1"/>
      <protection/>
    </xf>
    <xf numFmtId="3" fontId="2" fillId="0" borderId="245" xfId="92" applyNumberFormat="1" applyFont="1" applyFill="1" applyBorder="1" applyAlignment="1">
      <alignment horizontal="center" vertical="center" wrapText="1"/>
      <protection/>
    </xf>
    <xf numFmtId="3" fontId="2" fillId="0" borderId="192" xfId="92" applyNumberFormat="1" applyFont="1" applyFill="1" applyBorder="1" applyAlignment="1">
      <alignment horizontal="center" vertical="center" wrapText="1"/>
      <protection/>
    </xf>
    <xf numFmtId="0" fontId="2" fillId="0" borderId="235" xfId="92" applyNumberFormat="1" applyFont="1" applyBorder="1" applyAlignment="1">
      <alignment horizontal="center" vertical="center" wrapText="1"/>
      <protection/>
    </xf>
    <xf numFmtId="3" fontId="2" fillId="0" borderId="258" xfId="92" applyNumberFormat="1" applyFont="1" applyBorder="1" applyAlignment="1">
      <alignment horizontal="center" vertical="center" wrapText="1"/>
      <protection/>
    </xf>
    <xf numFmtId="3" fontId="2" fillId="0" borderId="259" xfId="92" applyNumberFormat="1" applyFont="1" applyBorder="1" applyAlignment="1">
      <alignment horizontal="center" vertical="center" wrapText="1"/>
      <protection/>
    </xf>
    <xf numFmtId="3" fontId="2" fillId="0" borderId="200" xfId="92" applyNumberFormat="1" applyFont="1" applyBorder="1" applyAlignment="1">
      <alignment horizontal="center" vertical="center" textRotation="90" wrapText="1"/>
      <protection/>
    </xf>
    <xf numFmtId="3" fontId="2" fillId="0" borderId="260" xfId="92" applyNumberFormat="1" applyFont="1" applyBorder="1" applyAlignment="1">
      <alignment horizontal="center" vertical="center" textRotation="90" wrapText="1"/>
      <protection/>
    </xf>
    <xf numFmtId="3" fontId="2" fillId="0" borderId="201" xfId="92" applyNumberFormat="1" applyFont="1" applyBorder="1" applyAlignment="1">
      <alignment horizontal="center" vertical="center" textRotation="90" wrapText="1"/>
      <protection/>
    </xf>
    <xf numFmtId="3" fontId="2" fillId="0" borderId="202" xfId="92" applyNumberFormat="1" applyFont="1" applyBorder="1" applyAlignment="1">
      <alignment horizontal="center" vertical="center" textRotation="90" wrapText="1"/>
      <protection/>
    </xf>
    <xf numFmtId="3" fontId="2" fillId="0" borderId="236" xfId="92" applyNumberFormat="1" applyFont="1" applyBorder="1" applyAlignment="1">
      <alignment horizontal="center" vertical="center" textRotation="90" wrapText="1"/>
      <protection/>
    </xf>
    <xf numFmtId="3" fontId="2" fillId="0" borderId="192" xfId="92" applyNumberFormat="1" applyFont="1" applyBorder="1" applyAlignment="1">
      <alignment horizontal="center" vertical="center" textRotation="90" wrapText="1"/>
      <protection/>
    </xf>
    <xf numFmtId="3" fontId="2" fillId="0" borderId="208" xfId="92" applyNumberFormat="1" applyFont="1" applyBorder="1" applyAlignment="1">
      <alignment horizontal="center" vertical="center" wrapText="1"/>
      <protection/>
    </xf>
    <xf numFmtId="3" fontId="2" fillId="0" borderId="95" xfId="92" applyNumberFormat="1" applyFont="1" applyBorder="1" applyAlignment="1">
      <alignment horizontal="center" vertical="center" wrapText="1"/>
      <protection/>
    </xf>
    <xf numFmtId="3" fontId="2" fillId="0" borderId="209" xfId="92" applyNumberFormat="1" applyFont="1" applyBorder="1" applyAlignment="1">
      <alignment horizontal="center" vertical="center" wrapText="1"/>
      <protection/>
    </xf>
    <xf numFmtId="14" fontId="2" fillId="0" borderId="206" xfId="92" applyNumberFormat="1" applyFont="1" applyBorder="1" applyAlignment="1">
      <alignment horizontal="center" vertical="center" wrapText="1"/>
      <protection/>
    </xf>
    <xf numFmtId="14" fontId="2" fillId="0" borderId="82" xfId="92" applyNumberFormat="1" applyFont="1" applyBorder="1" applyAlignment="1">
      <alignment horizontal="center" vertical="center" wrapText="1"/>
      <protection/>
    </xf>
    <xf numFmtId="14" fontId="2" fillId="0" borderId="103" xfId="92" applyNumberFormat="1" applyFont="1" applyBorder="1" applyAlignment="1">
      <alignment horizontal="center" vertical="center" wrapText="1"/>
      <protection/>
    </xf>
    <xf numFmtId="3" fontId="2" fillId="0" borderId="78" xfId="92" applyNumberFormat="1" applyFont="1" applyBorder="1" applyAlignment="1">
      <alignment horizontal="center" vertical="center" wrapText="1"/>
      <protection/>
    </xf>
    <xf numFmtId="3" fontId="2" fillId="0" borderId="234" xfId="92" applyNumberFormat="1" applyFont="1" applyBorder="1" applyAlignment="1">
      <alignment horizontal="center" vertical="center" wrapText="1"/>
      <protection/>
    </xf>
    <xf numFmtId="3" fontId="2" fillId="0" borderId="243" xfId="92" applyNumberFormat="1" applyFont="1" applyBorder="1" applyAlignment="1">
      <alignment horizontal="center" vertical="center" wrapText="1"/>
      <protection/>
    </xf>
    <xf numFmtId="3" fontId="2" fillId="0" borderId="239" xfId="92" applyNumberFormat="1" applyFont="1" applyBorder="1" applyAlignment="1">
      <alignment horizontal="center" vertical="center" wrapText="1"/>
      <protection/>
    </xf>
    <xf numFmtId="3" fontId="2" fillId="0" borderId="240" xfId="92" applyNumberFormat="1" applyFont="1" applyBorder="1" applyAlignment="1">
      <alignment horizontal="center" vertical="center" wrapText="1"/>
      <protection/>
    </xf>
    <xf numFmtId="3" fontId="2" fillId="0" borderId="235" xfId="92" applyNumberFormat="1" applyFont="1" applyBorder="1" applyAlignment="1">
      <alignment horizontal="center" vertical="center" wrapText="1"/>
      <protection/>
    </xf>
    <xf numFmtId="3" fontId="4" fillId="0" borderId="0" xfId="92" applyNumberFormat="1" applyFont="1" applyAlignment="1">
      <alignment horizontal="center"/>
      <protection/>
    </xf>
    <xf numFmtId="3" fontId="12" fillId="0" borderId="0" xfId="92" applyNumberFormat="1" applyFont="1" applyBorder="1" applyAlignment="1">
      <alignment horizontal="right"/>
      <protection/>
    </xf>
    <xf numFmtId="3" fontId="2" fillId="0" borderId="0" xfId="92" applyNumberFormat="1" applyFont="1" applyBorder="1" applyAlignment="1">
      <alignment horizontal="left" wrapText="1"/>
      <protection/>
    </xf>
    <xf numFmtId="3" fontId="2" fillId="0" borderId="0" xfId="92" applyNumberFormat="1" applyFont="1" applyAlignment="1">
      <alignment horizontal="left" wrapText="1"/>
      <protection/>
    </xf>
    <xf numFmtId="3" fontId="4" fillId="0" borderId="20" xfId="92" applyNumberFormat="1" applyFont="1" applyBorder="1" applyAlignment="1">
      <alignment horizontal="center" vertical="center"/>
      <protection/>
    </xf>
    <xf numFmtId="3" fontId="4" fillId="0" borderId="21" xfId="92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6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61" xfId="0" applyFont="1" applyBorder="1" applyAlignment="1">
      <alignment horizontal="center" vertical="center" wrapText="1"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Ezres 4 3" xfId="52"/>
    <cellStyle name="Ezres 5" xfId="53"/>
    <cellStyle name="Figyelmeztetés" xfId="54"/>
    <cellStyle name="Hivatkozott cella" xfId="55"/>
    <cellStyle name="Jegyzet" xfId="56"/>
    <cellStyle name="Jó" xfId="57"/>
    <cellStyle name="Kimenet" xfId="58"/>
    <cellStyle name="Magyarázó szöveg" xfId="59"/>
    <cellStyle name="Normál 10" xfId="60"/>
    <cellStyle name="Normál 10 2" xfId="61"/>
    <cellStyle name="Normál 11" xfId="62"/>
    <cellStyle name="Normál 11 2" xfId="63"/>
    <cellStyle name="Normál 12" xfId="64"/>
    <cellStyle name="Normál 2" xfId="65"/>
    <cellStyle name="Normál 3" xfId="66"/>
    <cellStyle name="Normál 4" xfId="67"/>
    <cellStyle name="Normál 5" xfId="68"/>
    <cellStyle name="Normál 6" xfId="69"/>
    <cellStyle name="Normál 6 2" xfId="70"/>
    <cellStyle name="Normál 6 3" xfId="71"/>
    <cellStyle name="Normál 6 3 2" xfId="72"/>
    <cellStyle name="Normál 6 3 2 2" xfId="73"/>
    <cellStyle name="Normál 6 3 2 2 2" xfId="74"/>
    <cellStyle name="Normál 6 3 2 3" xfId="75"/>
    <cellStyle name="Normál 6 3 2 3 2" xfId="76"/>
    <cellStyle name="Normál 6 3 2 4" xfId="77"/>
    <cellStyle name="Normál 6 3 2 5" xfId="78"/>
    <cellStyle name="Normál 7" xfId="79"/>
    <cellStyle name="Normál 8" xfId="80"/>
    <cellStyle name="Normál 8 2" xfId="81"/>
    <cellStyle name="Normál 8 2 2" xfId="82"/>
    <cellStyle name="Normál 8 2 3" xfId="83"/>
    <cellStyle name="Normál 9" xfId="84"/>
    <cellStyle name="Normál 9 2" xfId="85"/>
    <cellStyle name="Normál 9 3" xfId="86"/>
    <cellStyle name="Normál_2007.évi konc. összefoglaló bevétel" xfId="87"/>
    <cellStyle name="Normál_2007.évi konc. összefoglaló bevétel 2" xfId="88"/>
    <cellStyle name="Normál_2008.évi költségvetési javaslat" xfId="89"/>
    <cellStyle name="Normál_2011koltsegvetes (2) 2" xfId="90"/>
    <cellStyle name="Normál_Beruházási tábla 2007" xfId="91"/>
    <cellStyle name="Normál_EU-s tábla kv-hez_EU projektek tábla" xfId="92"/>
    <cellStyle name="Normál_fejlesztesi hitel" xfId="93"/>
    <cellStyle name="Normál_Hitel tábla 2012 terv" xfId="94"/>
    <cellStyle name="Normál_Hitel tábla 2012 terv (2)" xfId="95"/>
    <cellStyle name="Normál_hitelállomány07_12" xfId="96"/>
    <cellStyle name="Normál_hiteltörl költségvetés 2014" xfId="97"/>
    <cellStyle name="Normál_Intézményi bevétel-kiadás" xfId="98"/>
    <cellStyle name="Normál_Intézményi bevétel-kiadás 2" xfId="99"/>
    <cellStyle name="Normál_irodai végleges intézményekkel" xfId="100"/>
    <cellStyle name="Normál_Városfejlesztési Iroda - 2008. kv. tervezés" xfId="101"/>
    <cellStyle name="Normál_Városfejlesztési Iroda - 2008. kv. tervezés_2014.évi eredeti előirányzat 2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Százalék 2" xfId="110"/>
    <cellStyle name="Százalék 3" xfId="111"/>
    <cellStyle name="Százalék 3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ltsegvetes\koltsegvetes2021\KIK&#214;ZL&#336;K\TOP_MVP_EKF_feladat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Projekt"/>
      <sheetName val="10.MVP és hazai"/>
      <sheetName val="11.EKF"/>
      <sheetName val="EKF318Mrészlet"/>
      <sheetName val="EKF318Mrészlet (2)"/>
    </sheetNames>
    <sheetDataSet>
      <sheetData sheetId="2">
        <row r="49">
          <cell r="I49">
            <v>2726</v>
          </cell>
          <cell r="J49">
            <v>386</v>
          </cell>
          <cell r="K49">
            <v>222733</v>
          </cell>
          <cell r="L49">
            <v>78400</v>
          </cell>
          <cell r="M49">
            <v>4493363</v>
          </cell>
          <cell r="N49">
            <v>2500</v>
          </cell>
          <cell r="O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view="pageBreakPreview" zoomScaleSheetLayoutView="100" zoomScalePageLayoutView="0" workbookViewId="0" topLeftCell="A52">
      <selection activeCell="J39" sqref="J39"/>
    </sheetView>
  </sheetViews>
  <sheetFormatPr defaultColWidth="9.00390625" defaultRowHeight="12.75"/>
  <cols>
    <col min="1" max="1" width="3.75390625" style="132" customWidth="1"/>
    <col min="2" max="5" width="5.75390625" style="265" customWidth="1"/>
    <col min="6" max="6" width="59.75390625" style="147" customWidth="1"/>
    <col min="7" max="9" width="13.75390625" style="71" customWidth="1"/>
    <col min="10" max="10" width="15.75390625" style="290" customWidth="1"/>
    <col min="11" max="16384" width="9.125" style="147" customWidth="1"/>
  </cols>
  <sheetData>
    <row r="1" spans="2:10" ht="16.5">
      <c r="B1" s="1591" t="s">
        <v>639</v>
      </c>
      <c r="C1" s="1591"/>
      <c r="D1" s="1591"/>
      <c r="E1" s="1591"/>
      <c r="F1" s="1591"/>
      <c r="G1" s="124"/>
      <c r="H1" s="124"/>
      <c r="I1" s="124"/>
      <c r="J1" s="289"/>
    </row>
    <row r="2" spans="1:10" s="23" customFormat="1" ht="24.75" customHeight="1">
      <c r="A2" s="132"/>
      <c r="B2" s="1592" t="s">
        <v>162</v>
      </c>
      <c r="C2" s="1592"/>
      <c r="D2" s="1592"/>
      <c r="E2" s="1592"/>
      <c r="F2" s="1592"/>
      <c r="G2" s="1592"/>
      <c r="H2" s="1592"/>
      <c r="I2" s="1592"/>
      <c r="J2" s="1592"/>
    </row>
    <row r="3" spans="1:10" s="23" customFormat="1" ht="24.75" customHeight="1">
      <c r="A3" s="132"/>
      <c r="B3" s="1593" t="s">
        <v>659</v>
      </c>
      <c r="C3" s="1593"/>
      <c r="D3" s="1593"/>
      <c r="E3" s="1593"/>
      <c r="F3" s="1593"/>
      <c r="G3" s="1593"/>
      <c r="H3" s="1593"/>
      <c r="I3" s="1593"/>
      <c r="J3" s="1593"/>
    </row>
    <row r="4" spans="1:10" s="790" customFormat="1" ht="15">
      <c r="A4" s="132"/>
      <c r="B4" s="789"/>
      <c r="C4" s="789"/>
      <c r="D4" s="789"/>
      <c r="E4" s="789"/>
      <c r="F4" s="789"/>
      <c r="G4" s="461"/>
      <c r="H4" s="461"/>
      <c r="I4" s="274"/>
      <c r="J4" s="277" t="s">
        <v>0</v>
      </c>
    </row>
    <row r="5" spans="1:10" s="793" customFormat="1" ht="15" thickBot="1">
      <c r="A5" s="132"/>
      <c r="B5" s="791" t="s">
        <v>1</v>
      </c>
      <c r="C5" s="791" t="s">
        <v>3</v>
      </c>
      <c r="D5" s="791" t="s">
        <v>2</v>
      </c>
      <c r="E5" s="791" t="s">
        <v>4</v>
      </c>
      <c r="F5" s="791" t="s">
        <v>5</v>
      </c>
      <c r="G5" s="792" t="s">
        <v>15</v>
      </c>
      <c r="H5" s="792" t="s">
        <v>16</v>
      </c>
      <c r="I5" s="792" t="s">
        <v>17</v>
      </c>
      <c r="J5" s="792" t="s">
        <v>34</v>
      </c>
    </row>
    <row r="6" spans="1:21" s="72" customFormat="1" ht="79.5" customHeight="1" thickBot="1">
      <c r="A6" s="927"/>
      <c r="B6" s="401" t="s">
        <v>18</v>
      </c>
      <c r="C6" s="402" t="s">
        <v>19</v>
      </c>
      <c r="D6" s="400" t="s">
        <v>503</v>
      </c>
      <c r="E6" s="400" t="s">
        <v>504</v>
      </c>
      <c r="F6" s="403" t="s">
        <v>6</v>
      </c>
      <c r="G6" s="404" t="s">
        <v>660</v>
      </c>
      <c r="H6" s="297" t="s">
        <v>661</v>
      </c>
      <c r="I6" s="405" t="s">
        <v>662</v>
      </c>
      <c r="J6" s="291" t="s">
        <v>663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36" customFormat="1" ht="36" customHeight="1">
      <c r="A7" s="927">
        <v>1</v>
      </c>
      <c r="B7" s="386"/>
      <c r="C7" s="232"/>
      <c r="D7" s="233">
        <v>1</v>
      </c>
      <c r="E7" s="233"/>
      <c r="F7" s="234" t="s">
        <v>134</v>
      </c>
      <c r="G7" s="406">
        <f>SUM(G8,G15,G25,G31,G32,G14,G30)</f>
        <v>14853364</v>
      </c>
      <c r="H7" s="406">
        <f>SUM(H8,H15,H25,H31,H32,H14,H30)</f>
        <v>15115259</v>
      </c>
      <c r="I7" s="406">
        <f>SUM(I8,I15,I25,I31,I32,I14,I30)</f>
        <v>17850560</v>
      </c>
      <c r="J7" s="407">
        <f>SUM(J8,J15,J25,J31,J32,J14,J30)</f>
        <v>14802459</v>
      </c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s="236" customFormat="1" ht="36" customHeight="1">
      <c r="A8" s="927">
        <v>2</v>
      </c>
      <c r="B8" s="387">
        <v>18</v>
      </c>
      <c r="C8" s="237"/>
      <c r="D8" s="238"/>
      <c r="E8" s="238">
        <v>1</v>
      </c>
      <c r="F8" s="237" t="s">
        <v>163</v>
      </c>
      <c r="G8" s="65">
        <f>SUM(G9,G12:G12)</f>
        <v>4483032</v>
      </c>
      <c r="H8" s="65">
        <f>SUM(H9,H12:H12)</f>
        <v>4404208</v>
      </c>
      <c r="I8" s="65">
        <f>SUM(I9,I12:I12)</f>
        <v>6751008</v>
      </c>
      <c r="J8" s="292">
        <f>SUM(J9,J12:J12)</f>
        <v>6578954</v>
      </c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</row>
    <row r="9" spans="1:10" s="240" customFormat="1" ht="17.25">
      <c r="A9" s="927">
        <v>3</v>
      </c>
      <c r="B9" s="122"/>
      <c r="C9" s="183"/>
      <c r="D9" s="146"/>
      <c r="E9" s="146"/>
      <c r="F9" s="239" t="s">
        <v>164</v>
      </c>
      <c r="G9" s="10">
        <f>SUM(G10:G11)</f>
        <v>3563207</v>
      </c>
      <c r="H9" s="10">
        <f>SUM(H10:H11)</f>
        <v>3066627</v>
      </c>
      <c r="I9" s="10">
        <f>SUM(I10:I11)</f>
        <v>4955543</v>
      </c>
      <c r="J9" s="293">
        <f>SUM(J10:J11)</f>
        <v>4544959</v>
      </c>
    </row>
    <row r="10" spans="1:10" ht="33" customHeight="1">
      <c r="A10" s="929">
        <v>4</v>
      </c>
      <c r="B10" s="125"/>
      <c r="C10" s="241"/>
      <c r="D10" s="241"/>
      <c r="E10" s="241"/>
      <c r="F10" s="67" t="s">
        <v>283</v>
      </c>
      <c r="G10" s="2">
        <v>3533067</v>
      </c>
      <c r="H10" s="2">
        <v>3066627</v>
      </c>
      <c r="I10" s="2">
        <v>3388865</v>
      </c>
      <c r="J10" s="294">
        <v>4544959</v>
      </c>
    </row>
    <row r="11" spans="1:10" ht="33">
      <c r="A11" s="929">
        <v>5</v>
      </c>
      <c r="B11" s="122"/>
      <c r="C11" s="241"/>
      <c r="D11" s="241"/>
      <c r="E11" s="241"/>
      <c r="F11" s="67" t="s">
        <v>165</v>
      </c>
      <c r="G11" s="2">
        <v>30140</v>
      </c>
      <c r="H11" s="2"/>
      <c r="I11" s="2">
        <v>1566678</v>
      </c>
      <c r="J11" s="294"/>
    </row>
    <row r="12" spans="1:10" s="240" customFormat="1" ht="17.25">
      <c r="A12" s="927">
        <v>6</v>
      </c>
      <c r="B12" s="122"/>
      <c r="C12" s="242"/>
      <c r="D12" s="241"/>
      <c r="E12" s="241"/>
      <c r="F12" s="66" t="s">
        <v>166</v>
      </c>
      <c r="G12" s="10">
        <v>919825</v>
      </c>
      <c r="H12" s="10">
        <v>1337581</v>
      </c>
      <c r="I12" s="10">
        <v>1795465</v>
      </c>
      <c r="J12" s="293">
        <v>2033995</v>
      </c>
    </row>
    <row r="13" spans="1:10" ht="16.5" customHeight="1">
      <c r="A13" s="927">
        <v>7</v>
      </c>
      <c r="B13" s="122"/>
      <c r="C13" s="241"/>
      <c r="D13" s="241"/>
      <c r="E13" s="241"/>
      <c r="F13" s="67" t="s">
        <v>167</v>
      </c>
      <c r="G13" s="2">
        <v>160234</v>
      </c>
      <c r="H13" s="2">
        <v>180000</v>
      </c>
      <c r="I13" s="2">
        <v>222056</v>
      </c>
      <c r="J13" s="294">
        <v>201000</v>
      </c>
    </row>
    <row r="14" spans="1:11" ht="36" customHeight="1">
      <c r="A14" s="926">
        <v>8</v>
      </c>
      <c r="B14" s="388" t="s">
        <v>439</v>
      </c>
      <c r="C14" s="241"/>
      <c r="D14" s="241"/>
      <c r="E14" s="307">
        <v>2</v>
      </c>
      <c r="F14" s="237" t="s">
        <v>168</v>
      </c>
      <c r="G14" s="10">
        <v>317352</v>
      </c>
      <c r="H14" s="10">
        <f>192858+43191</f>
        <v>236049</v>
      </c>
      <c r="I14" s="10">
        <v>305470</v>
      </c>
      <c r="J14" s="293">
        <f>+'3.Inbe '!G69</f>
        <v>167470</v>
      </c>
      <c r="K14" s="408"/>
    </row>
    <row r="15" spans="1:10" s="149" customFormat="1" ht="36" customHeight="1">
      <c r="A15" s="927">
        <v>9</v>
      </c>
      <c r="B15" s="122">
        <v>18</v>
      </c>
      <c r="C15" s="183"/>
      <c r="D15" s="146"/>
      <c r="E15" s="146">
        <v>3</v>
      </c>
      <c r="F15" s="184" t="s">
        <v>169</v>
      </c>
      <c r="G15" s="68">
        <f>SUM(G16,G24:G24)</f>
        <v>8108452</v>
      </c>
      <c r="H15" s="68">
        <f>SUM(H16,H24:H24)</f>
        <v>7945120</v>
      </c>
      <c r="I15" s="68">
        <f>SUM(I16,I24:I24)</f>
        <v>8663683</v>
      </c>
      <c r="J15" s="293">
        <f>SUM(J16,J24:J24)</f>
        <v>6242200</v>
      </c>
    </row>
    <row r="16" spans="1:10" s="240" customFormat="1" ht="17.25">
      <c r="A16" s="927">
        <v>10</v>
      </c>
      <c r="B16" s="122"/>
      <c r="C16" s="183"/>
      <c r="D16" s="146"/>
      <c r="E16" s="146"/>
      <c r="F16" s="66" t="s">
        <v>170</v>
      </c>
      <c r="G16" s="10">
        <f>SUM(G17:G23)</f>
        <v>8100342</v>
      </c>
      <c r="H16" s="10">
        <f>SUM(H17:H23)</f>
        <v>7940000</v>
      </c>
      <c r="I16" s="10">
        <f>SUM(I17:I23)</f>
        <v>8656603</v>
      </c>
      <c r="J16" s="293">
        <f>SUM(J17:J23)</f>
        <v>6237000</v>
      </c>
    </row>
    <row r="17" spans="1:10" ht="16.5">
      <c r="A17" s="927">
        <v>11</v>
      </c>
      <c r="B17" s="122"/>
      <c r="C17" s="146"/>
      <c r="D17" s="146"/>
      <c r="E17" s="146"/>
      <c r="F17" s="67" t="s">
        <v>123</v>
      </c>
      <c r="G17" s="2">
        <v>1353716</v>
      </c>
      <c r="H17" s="2">
        <v>1320000</v>
      </c>
      <c r="I17" s="2">
        <v>1301931</v>
      </c>
      <c r="J17" s="294">
        <v>1300000</v>
      </c>
    </row>
    <row r="18" spans="1:10" ht="16.5">
      <c r="A18" s="927">
        <v>12</v>
      </c>
      <c r="B18" s="122"/>
      <c r="C18" s="146"/>
      <c r="D18" s="146"/>
      <c r="E18" s="146"/>
      <c r="F18" s="67" t="s">
        <v>126</v>
      </c>
      <c r="G18" s="2">
        <v>45085</v>
      </c>
      <c r="H18" s="2">
        <v>55000</v>
      </c>
      <c r="I18" s="2">
        <v>11646</v>
      </c>
      <c r="J18" s="294">
        <v>42000</v>
      </c>
    </row>
    <row r="19" spans="1:10" ht="16.5">
      <c r="A19" s="927">
        <v>13</v>
      </c>
      <c r="B19" s="122"/>
      <c r="C19" s="146"/>
      <c r="D19" s="146"/>
      <c r="E19" s="146"/>
      <c r="F19" s="67" t="s">
        <v>125</v>
      </c>
      <c r="G19" s="2">
        <v>142925</v>
      </c>
      <c r="H19" s="2">
        <v>143000</v>
      </c>
      <c r="I19" s="2">
        <v>141440</v>
      </c>
      <c r="J19" s="294">
        <v>143000</v>
      </c>
    </row>
    <row r="20" spans="1:10" ht="16.5">
      <c r="A20" s="927">
        <v>14</v>
      </c>
      <c r="B20" s="122"/>
      <c r="C20" s="146"/>
      <c r="D20" s="146"/>
      <c r="E20" s="146"/>
      <c r="F20" s="67" t="s">
        <v>124</v>
      </c>
      <c r="G20" s="2">
        <v>91186</v>
      </c>
      <c r="H20" s="2">
        <v>92000</v>
      </c>
      <c r="I20" s="2">
        <v>96484</v>
      </c>
      <c r="J20" s="294">
        <v>92000</v>
      </c>
    </row>
    <row r="21" spans="1:10" ht="16.5">
      <c r="A21" s="927">
        <v>15</v>
      </c>
      <c r="B21" s="122"/>
      <c r="C21" s="146"/>
      <c r="D21" s="146"/>
      <c r="E21" s="146"/>
      <c r="F21" s="67" t="s">
        <v>122</v>
      </c>
      <c r="G21" s="2">
        <v>6222920</v>
      </c>
      <c r="H21" s="2">
        <v>6100000</v>
      </c>
      <c r="I21" s="2">
        <v>7090255</v>
      </c>
      <c r="J21" s="294">
        <v>4650000</v>
      </c>
    </row>
    <row r="22" spans="1:10" ht="16.5">
      <c r="A22" s="927">
        <v>16</v>
      </c>
      <c r="B22" s="122"/>
      <c r="C22" s="146"/>
      <c r="D22" s="146"/>
      <c r="E22" s="146"/>
      <c r="F22" s="67" t="s">
        <v>127</v>
      </c>
      <c r="G22" s="2">
        <v>230151</v>
      </c>
      <c r="H22" s="2">
        <v>220000</v>
      </c>
      <c r="I22" s="2"/>
      <c r="J22" s="294"/>
    </row>
    <row r="23" spans="1:10" ht="16.5">
      <c r="A23" s="927">
        <v>17</v>
      </c>
      <c r="B23" s="122"/>
      <c r="C23" s="146"/>
      <c r="D23" s="146"/>
      <c r="E23" s="146"/>
      <c r="F23" s="67" t="s">
        <v>171</v>
      </c>
      <c r="G23" s="2">
        <v>14359</v>
      </c>
      <c r="H23" s="2">
        <v>10000</v>
      </c>
      <c r="I23" s="2">
        <v>14847</v>
      </c>
      <c r="J23" s="294">
        <v>10000</v>
      </c>
    </row>
    <row r="24" spans="1:10" s="240" customFormat="1" ht="34.5">
      <c r="A24" s="929">
        <v>18</v>
      </c>
      <c r="B24" s="122"/>
      <c r="C24" s="183"/>
      <c r="D24" s="146"/>
      <c r="E24" s="146"/>
      <c r="F24" s="66" t="s">
        <v>172</v>
      </c>
      <c r="G24" s="10">
        <v>8110</v>
      </c>
      <c r="H24" s="10">
        <v>5120</v>
      </c>
      <c r="I24" s="10">
        <v>7080</v>
      </c>
      <c r="J24" s="293">
        <v>5200</v>
      </c>
    </row>
    <row r="25" spans="1:10" s="149" customFormat="1" ht="36" customHeight="1">
      <c r="A25" s="927">
        <v>19</v>
      </c>
      <c r="B25" s="122">
        <v>18</v>
      </c>
      <c r="C25" s="183"/>
      <c r="D25" s="146"/>
      <c r="E25" s="146">
        <v>4</v>
      </c>
      <c r="F25" s="184" t="s">
        <v>137</v>
      </c>
      <c r="G25" s="68">
        <f>SUM(G26:G29)</f>
        <v>818620</v>
      </c>
      <c r="H25" s="68">
        <f>SUM(H26:H29)</f>
        <v>1501270</v>
      </c>
      <c r="I25" s="68">
        <f>SUM(I26:I29)</f>
        <v>1137270</v>
      </c>
      <c r="J25" s="293">
        <f>SUM(J26:J29)</f>
        <v>951251</v>
      </c>
    </row>
    <row r="26" spans="1:10" ht="16.5" customHeight="1">
      <c r="A26" s="927">
        <v>20</v>
      </c>
      <c r="B26" s="122"/>
      <c r="C26" s="146"/>
      <c r="D26" s="146"/>
      <c r="E26" s="146"/>
      <c r="F26" s="67" t="s">
        <v>279</v>
      </c>
      <c r="G26" s="2">
        <v>335480</v>
      </c>
      <c r="H26" s="2">
        <v>327392</v>
      </c>
      <c r="I26" s="2">
        <v>266201</v>
      </c>
      <c r="J26" s="294">
        <v>243317</v>
      </c>
    </row>
    <row r="27" spans="1:10" ht="16.5" customHeight="1">
      <c r="A27" s="927">
        <v>21</v>
      </c>
      <c r="B27" s="122"/>
      <c r="C27" s="146"/>
      <c r="D27" s="146"/>
      <c r="E27" s="146"/>
      <c r="F27" s="67" t="s">
        <v>280</v>
      </c>
      <c r="G27" s="2">
        <v>219462</v>
      </c>
      <c r="H27" s="2">
        <v>280770</v>
      </c>
      <c r="I27" s="2">
        <v>281284</v>
      </c>
      <c r="J27" s="294">
        <v>234064</v>
      </c>
    </row>
    <row r="28" spans="1:11" ht="16.5" customHeight="1">
      <c r="A28" s="927">
        <v>22</v>
      </c>
      <c r="B28" s="122"/>
      <c r="C28" s="146"/>
      <c r="D28" s="146"/>
      <c r="E28" s="146"/>
      <c r="F28" s="67" t="s">
        <v>281</v>
      </c>
      <c r="G28" s="2">
        <v>219034</v>
      </c>
      <c r="H28" s="2">
        <f>783817+20250+6804+78300</f>
        <v>889171</v>
      </c>
      <c r="I28" s="2">
        <v>585320</v>
      </c>
      <c r="J28" s="294">
        <v>469933</v>
      </c>
      <c r="K28" s="146"/>
    </row>
    <row r="29" spans="1:11" ht="16.5" customHeight="1">
      <c r="A29" s="927">
        <v>23</v>
      </c>
      <c r="B29" s="122"/>
      <c r="C29" s="146"/>
      <c r="D29" s="146"/>
      <c r="E29" s="146"/>
      <c r="F29" s="67" t="s">
        <v>282</v>
      </c>
      <c r="G29" s="2">
        <v>44644</v>
      </c>
      <c r="H29" s="2">
        <v>3937</v>
      </c>
      <c r="I29" s="2">
        <v>4465</v>
      </c>
      <c r="J29" s="294">
        <v>3937</v>
      </c>
      <c r="K29" s="146"/>
    </row>
    <row r="30" spans="1:11" s="149" customFormat="1" ht="36" customHeight="1">
      <c r="A30" s="927">
        <v>24</v>
      </c>
      <c r="B30" s="389" t="s">
        <v>439</v>
      </c>
      <c r="C30" s="183"/>
      <c r="D30" s="146"/>
      <c r="E30" s="146">
        <v>5</v>
      </c>
      <c r="F30" s="184" t="s">
        <v>173</v>
      </c>
      <c r="G30" s="68">
        <v>1111879</v>
      </c>
      <c r="H30" s="68">
        <v>1028612</v>
      </c>
      <c r="I30" s="68">
        <v>842419</v>
      </c>
      <c r="J30" s="293">
        <f>+'3.Inbe '!F69</f>
        <v>858015</v>
      </c>
      <c r="K30" s="409"/>
    </row>
    <row r="31" spans="1:10" s="149" customFormat="1" ht="36" customHeight="1">
      <c r="A31" s="927">
        <v>25</v>
      </c>
      <c r="B31" s="122">
        <v>18</v>
      </c>
      <c r="C31" s="183"/>
      <c r="D31" s="146"/>
      <c r="E31" s="146">
        <v>6</v>
      </c>
      <c r="F31" s="184" t="s">
        <v>174</v>
      </c>
      <c r="G31" s="68">
        <v>5713</v>
      </c>
      <c r="H31" s="68"/>
      <c r="I31" s="68">
        <v>133945</v>
      </c>
      <c r="J31" s="293"/>
    </row>
    <row r="32" spans="1:10" s="240" customFormat="1" ht="36" customHeight="1">
      <c r="A32" s="929">
        <v>26</v>
      </c>
      <c r="B32" s="390" t="s">
        <v>439</v>
      </c>
      <c r="C32" s="243"/>
      <c r="D32" s="243"/>
      <c r="E32" s="244">
        <v>7</v>
      </c>
      <c r="F32" s="245" t="s">
        <v>175</v>
      </c>
      <c r="G32" s="410">
        <v>8316</v>
      </c>
      <c r="H32" s="410"/>
      <c r="I32" s="410">
        <v>16765</v>
      </c>
      <c r="J32" s="411">
        <f>+'3.Inbe '!H69</f>
        <v>4569</v>
      </c>
    </row>
    <row r="33" spans="1:21" s="236" customFormat="1" ht="36" customHeight="1">
      <c r="A33" s="927">
        <v>27</v>
      </c>
      <c r="B33" s="391"/>
      <c r="C33" s="246"/>
      <c r="D33" s="247">
        <v>2</v>
      </c>
      <c r="E33" s="247"/>
      <c r="F33" s="248" t="s">
        <v>135</v>
      </c>
      <c r="G33" s="412">
        <f>SUM(G34,G37:G38,G40:G42)</f>
        <v>6259786</v>
      </c>
      <c r="H33" s="412">
        <f>SUM(H34,H37:H38,H40:H42)</f>
        <v>8363612</v>
      </c>
      <c r="I33" s="593">
        <f>SUM(I34,I37:I38,I40:I42)</f>
        <v>13444710</v>
      </c>
      <c r="J33" s="629">
        <f>SUM(J34,J37:J38,J40:J42)</f>
        <v>13046355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</row>
    <row r="34" spans="1:10" s="149" customFormat="1" ht="36" customHeight="1">
      <c r="A34" s="929">
        <v>28</v>
      </c>
      <c r="B34" s="122"/>
      <c r="C34" s="183"/>
      <c r="D34" s="146"/>
      <c r="E34" s="146">
        <v>8</v>
      </c>
      <c r="F34" s="184" t="s">
        <v>176</v>
      </c>
      <c r="G34" s="68">
        <f>SUM(G35,G36)</f>
        <v>5463793</v>
      </c>
      <c r="H34" s="68">
        <f>SUM(H35,H36)</f>
        <v>8162019</v>
      </c>
      <c r="I34" s="68">
        <f>SUM(I35,I36)</f>
        <v>13395114</v>
      </c>
      <c r="J34" s="293">
        <f>SUM(J35,J36)</f>
        <v>12122305</v>
      </c>
    </row>
    <row r="35" spans="1:10" ht="16.5">
      <c r="A35" s="927">
        <v>29</v>
      </c>
      <c r="B35" s="122">
        <v>18</v>
      </c>
      <c r="C35" s="146"/>
      <c r="D35" s="146"/>
      <c r="E35" s="146"/>
      <c r="F35" s="1212" t="s">
        <v>177</v>
      </c>
      <c r="G35" s="2">
        <v>6456</v>
      </c>
      <c r="H35" s="2"/>
      <c r="I35" s="2"/>
      <c r="J35" s="294"/>
    </row>
    <row r="36" spans="1:11" ht="16.5">
      <c r="A36" s="929">
        <v>30</v>
      </c>
      <c r="B36" s="122">
        <v>18</v>
      </c>
      <c r="C36" s="241"/>
      <c r="D36" s="241"/>
      <c r="E36" s="241"/>
      <c r="F36" s="1212" t="s">
        <v>178</v>
      </c>
      <c r="G36" s="2">
        <v>5457337</v>
      </c>
      <c r="H36" s="2">
        <v>8162019</v>
      </c>
      <c r="I36" s="2">
        <v>13395114</v>
      </c>
      <c r="J36" s="294">
        <v>12122305</v>
      </c>
      <c r="K36" s="408"/>
    </row>
    <row r="37" spans="1:10" s="240" customFormat="1" ht="36" customHeight="1">
      <c r="A37" s="927">
        <v>31</v>
      </c>
      <c r="B37" s="390" t="s">
        <v>439</v>
      </c>
      <c r="C37" s="242"/>
      <c r="D37" s="242"/>
      <c r="E37" s="241">
        <v>9</v>
      </c>
      <c r="F37" s="66" t="s">
        <v>179</v>
      </c>
      <c r="G37" s="10">
        <v>14183</v>
      </c>
      <c r="H37" s="10">
        <v>4050</v>
      </c>
      <c r="I37" s="10">
        <v>4385</v>
      </c>
      <c r="J37" s="293">
        <f>+'3.Inbe '!J69</f>
        <v>4050</v>
      </c>
    </row>
    <row r="38" spans="1:10" s="149" customFormat="1" ht="36" customHeight="1">
      <c r="A38" s="929">
        <v>32</v>
      </c>
      <c r="B38" s="122">
        <v>18</v>
      </c>
      <c r="C38" s="183"/>
      <c r="D38" s="146"/>
      <c r="E38" s="146">
        <v>10</v>
      </c>
      <c r="F38" s="184" t="s">
        <v>180</v>
      </c>
      <c r="G38" s="68">
        <f>SUM(G39:G39)</f>
        <v>153966</v>
      </c>
      <c r="H38" s="68">
        <f>SUM(H39:H39)</f>
        <v>190000</v>
      </c>
      <c r="I38" s="68">
        <f>SUM(I39:I39)</f>
        <v>37339</v>
      </c>
      <c r="J38" s="293">
        <f>SUM(J39:J39)</f>
        <v>920000</v>
      </c>
    </row>
    <row r="39" spans="1:10" ht="16.5">
      <c r="A39" s="927">
        <v>33</v>
      </c>
      <c r="B39" s="122"/>
      <c r="C39" s="146"/>
      <c r="D39" s="146"/>
      <c r="E39" s="146"/>
      <c r="F39" s="67" t="s">
        <v>181</v>
      </c>
      <c r="G39" s="2">
        <v>153966</v>
      </c>
      <c r="H39" s="2">
        <v>190000</v>
      </c>
      <c r="I39" s="2">
        <v>37339</v>
      </c>
      <c r="J39" s="294">
        <v>920000</v>
      </c>
    </row>
    <row r="40" spans="1:10" ht="36" customHeight="1">
      <c r="A40" s="929">
        <v>34</v>
      </c>
      <c r="B40" s="122"/>
      <c r="C40" s="146"/>
      <c r="D40" s="146"/>
      <c r="E40" s="146">
        <v>11</v>
      </c>
      <c r="F40" s="66" t="s">
        <v>182</v>
      </c>
      <c r="G40" s="10">
        <v>939</v>
      </c>
      <c r="H40" s="10">
        <v>7543</v>
      </c>
      <c r="I40" s="10">
        <v>5372</v>
      </c>
      <c r="J40" s="293">
        <f>+'3.Inbe '!I69</f>
        <v>0</v>
      </c>
    </row>
    <row r="41" spans="1:10" s="149" customFormat="1" ht="36" customHeight="1">
      <c r="A41" s="927">
        <v>35</v>
      </c>
      <c r="B41" s="122">
        <v>18</v>
      </c>
      <c r="C41" s="183"/>
      <c r="D41" s="146"/>
      <c r="E41" s="146">
        <v>12</v>
      </c>
      <c r="F41" s="184" t="s">
        <v>183</v>
      </c>
      <c r="G41" s="68">
        <v>626905</v>
      </c>
      <c r="H41" s="68"/>
      <c r="I41" s="68">
        <v>2500</v>
      </c>
      <c r="J41" s="293"/>
    </row>
    <row r="42" spans="1:10" s="240" customFormat="1" ht="36" customHeight="1">
      <c r="A42" s="929">
        <v>36</v>
      </c>
      <c r="B42" s="390" t="s">
        <v>439</v>
      </c>
      <c r="C42" s="242"/>
      <c r="D42" s="242"/>
      <c r="E42" s="241">
        <v>13</v>
      </c>
      <c r="F42" s="249" t="s">
        <v>184</v>
      </c>
      <c r="G42" s="10"/>
      <c r="H42" s="10"/>
      <c r="I42" s="10"/>
      <c r="J42" s="293">
        <f>+'3.Inbe '!K69</f>
        <v>0</v>
      </c>
    </row>
    <row r="43" spans="1:10" s="30" customFormat="1" ht="36" customHeight="1">
      <c r="A43" s="927">
        <v>37</v>
      </c>
      <c r="B43" s="27">
        <v>18</v>
      </c>
      <c r="C43" s="250"/>
      <c r="D43" s="251"/>
      <c r="E43" s="251"/>
      <c r="F43" s="594" t="s">
        <v>185</v>
      </c>
      <c r="G43" s="69">
        <f>SUM(G44:G44)</f>
        <v>183</v>
      </c>
      <c r="H43" s="69">
        <f>SUM(H44:H44)</f>
        <v>0</v>
      </c>
      <c r="I43" s="69">
        <f>SUM(I44:I44)</f>
        <v>0</v>
      </c>
      <c r="J43" s="295">
        <f>SUM(J44:J44)</f>
        <v>0</v>
      </c>
    </row>
    <row r="44" spans="1:10" ht="33">
      <c r="A44" s="929">
        <v>38</v>
      </c>
      <c r="B44" s="122"/>
      <c r="C44" s="252"/>
      <c r="D44" s="252"/>
      <c r="E44" s="252"/>
      <c r="F44" s="595" t="s">
        <v>250</v>
      </c>
      <c r="G44" s="70">
        <v>183</v>
      </c>
      <c r="H44" s="70"/>
      <c r="I44" s="70"/>
      <c r="J44" s="296"/>
    </row>
    <row r="45" spans="1:10" s="30" customFormat="1" ht="39.75" customHeight="1" thickBot="1">
      <c r="A45" s="927">
        <v>39</v>
      </c>
      <c r="B45" s="392"/>
      <c r="C45" s="253"/>
      <c r="D45" s="254"/>
      <c r="E45" s="254"/>
      <c r="F45" s="255" t="s">
        <v>186</v>
      </c>
      <c r="G45" s="413">
        <f>SUM(G7,G33,G43)</f>
        <v>21113333</v>
      </c>
      <c r="H45" s="413">
        <f>SUM(H7,H33,H43)</f>
        <v>23478871</v>
      </c>
      <c r="I45" s="413">
        <f>SUM(I7,I33,I43)</f>
        <v>31295270</v>
      </c>
      <c r="J45" s="414">
        <f>SUM(J7,J33,J43)</f>
        <v>27848814</v>
      </c>
    </row>
    <row r="46" spans="1:10" s="30" customFormat="1" ht="39.75" customHeight="1" thickBot="1" thickTop="1">
      <c r="A46" s="929">
        <v>40</v>
      </c>
      <c r="B46" s="393"/>
      <c r="C46" s="256"/>
      <c r="D46" s="257"/>
      <c r="E46" s="257"/>
      <c r="F46" s="258" t="s">
        <v>187</v>
      </c>
      <c r="G46" s="1064">
        <f>+G45-'2.Onki'!G33</f>
        <v>1177920</v>
      </c>
      <c r="H46" s="1064">
        <f>+H45-'2.Onki'!H33</f>
        <v>-14073403</v>
      </c>
      <c r="I46" s="1064">
        <f>+I45-'2.Onki'!I33</f>
        <v>-15033545</v>
      </c>
      <c r="J46" s="1065">
        <f>+J45-'2.Onki'!J33</f>
        <v>-18254179</v>
      </c>
    </row>
    <row r="47" spans="1:10" s="30" customFormat="1" ht="36" customHeight="1">
      <c r="A47" s="927">
        <v>41</v>
      </c>
      <c r="B47" s="27"/>
      <c r="C47" s="230"/>
      <c r="D47" s="231"/>
      <c r="E47" s="231">
        <v>14</v>
      </c>
      <c r="F47" s="195" t="s">
        <v>188</v>
      </c>
      <c r="G47" s="415">
        <f>SUM(G49,G58)+G48</f>
        <v>13278366</v>
      </c>
      <c r="H47" s="415">
        <f>SUM(H49,H58)+H48</f>
        <v>14293174</v>
      </c>
      <c r="I47" s="415">
        <f>SUM(I49,I58)+I48</f>
        <v>15581680</v>
      </c>
      <c r="J47" s="416">
        <f>SUM(J49,J58)+J48</f>
        <v>18573201</v>
      </c>
    </row>
    <row r="48" spans="1:10" s="30" customFormat="1" ht="36" customHeight="1">
      <c r="A48" s="929">
        <v>42</v>
      </c>
      <c r="B48" s="27"/>
      <c r="C48" s="230"/>
      <c r="D48" s="231">
        <v>1</v>
      </c>
      <c r="E48" s="231"/>
      <c r="F48" s="195" t="s">
        <v>254</v>
      </c>
      <c r="G48" s="415">
        <v>143801</v>
      </c>
      <c r="H48" s="415"/>
      <c r="I48" s="415">
        <v>328363</v>
      </c>
      <c r="J48" s="416"/>
    </row>
    <row r="49" spans="1:10" s="30" customFormat="1" ht="33" customHeight="1">
      <c r="A49" s="927">
        <v>43</v>
      </c>
      <c r="B49" s="394"/>
      <c r="C49" s="250"/>
      <c r="D49" s="251"/>
      <c r="E49" s="251"/>
      <c r="F49" s="259" t="s">
        <v>284</v>
      </c>
      <c r="G49" s="69">
        <f>SUM(G50,G54)</f>
        <v>13087077</v>
      </c>
      <c r="H49" s="69">
        <f>SUM(H50,H54)</f>
        <v>12883374</v>
      </c>
      <c r="I49" s="69">
        <f>SUM(I50,I54)</f>
        <v>13993317</v>
      </c>
      <c r="J49" s="295">
        <f>SUM(J50,J54)</f>
        <v>17396684</v>
      </c>
    </row>
    <row r="50" spans="1:10" s="149" customFormat="1" ht="24" customHeight="1">
      <c r="A50" s="929">
        <v>44</v>
      </c>
      <c r="B50" s="122"/>
      <c r="C50" s="183"/>
      <c r="D50" s="146">
        <v>1</v>
      </c>
      <c r="E50" s="146"/>
      <c r="F50" s="184" t="s">
        <v>252</v>
      </c>
      <c r="G50" s="68">
        <f>SUM(G51:G53)</f>
        <v>2879946</v>
      </c>
      <c r="H50" s="68">
        <f>SUM(H51:H53)</f>
        <v>1081085</v>
      </c>
      <c r="I50" s="68">
        <f>SUM(I51:I53)</f>
        <v>2162285</v>
      </c>
      <c r="J50" s="293">
        <f>SUM(J51:J53)</f>
        <v>1391913</v>
      </c>
    </row>
    <row r="51" spans="1:10" ht="16.5">
      <c r="A51" s="927">
        <v>45</v>
      </c>
      <c r="B51" s="388" t="s">
        <v>371</v>
      </c>
      <c r="C51" s="146"/>
      <c r="D51" s="146"/>
      <c r="E51" s="146"/>
      <c r="F51" s="67" t="s">
        <v>189</v>
      </c>
      <c r="G51" s="2">
        <v>573305</v>
      </c>
      <c r="H51" s="2">
        <f>29539+9983-8221</f>
        <v>31301</v>
      </c>
      <c r="I51" s="2">
        <v>661871</v>
      </c>
      <c r="J51" s="294">
        <f>+'3.Inbe '!L65-106203</f>
        <v>226214</v>
      </c>
    </row>
    <row r="52" spans="1:10" ht="16.5">
      <c r="A52" s="929">
        <v>46</v>
      </c>
      <c r="B52" s="122">
        <v>17</v>
      </c>
      <c r="C52" s="146"/>
      <c r="D52" s="146"/>
      <c r="E52" s="146"/>
      <c r="F52" s="67" t="s">
        <v>190</v>
      </c>
      <c r="G52" s="2">
        <v>294771</v>
      </c>
      <c r="H52" s="2">
        <v>75474</v>
      </c>
      <c r="I52" s="2">
        <v>360345</v>
      </c>
      <c r="J52" s="294">
        <f>+'3.Inbe '!L67-95</f>
        <v>80955</v>
      </c>
    </row>
    <row r="53" spans="1:10" ht="16.5">
      <c r="A53" s="927">
        <v>47</v>
      </c>
      <c r="B53" s="122">
        <v>18</v>
      </c>
      <c r="C53" s="146"/>
      <c r="D53" s="146"/>
      <c r="E53" s="146"/>
      <c r="F53" s="67" t="s">
        <v>118</v>
      </c>
      <c r="G53" s="2">
        <v>2011870</v>
      </c>
      <c r="H53" s="2">
        <v>974310</v>
      </c>
      <c r="I53" s="2">
        <v>1140069</v>
      </c>
      <c r="J53" s="294">
        <v>1084744</v>
      </c>
    </row>
    <row r="54" spans="1:10" s="149" customFormat="1" ht="24" customHeight="1">
      <c r="A54" s="929">
        <v>48</v>
      </c>
      <c r="B54" s="122"/>
      <c r="C54" s="183"/>
      <c r="D54" s="146">
        <v>2</v>
      </c>
      <c r="E54" s="146"/>
      <c r="F54" s="184" t="s">
        <v>251</v>
      </c>
      <c r="G54" s="68">
        <f>SUM(G55:G57)</f>
        <v>10207131</v>
      </c>
      <c r="H54" s="68">
        <f>SUM(H55:H57)</f>
        <v>11802289</v>
      </c>
      <c r="I54" s="68">
        <f>SUM(I55:I57)</f>
        <v>11831032</v>
      </c>
      <c r="J54" s="293">
        <f>SUM(J55:J57)</f>
        <v>16004771</v>
      </c>
    </row>
    <row r="55" spans="1:10" s="240" customFormat="1" ht="17.25">
      <c r="A55" s="927">
        <v>49</v>
      </c>
      <c r="B55" s="389" t="s">
        <v>371</v>
      </c>
      <c r="C55" s="146"/>
      <c r="D55" s="146"/>
      <c r="E55" s="146"/>
      <c r="F55" s="260" t="s">
        <v>189</v>
      </c>
      <c r="G55" s="2">
        <v>127144</v>
      </c>
      <c r="H55" s="2">
        <f>2400+2000+8221</f>
        <v>12621</v>
      </c>
      <c r="I55" s="2">
        <v>27970</v>
      </c>
      <c r="J55" s="294">
        <v>106203</v>
      </c>
    </row>
    <row r="56" spans="1:10" s="240" customFormat="1" ht="17.25">
      <c r="A56" s="929">
        <v>50</v>
      </c>
      <c r="B56" s="389" t="s">
        <v>301</v>
      </c>
      <c r="C56" s="146"/>
      <c r="D56" s="146"/>
      <c r="E56" s="146"/>
      <c r="F56" s="67" t="s">
        <v>190</v>
      </c>
      <c r="G56" s="2">
        <v>24251</v>
      </c>
      <c r="H56" s="2">
        <f>16985</f>
        <v>16985</v>
      </c>
      <c r="I56" s="2">
        <v>24177</v>
      </c>
      <c r="J56" s="294">
        <v>95</v>
      </c>
    </row>
    <row r="57" spans="1:10" s="240" customFormat="1" ht="17.25">
      <c r="A57" s="927">
        <v>51</v>
      </c>
      <c r="B57" s="122">
        <v>18</v>
      </c>
      <c r="C57" s="146"/>
      <c r="D57" s="146"/>
      <c r="E57" s="146"/>
      <c r="F57" s="260" t="s">
        <v>361</v>
      </c>
      <c r="G57" s="2">
        <v>10055736</v>
      </c>
      <c r="H57" s="2">
        <v>11772683</v>
      </c>
      <c r="I57" s="2">
        <v>11778885</v>
      </c>
      <c r="J57" s="294">
        <v>15898473</v>
      </c>
    </row>
    <row r="58" spans="1:10" s="30" customFormat="1" ht="30" customHeight="1">
      <c r="A58" s="929">
        <v>52</v>
      </c>
      <c r="B58" s="394"/>
      <c r="C58" s="250"/>
      <c r="D58" s="251"/>
      <c r="E58" s="251"/>
      <c r="F58" s="259" t="s">
        <v>285</v>
      </c>
      <c r="G58" s="69">
        <f>SUM(G59:G61)</f>
        <v>47488</v>
      </c>
      <c r="H58" s="69">
        <f>SUM(H59:H61)</f>
        <v>1409800</v>
      </c>
      <c r="I58" s="69">
        <f>SUM(I59:I61)</f>
        <v>1260000</v>
      </c>
      <c r="J58" s="295">
        <f>SUM(J59:J61)</f>
        <v>1176517</v>
      </c>
    </row>
    <row r="59" spans="1:10" s="149" customFormat="1" ht="24" customHeight="1">
      <c r="A59" s="927">
        <v>53</v>
      </c>
      <c r="B59" s="122">
        <v>18</v>
      </c>
      <c r="C59" s="183"/>
      <c r="D59" s="146">
        <v>2</v>
      </c>
      <c r="E59" s="146"/>
      <c r="F59" s="184" t="s">
        <v>191</v>
      </c>
      <c r="G59" s="68"/>
      <c r="H59" s="68"/>
      <c r="I59" s="68"/>
      <c r="J59" s="293"/>
    </row>
    <row r="60" spans="1:10" ht="16.5">
      <c r="A60" s="929">
        <v>54</v>
      </c>
      <c r="B60" s="122"/>
      <c r="C60" s="146"/>
      <c r="D60" s="146"/>
      <c r="E60" s="146"/>
      <c r="F60" s="67" t="s">
        <v>191</v>
      </c>
      <c r="G60" s="2"/>
      <c r="H60" s="2">
        <v>780800</v>
      </c>
      <c r="I60" s="2">
        <v>631000</v>
      </c>
      <c r="J60" s="294">
        <f>601891-40000</f>
        <v>561891</v>
      </c>
    </row>
    <row r="61" spans="1:10" ht="16.5">
      <c r="A61" s="927">
        <v>55</v>
      </c>
      <c r="B61" s="122"/>
      <c r="C61" s="146"/>
      <c r="D61" s="146"/>
      <c r="E61" s="146"/>
      <c r="F61" s="261" t="s">
        <v>192</v>
      </c>
      <c r="G61" s="70">
        <v>47488</v>
      </c>
      <c r="H61" s="70">
        <v>629000</v>
      </c>
      <c r="I61" s="70">
        <v>629000</v>
      </c>
      <c r="J61" s="294">
        <v>614626</v>
      </c>
    </row>
    <row r="62" spans="1:10" s="30" customFormat="1" ht="36" customHeight="1" thickBot="1">
      <c r="A62" s="929">
        <v>56</v>
      </c>
      <c r="B62" s="395"/>
      <c r="C62" s="262"/>
      <c r="D62" s="263"/>
      <c r="E62" s="263"/>
      <c r="F62" s="264" t="s">
        <v>193</v>
      </c>
      <c r="G62" s="417">
        <f>SUM(G45,G47)</f>
        <v>34391699</v>
      </c>
      <c r="H62" s="417">
        <f>SUM(H45,H47)</f>
        <v>37772045</v>
      </c>
      <c r="I62" s="417">
        <f>SUM(I45,I47)</f>
        <v>46876950</v>
      </c>
      <c r="J62" s="418">
        <f>SUM(J45,J47)</f>
        <v>46422015</v>
      </c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 -</oddFooter>
  </headerFooter>
  <rowBreaks count="1" manualBreakCount="1">
    <brk id="4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Q53"/>
  <sheetViews>
    <sheetView view="pageBreakPreview" zoomScaleSheetLayoutView="100" zoomScalePageLayoutView="0" workbookViewId="0" topLeftCell="A1">
      <pane ySplit="8" topLeftCell="A36" activePane="bottomLeft" state="frozen"/>
      <selection pane="topLeft" activeCell="B1" sqref="B1:F1"/>
      <selection pane="bottomLeft" activeCell="D38" sqref="D38"/>
    </sheetView>
  </sheetViews>
  <sheetFormatPr defaultColWidth="9.00390625" defaultRowHeight="12.75"/>
  <cols>
    <col min="1" max="1" width="3.75390625" style="727" customWidth="1"/>
    <col min="2" max="2" width="5.75390625" style="715" customWidth="1"/>
    <col min="3" max="3" width="5.75390625" style="716" customWidth="1"/>
    <col min="4" max="4" width="59.75390625" style="717" customWidth="1"/>
    <col min="5" max="7" width="10.75390625" style="713" customWidth="1"/>
    <col min="8" max="8" width="6.75390625" style="718" customWidth="1"/>
    <col min="9" max="11" width="14.875" style="713" customWidth="1"/>
    <col min="12" max="12" width="15.75390625" style="713" customWidth="1"/>
    <col min="13" max="13" width="13.75390625" style="725" customWidth="1"/>
    <col min="14" max="16384" width="9.125" style="714" customWidth="1"/>
  </cols>
  <sheetData>
    <row r="1" spans="1:251" s="433" customFormat="1" ht="18" customHeight="1">
      <c r="A1" s="726"/>
      <c r="B1" s="1742" t="s">
        <v>648</v>
      </c>
      <c r="C1" s="1742"/>
      <c r="D1" s="1742"/>
      <c r="E1" s="642"/>
      <c r="F1" s="642"/>
      <c r="G1" s="642"/>
      <c r="H1" s="641"/>
      <c r="I1" s="1746"/>
      <c r="J1" s="1746"/>
      <c r="K1" s="1746"/>
      <c r="L1" s="1746"/>
      <c r="M1" s="1746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  <c r="BL1" s="643"/>
      <c r="BM1" s="643"/>
      <c r="BN1" s="643"/>
      <c r="BO1" s="643"/>
      <c r="BP1" s="643"/>
      <c r="BQ1" s="643"/>
      <c r="BR1" s="643"/>
      <c r="BS1" s="643"/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3"/>
      <c r="CE1" s="643"/>
      <c r="CF1" s="643"/>
      <c r="CG1" s="643"/>
      <c r="CH1" s="643"/>
      <c r="CI1" s="643"/>
      <c r="CJ1" s="643"/>
      <c r="CK1" s="643"/>
      <c r="CL1" s="643"/>
      <c r="CM1" s="643"/>
      <c r="CN1" s="643"/>
      <c r="CO1" s="643"/>
      <c r="CP1" s="643"/>
      <c r="CQ1" s="643"/>
      <c r="CR1" s="643"/>
      <c r="CS1" s="643"/>
      <c r="CT1" s="643"/>
      <c r="CU1" s="643"/>
      <c r="CV1" s="643"/>
      <c r="CW1" s="643"/>
      <c r="CX1" s="643"/>
      <c r="CY1" s="643"/>
      <c r="CZ1" s="643"/>
      <c r="DA1" s="643"/>
      <c r="DB1" s="643"/>
      <c r="DC1" s="643"/>
      <c r="DD1" s="643"/>
      <c r="DE1" s="643"/>
      <c r="DF1" s="643"/>
      <c r="DG1" s="643"/>
      <c r="DH1" s="643"/>
      <c r="DI1" s="643"/>
      <c r="DJ1" s="643"/>
      <c r="DK1" s="643"/>
      <c r="DL1" s="643"/>
      <c r="DM1" s="643"/>
      <c r="DN1" s="643"/>
      <c r="DO1" s="643"/>
      <c r="DP1" s="643"/>
      <c r="DQ1" s="643"/>
      <c r="DR1" s="643"/>
      <c r="DS1" s="643"/>
      <c r="DT1" s="643"/>
      <c r="DU1" s="643"/>
      <c r="DV1" s="643"/>
      <c r="DW1" s="643"/>
      <c r="DX1" s="643"/>
      <c r="DY1" s="643"/>
      <c r="DZ1" s="643"/>
      <c r="EA1" s="643"/>
      <c r="EB1" s="643"/>
      <c r="EC1" s="643"/>
      <c r="ED1" s="643"/>
      <c r="EE1" s="643"/>
      <c r="EF1" s="643"/>
      <c r="EG1" s="643"/>
      <c r="EH1" s="643"/>
      <c r="EI1" s="643"/>
      <c r="EJ1" s="643"/>
      <c r="EK1" s="643"/>
      <c r="EL1" s="643"/>
      <c r="EM1" s="643"/>
      <c r="EN1" s="643"/>
      <c r="EO1" s="643"/>
      <c r="EP1" s="643"/>
      <c r="EQ1" s="643"/>
      <c r="ER1" s="643"/>
      <c r="ES1" s="643"/>
      <c r="ET1" s="643"/>
      <c r="EU1" s="643"/>
      <c r="EV1" s="643"/>
      <c r="EW1" s="643"/>
      <c r="EX1" s="643"/>
      <c r="EY1" s="643"/>
      <c r="EZ1" s="643"/>
      <c r="FA1" s="643"/>
      <c r="FB1" s="643"/>
      <c r="FC1" s="643"/>
      <c r="FD1" s="643"/>
      <c r="FE1" s="643"/>
      <c r="FF1" s="643"/>
      <c r="FG1" s="643"/>
      <c r="FH1" s="643"/>
      <c r="FI1" s="643"/>
      <c r="FJ1" s="643"/>
      <c r="FK1" s="643"/>
      <c r="FL1" s="643"/>
      <c r="FM1" s="643"/>
      <c r="FN1" s="643"/>
      <c r="FO1" s="643"/>
      <c r="FP1" s="643"/>
      <c r="FQ1" s="643"/>
      <c r="FR1" s="643"/>
      <c r="FS1" s="643"/>
      <c r="FT1" s="643"/>
      <c r="FU1" s="643"/>
      <c r="FV1" s="643"/>
      <c r="FW1" s="643"/>
      <c r="FX1" s="643"/>
      <c r="FY1" s="643"/>
      <c r="FZ1" s="643"/>
      <c r="GA1" s="643"/>
      <c r="GB1" s="643"/>
      <c r="GC1" s="643"/>
      <c r="GD1" s="643"/>
      <c r="GE1" s="643"/>
      <c r="GF1" s="643"/>
      <c r="GG1" s="643"/>
      <c r="GH1" s="643"/>
      <c r="GI1" s="643"/>
      <c r="GJ1" s="643"/>
      <c r="GK1" s="643"/>
      <c r="GL1" s="643"/>
      <c r="GM1" s="643"/>
      <c r="GN1" s="643"/>
      <c r="GO1" s="643"/>
      <c r="GP1" s="643"/>
      <c r="GQ1" s="643"/>
      <c r="GR1" s="643"/>
      <c r="GS1" s="643"/>
      <c r="GT1" s="643"/>
      <c r="GU1" s="643"/>
      <c r="GV1" s="643"/>
      <c r="GW1" s="643"/>
      <c r="GX1" s="643"/>
      <c r="GY1" s="643"/>
      <c r="GZ1" s="643"/>
      <c r="HA1" s="643"/>
      <c r="HB1" s="643"/>
      <c r="HC1" s="643"/>
      <c r="HD1" s="643"/>
      <c r="HE1" s="643"/>
      <c r="HF1" s="643"/>
      <c r="HG1" s="643"/>
      <c r="HH1" s="643"/>
      <c r="HI1" s="643"/>
      <c r="HJ1" s="643"/>
      <c r="HK1" s="643"/>
      <c r="HL1" s="643"/>
      <c r="HM1" s="643"/>
      <c r="HN1" s="643"/>
      <c r="HO1" s="643"/>
      <c r="HP1" s="643"/>
      <c r="HQ1" s="643"/>
      <c r="HR1" s="643"/>
      <c r="HS1" s="643"/>
      <c r="HT1" s="643"/>
      <c r="HU1" s="643"/>
      <c r="HV1" s="643"/>
      <c r="HW1" s="643"/>
      <c r="HX1" s="643"/>
      <c r="HY1" s="643"/>
      <c r="HZ1" s="643"/>
      <c r="IA1" s="643"/>
      <c r="IB1" s="643"/>
      <c r="IC1" s="643"/>
      <c r="ID1" s="643"/>
      <c r="IE1" s="643"/>
      <c r="IF1" s="643"/>
      <c r="IG1" s="643"/>
      <c r="IH1" s="643"/>
      <c r="II1" s="643"/>
      <c r="IJ1" s="643"/>
      <c r="IK1" s="643"/>
      <c r="IL1" s="643"/>
      <c r="IM1" s="643"/>
      <c r="IN1" s="643"/>
      <c r="IO1" s="643"/>
      <c r="IP1" s="643"/>
      <c r="IQ1" s="643"/>
    </row>
    <row r="2" spans="1:13" s="433" customFormat="1" ht="18" customHeight="1">
      <c r="A2" s="727"/>
      <c r="B2" s="1747" t="s">
        <v>14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</row>
    <row r="3" spans="1:13" s="433" customFormat="1" ht="18" customHeight="1">
      <c r="A3" s="727"/>
      <c r="B3" s="1748" t="s">
        <v>785</v>
      </c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</row>
    <row r="4" ht="18" customHeight="1">
      <c r="M4" s="719" t="s">
        <v>0</v>
      </c>
    </row>
    <row r="5" spans="1:251" s="134" customFormat="1" ht="18" customHeight="1" thickBot="1">
      <c r="A5" s="727"/>
      <c r="B5" s="749" t="s">
        <v>1</v>
      </c>
      <c r="C5" s="750" t="s">
        <v>3</v>
      </c>
      <c r="D5" s="750" t="s">
        <v>2</v>
      </c>
      <c r="E5" s="750" t="s">
        <v>4</v>
      </c>
      <c r="F5" s="750" t="s">
        <v>5</v>
      </c>
      <c r="G5" s="750" t="s">
        <v>15</v>
      </c>
      <c r="H5" s="750" t="s">
        <v>16</v>
      </c>
      <c r="I5" s="750" t="s">
        <v>17</v>
      </c>
      <c r="J5" s="750" t="s">
        <v>34</v>
      </c>
      <c r="K5" s="750" t="s">
        <v>30</v>
      </c>
      <c r="L5" s="750" t="s">
        <v>23</v>
      </c>
      <c r="M5" s="750" t="s">
        <v>35</v>
      </c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727"/>
      <c r="AQ5" s="727"/>
      <c r="AR5" s="727"/>
      <c r="AS5" s="727"/>
      <c r="AT5" s="727"/>
      <c r="AU5" s="727"/>
      <c r="AV5" s="727"/>
      <c r="AW5" s="727"/>
      <c r="AX5" s="727"/>
      <c r="AY5" s="727"/>
      <c r="AZ5" s="727"/>
      <c r="BA5" s="727"/>
      <c r="BB5" s="727"/>
      <c r="BC5" s="727"/>
      <c r="BD5" s="727"/>
      <c r="BE5" s="727"/>
      <c r="BF5" s="727"/>
      <c r="BG5" s="727"/>
      <c r="BH5" s="727"/>
      <c r="BI5" s="727"/>
      <c r="BJ5" s="727"/>
      <c r="BK5" s="727"/>
      <c r="BL5" s="727"/>
      <c r="BM5" s="727"/>
      <c r="BN5" s="727"/>
      <c r="BO5" s="727"/>
      <c r="BP5" s="727"/>
      <c r="BQ5" s="727"/>
      <c r="BR5" s="727"/>
      <c r="BS5" s="727"/>
      <c r="BT5" s="727"/>
      <c r="BU5" s="727"/>
      <c r="BV5" s="727"/>
      <c r="BW5" s="727"/>
      <c r="BX5" s="727"/>
      <c r="BY5" s="727"/>
      <c r="BZ5" s="727"/>
      <c r="CA5" s="727"/>
      <c r="CB5" s="727"/>
      <c r="CC5" s="727"/>
      <c r="CD5" s="727"/>
      <c r="CE5" s="727"/>
      <c r="CF5" s="727"/>
      <c r="CG5" s="727"/>
      <c r="CH5" s="727"/>
      <c r="CI5" s="727"/>
      <c r="CJ5" s="727"/>
      <c r="CK5" s="727"/>
      <c r="CL5" s="727"/>
      <c r="CM5" s="727"/>
      <c r="CN5" s="727"/>
      <c r="CO5" s="727"/>
      <c r="CP5" s="727"/>
      <c r="CQ5" s="727"/>
      <c r="CR5" s="727"/>
      <c r="CS5" s="727"/>
      <c r="CT5" s="727"/>
      <c r="CU5" s="727"/>
      <c r="CV5" s="727"/>
      <c r="CW5" s="727"/>
      <c r="CX5" s="727"/>
      <c r="CY5" s="727"/>
      <c r="CZ5" s="727"/>
      <c r="DA5" s="727"/>
      <c r="DB5" s="727"/>
      <c r="DC5" s="727"/>
      <c r="DD5" s="727"/>
      <c r="DE5" s="727"/>
      <c r="DF5" s="727"/>
      <c r="DG5" s="727"/>
      <c r="DH5" s="727"/>
      <c r="DI5" s="727"/>
      <c r="DJ5" s="727"/>
      <c r="DK5" s="727"/>
      <c r="DL5" s="727"/>
      <c r="DM5" s="727"/>
      <c r="DN5" s="727"/>
      <c r="DO5" s="727"/>
      <c r="DP5" s="727"/>
      <c r="DQ5" s="727"/>
      <c r="DR5" s="727"/>
      <c r="DS5" s="727"/>
      <c r="DT5" s="727"/>
      <c r="DU5" s="727"/>
      <c r="DV5" s="727"/>
      <c r="DW5" s="727"/>
      <c r="DX5" s="727"/>
      <c r="DY5" s="727"/>
      <c r="DZ5" s="727"/>
      <c r="EA5" s="727"/>
      <c r="EB5" s="727"/>
      <c r="EC5" s="727"/>
      <c r="ED5" s="727"/>
      <c r="EE5" s="727"/>
      <c r="EF5" s="727"/>
      <c r="EG5" s="727"/>
      <c r="EH5" s="727"/>
      <c r="EI5" s="727"/>
      <c r="EJ5" s="727"/>
      <c r="EK5" s="727"/>
      <c r="EL5" s="727"/>
      <c r="EM5" s="727"/>
      <c r="EN5" s="727"/>
      <c r="EO5" s="727"/>
      <c r="EP5" s="727"/>
      <c r="EQ5" s="727"/>
      <c r="ER5" s="727"/>
      <c r="ES5" s="727"/>
      <c r="ET5" s="727"/>
      <c r="EU5" s="727"/>
      <c r="EV5" s="727"/>
      <c r="EW5" s="727"/>
      <c r="EX5" s="727"/>
      <c r="EY5" s="727"/>
      <c r="EZ5" s="727"/>
      <c r="FA5" s="727"/>
      <c r="FB5" s="727"/>
      <c r="FC5" s="727"/>
      <c r="FD5" s="727"/>
      <c r="FE5" s="727"/>
      <c r="FF5" s="727"/>
      <c r="FG5" s="727"/>
      <c r="FH5" s="727"/>
      <c r="FI5" s="727"/>
      <c r="FJ5" s="727"/>
      <c r="FK5" s="727"/>
      <c r="FL5" s="727"/>
      <c r="FM5" s="727"/>
      <c r="FN5" s="727"/>
      <c r="FO5" s="727"/>
      <c r="FP5" s="727"/>
      <c r="FQ5" s="727"/>
      <c r="FR5" s="727"/>
      <c r="FS5" s="727"/>
      <c r="FT5" s="727"/>
      <c r="FU5" s="727"/>
      <c r="FV5" s="727"/>
      <c r="FW5" s="727"/>
      <c r="FX5" s="727"/>
      <c r="FY5" s="727"/>
      <c r="FZ5" s="727"/>
      <c r="GA5" s="727"/>
      <c r="GB5" s="727"/>
      <c r="GC5" s="727"/>
      <c r="GD5" s="727"/>
      <c r="GE5" s="727"/>
      <c r="GF5" s="727"/>
      <c r="GG5" s="727"/>
      <c r="GH5" s="727"/>
      <c r="GI5" s="727"/>
      <c r="GJ5" s="727"/>
      <c r="GK5" s="727"/>
      <c r="GL5" s="727"/>
      <c r="GM5" s="727"/>
      <c r="GN5" s="727"/>
      <c r="GO5" s="727"/>
      <c r="GP5" s="727"/>
      <c r="GQ5" s="727"/>
      <c r="GR5" s="727"/>
      <c r="GS5" s="727"/>
      <c r="GT5" s="727"/>
      <c r="GU5" s="727"/>
      <c r="GV5" s="727"/>
      <c r="GW5" s="727"/>
      <c r="GX5" s="727"/>
      <c r="GY5" s="727"/>
      <c r="GZ5" s="727"/>
      <c r="HA5" s="727"/>
      <c r="HB5" s="727"/>
      <c r="HC5" s="727"/>
      <c r="HD5" s="727"/>
      <c r="HE5" s="727"/>
      <c r="HF5" s="727"/>
      <c r="HG5" s="727"/>
      <c r="HH5" s="727"/>
      <c r="HI5" s="727"/>
      <c r="HJ5" s="727"/>
      <c r="HK5" s="727"/>
      <c r="HL5" s="727"/>
      <c r="HM5" s="727"/>
      <c r="HN5" s="727"/>
      <c r="HO5" s="727"/>
      <c r="HP5" s="727"/>
      <c r="HQ5" s="727"/>
      <c r="HR5" s="727"/>
      <c r="HS5" s="727"/>
      <c r="HT5" s="727"/>
      <c r="HU5" s="727"/>
      <c r="HV5" s="727"/>
      <c r="HW5" s="727"/>
      <c r="HX5" s="727"/>
      <c r="HY5" s="727"/>
      <c r="HZ5" s="727"/>
      <c r="IA5" s="727"/>
      <c r="IB5" s="727"/>
      <c r="IC5" s="727"/>
      <c r="ID5" s="727"/>
      <c r="IE5" s="727"/>
      <c r="IF5" s="727"/>
      <c r="IG5" s="727"/>
      <c r="IH5" s="727"/>
      <c r="II5" s="727"/>
      <c r="IJ5" s="727"/>
      <c r="IK5" s="727"/>
      <c r="IL5" s="727"/>
      <c r="IM5" s="727"/>
      <c r="IN5" s="727"/>
      <c r="IO5" s="727"/>
      <c r="IP5" s="727"/>
      <c r="IQ5" s="727"/>
    </row>
    <row r="6" spans="2:13" ht="30" customHeight="1">
      <c r="B6" s="1758" t="s">
        <v>18</v>
      </c>
      <c r="C6" s="1761" t="s">
        <v>19</v>
      </c>
      <c r="D6" s="1764" t="s">
        <v>6</v>
      </c>
      <c r="E6" s="1755" t="s">
        <v>21</v>
      </c>
      <c r="F6" s="1755" t="s">
        <v>801</v>
      </c>
      <c r="G6" s="1773" t="s">
        <v>802</v>
      </c>
      <c r="H6" s="1770" t="s">
        <v>286</v>
      </c>
      <c r="I6" s="1749" t="s">
        <v>663</v>
      </c>
      <c r="J6" s="1750"/>
      <c r="K6" s="1750"/>
      <c r="L6" s="1751"/>
      <c r="M6" s="1752" t="s">
        <v>746</v>
      </c>
    </row>
    <row r="7" spans="2:13" ht="45.75" customHeight="1">
      <c r="B7" s="1759"/>
      <c r="C7" s="1762"/>
      <c r="D7" s="1765"/>
      <c r="E7" s="1756"/>
      <c r="F7" s="1756"/>
      <c r="G7" s="1774"/>
      <c r="H7" s="1771"/>
      <c r="I7" s="718" t="s">
        <v>37</v>
      </c>
      <c r="J7" s="1767" t="s">
        <v>154</v>
      </c>
      <c r="K7" s="1767"/>
      <c r="L7" s="1768" t="s">
        <v>120</v>
      </c>
      <c r="M7" s="1753"/>
    </row>
    <row r="8" spans="2:13" ht="53.25" customHeight="1" thickBot="1">
      <c r="B8" s="1760"/>
      <c r="C8" s="1763"/>
      <c r="D8" s="1766"/>
      <c r="E8" s="1757"/>
      <c r="F8" s="1757"/>
      <c r="G8" s="1775"/>
      <c r="H8" s="1772"/>
      <c r="I8" s="976" t="s">
        <v>40</v>
      </c>
      <c r="J8" s="751" t="s">
        <v>220</v>
      </c>
      <c r="K8" s="751" t="s">
        <v>155</v>
      </c>
      <c r="L8" s="1769"/>
      <c r="M8" s="1754"/>
    </row>
    <row r="9" spans="1:13" ht="23.25" customHeight="1">
      <c r="A9" s="728">
        <v>1</v>
      </c>
      <c r="B9" s="975">
        <v>18</v>
      </c>
      <c r="C9" s="967" t="s">
        <v>31</v>
      </c>
      <c r="D9" s="739"/>
      <c r="E9" s="720"/>
      <c r="F9" s="740"/>
      <c r="G9" s="721"/>
      <c r="H9" s="1010"/>
      <c r="I9" s="977"/>
      <c r="J9" s="752"/>
      <c r="K9" s="752"/>
      <c r="L9" s="753"/>
      <c r="M9" s="741"/>
    </row>
    <row r="10" spans="1:13" ht="37.5" customHeight="1">
      <c r="A10" s="728">
        <v>2</v>
      </c>
      <c r="B10" s="742"/>
      <c r="C10" s="748">
        <v>1</v>
      </c>
      <c r="D10" s="1303" t="s">
        <v>546</v>
      </c>
      <c r="E10" s="744">
        <f>F10+G10+L10+M10</f>
        <v>20906</v>
      </c>
      <c r="F10" s="745">
        <v>5652</v>
      </c>
      <c r="G10" s="746">
        <v>4318</v>
      </c>
      <c r="H10" s="1011" t="s">
        <v>24</v>
      </c>
      <c r="I10" s="978"/>
      <c r="J10" s="754">
        <f>5936+5000</f>
        <v>10936</v>
      </c>
      <c r="K10" s="754"/>
      <c r="L10" s="755">
        <f aca="true" t="shared" si="0" ref="L10:L46">SUM(I10:K10)</f>
        <v>10936</v>
      </c>
      <c r="M10" s="747"/>
    </row>
    <row r="11" spans="1:13" ht="37.5" customHeight="1">
      <c r="A11" s="728">
        <v>3</v>
      </c>
      <c r="B11" s="742"/>
      <c r="C11" s="748">
        <v>2</v>
      </c>
      <c r="D11" s="1303" t="s">
        <v>547</v>
      </c>
      <c r="E11" s="744">
        <f aca="true" t="shared" si="1" ref="E11:E49">F11+G11+L11+M11</f>
        <v>74372</v>
      </c>
      <c r="F11" s="744">
        <f>18391+26497</f>
        <v>44888</v>
      </c>
      <c r="G11" s="746">
        <v>29084</v>
      </c>
      <c r="H11" s="1011" t="s">
        <v>24</v>
      </c>
      <c r="I11" s="979"/>
      <c r="J11" s="744">
        <v>400</v>
      </c>
      <c r="K11" s="744"/>
      <c r="L11" s="756">
        <f t="shared" si="0"/>
        <v>400</v>
      </c>
      <c r="M11" s="747"/>
    </row>
    <row r="12" spans="1:13" ht="22.5" customHeight="1">
      <c r="A12" s="728">
        <v>4</v>
      </c>
      <c r="B12" s="742"/>
      <c r="C12" s="743">
        <v>3</v>
      </c>
      <c r="D12" s="1303" t="s">
        <v>548</v>
      </c>
      <c r="E12" s="744">
        <f t="shared" si="1"/>
        <v>9675</v>
      </c>
      <c r="F12" s="744"/>
      <c r="G12" s="746">
        <v>2388</v>
      </c>
      <c r="H12" s="1011" t="s">
        <v>24</v>
      </c>
      <c r="I12" s="979"/>
      <c r="J12" s="744">
        <v>7287</v>
      </c>
      <c r="K12" s="744"/>
      <c r="L12" s="756">
        <f t="shared" si="0"/>
        <v>7287</v>
      </c>
      <c r="M12" s="747"/>
    </row>
    <row r="13" spans="1:13" ht="37.5" customHeight="1">
      <c r="A13" s="728">
        <v>5</v>
      </c>
      <c r="B13" s="742"/>
      <c r="C13" s="748">
        <v>4</v>
      </c>
      <c r="D13" s="1303" t="s">
        <v>549</v>
      </c>
      <c r="E13" s="744">
        <f t="shared" si="1"/>
        <v>4260</v>
      </c>
      <c r="F13" s="745">
        <v>305</v>
      </c>
      <c r="G13" s="746">
        <v>3557</v>
      </c>
      <c r="H13" s="1011" t="s">
        <v>24</v>
      </c>
      <c r="I13" s="978"/>
      <c r="J13" s="754">
        <v>398</v>
      </c>
      <c r="K13" s="754"/>
      <c r="L13" s="755">
        <f t="shared" si="0"/>
        <v>398</v>
      </c>
      <c r="M13" s="747"/>
    </row>
    <row r="14" spans="1:13" ht="22.5" customHeight="1">
      <c r="A14" s="728">
        <v>6</v>
      </c>
      <c r="B14" s="742"/>
      <c r="C14" s="748">
        <v>5</v>
      </c>
      <c r="D14" s="441" t="s">
        <v>558</v>
      </c>
      <c r="E14" s="744">
        <f t="shared" si="1"/>
        <v>3720</v>
      </c>
      <c r="F14" s="745">
        <f>3210+110+100+100</f>
        <v>3520</v>
      </c>
      <c r="G14" s="746">
        <v>100</v>
      </c>
      <c r="H14" s="1011" t="s">
        <v>24</v>
      </c>
      <c r="I14" s="978"/>
      <c r="J14" s="754">
        <v>100</v>
      </c>
      <c r="K14" s="754"/>
      <c r="L14" s="755">
        <f t="shared" si="0"/>
        <v>100</v>
      </c>
      <c r="M14" s="747"/>
    </row>
    <row r="15" spans="1:13" ht="22.5" customHeight="1">
      <c r="A15" s="728">
        <v>7</v>
      </c>
      <c r="B15" s="742"/>
      <c r="C15" s="748">
        <v>6</v>
      </c>
      <c r="D15" s="441" t="s">
        <v>559</v>
      </c>
      <c r="E15" s="744">
        <f t="shared" si="1"/>
        <v>188680</v>
      </c>
      <c r="F15" s="745">
        <f>84090+35890+22900</f>
        <v>142880</v>
      </c>
      <c r="G15" s="746">
        <v>22900</v>
      </c>
      <c r="H15" s="1011" t="s">
        <v>24</v>
      </c>
      <c r="I15" s="978"/>
      <c r="J15" s="754">
        <v>22900</v>
      </c>
      <c r="K15" s="754"/>
      <c r="L15" s="755">
        <f t="shared" si="0"/>
        <v>22900</v>
      </c>
      <c r="M15" s="747"/>
    </row>
    <row r="16" spans="1:13" ht="22.5" customHeight="1">
      <c r="A16" s="728">
        <v>8</v>
      </c>
      <c r="B16" s="742"/>
      <c r="C16" s="748">
        <v>7</v>
      </c>
      <c r="D16" s="441" t="s">
        <v>560</v>
      </c>
      <c r="E16" s="744">
        <f t="shared" si="1"/>
        <v>100090</v>
      </c>
      <c r="F16" s="745">
        <f>100050+10+10</f>
        <v>100070</v>
      </c>
      <c r="G16" s="746">
        <v>10</v>
      </c>
      <c r="H16" s="1011" t="s">
        <v>24</v>
      </c>
      <c r="I16" s="978"/>
      <c r="J16" s="754">
        <v>10</v>
      </c>
      <c r="K16" s="754"/>
      <c r="L16" s="755">
        <f t="shared" si="0"/>
        <v>10</v>
      </c>
      <c r="M16" s="747"/>
    </row>
    <row r="17" spans="1:13" ht="22.5" customHeight="1">
      <c r="A17" s="728">
        <v>9</v>
      </c>
      <c r="B17" s="742"/>
      <c r="C17" s="748">
        <v>8</v>
      </c>
      <c r="D17" s="441" t="s">
        <v>561</v>
      </c>
      <c r="E17" s="744">
        <f t="shared" si="1"/>
        <v>859910</v>
      </c>
      <c r="F17" s="745">
        <f>379950+119990+119990</f>
        <v>619930</v>
      </c>
      <c r="G17" s="746">
        <v>119990</v>
      </c>
      <c r="H17" s="1011" t="s">
        <v>24</v>
      </c>
      <c r="I17" s="978"/>
      <c r="J17" s="754">
        <v>119990</v>
      </c>
      <c r="K17" s="754"/>
      <c r="L17" s="755">
        <f t="shared" si="0"/>
        <v>119990</v>
      </c>
      <c r="M17" s="747"/>
    </row>
    <row r="18" spans="1:13" ht="22.5" customHeight="1">
      <c r="A18" s="728">
        <v>10</v>
      </c>
      <c r="B18" s="742"/>
      <c r="C18" s="748">
        <v>9</v>
      </c>
      <c r="D18" s="441" t="s">
        <v>589</v>
      </c>
      <c r="E18" s="744">
        <f t="shared" si="1"/>
        <v>302000</v>
      </c>
      <c r="F18" s="745"/>
      <c r="G18" s="746"/>
      <c r="H18" s="1011" t="s">
        <v>24</v>
      </c>
      <c r="I18" s="978"/>
      <c r="J18" s="754">
        <f>50326+201326+50348</f>
        <v>302000</v>
      </c>
      <c r="K18" s="754"/>
      <c r="L18" s="755">
        <f t="shared" si="0"/>
        <v>302000</v>
      </c>
      <c r="M18" s="747"/>
    </row>
    <row r="19" spans="1:13" ht="22.5" customHeight="1">
      <c r="A19" s="728">
        <v>11</v>
      </c>
      <c r="B19" s="742"/>
      <c r="C19" s="748">
        <v>10</v>
      </c>
      <c r="D19" s="441" t="s">
        <v>562</v>
      </c>
      <c r="E19" s="744">
        <f t="shared" si="1"/>
        <v>2600</v>
      </c>
      <c r="F19" s="745">
        <f>100+1500</f>
        <v>1600</v>
      </c>
      <c r="G19" s="746"/>
      <c r="H19" s="1011" t="s">
        <v>24</v>
      </c>
      <c r="I19" s="978"/>
      <c r="J19" s="754">
        <v>1000</v>
      </c>
      <c r="K19" s="754"/>
      <c r="L19" s="755">
        <f t="shared" si="0"/>
        <v>1000</v>
      </c>
      <c r="M19" s="747"/>
    </row>
    <row r="20" spans="1:13" ht="22.5" customHeight="1">
      <c r="A20" s="728">
        <v>12</v>
      </c>
      <c r="B20" s="742"/>
      <c r="C20" s="748">
        <v>11</v>
      </c>
      <c r="D20" s="441" t="s">
        <v>563</v>
      </c>
      <c r="E20" s="744">
        <f t="shared" si="1"/>
        <v>377100</v>
      </c>
      <c r="F20" s="745">
        <f>82900+195200</f>
        <v>278100</v>
      </c>
      <c r="G20" s="746"/>
      <c r="H20" s="1011" t="s">
        <v>24</v>
      </c>
      <c r="I20" s="978"/>
      <c r="J20" s="754">
        <v>99000</v>
      </c>
      <c r="K20" s="754"/>
      <c r="L20" s="755">
        <f t="shared" si="0"/>
        <v>99000</v>
      </c>
      <c r="M20" s="747"/>
    </row>
    <row r="21" spans="1:13" ht="37.5" customHeight="1">
      <c r="A21" s="728">
        <v>13</v>
      </c>
      <c r="B21" s="742"/>
      <c r="C21" s="748">
        <v>12</v>
      </c>
      <c r="D21" s="1303" t="s">
        <v>551</v>
      </c>
      <c r="E21" s="744">
        <f t="shared" si="1"/>
        <v>19000</v>
      </c>
      <c r="F21" s="745"/>
      <c r="G21" s="746"/>
      <c r="H21" s="1011" t="s">
        <v>24</v>
      </c>
      <c r="I21" s="978"/>
      <c r="J21" s="754">
        <v>19000</v>
      </c>
      <c r="K21" s="754"/>
      <c r="L21" s="755">
        <f t="shared" si="0"/>
        <v>19000</v>
      </c>
      <c r="M21" s="747"/>
    </row>
    <row r="22" spans="1:13" ht="22.5" customHeight="1">
      <c r="A22" s="728">
        <v>14</v>
      </c>
      <c r="B22" s="742"/>
      <c r="C22" s="743">
        <v>13</v>
      </c>
      <c r="D22" s="1303" t="s">
        <v>452</v>
      </c>
      <c r="E22" s="744">
        <f t="shared" si="1"/>
        <v>43561</v>
      </c>
      <c r="F22" s="745">
        <f>8127+11064</f>
        <v>19191</v>
      </c>
      <c r="G22" s="746">
        <f>4659+2801</f>
        <v>7460</v>
      </c>
      <c r="H22" s="1011" t="s">
        <v>24</v>
      </c>
      <c r="I22" s="978">
        <v>1154</v>
      </c>
      <c r="J22" s="754">
        <f>16910-1154</f>
        <v>15756</v>
      </c>
      <c r="K22" s="754"/>
      <c r="L22" s="755">
        <f t="shared" si="0"/>
        <v>16910</v>
      </c>
      <c r="M22" s="747"/>
    </row>
    <row r="23" spans="1:13" ht="37.5" customHeight="1">
      <c r="A23" s="728">
        <v>15</v>
      </c>
      <c r="B23" s="742"/>
      <c r="C23" s="748">
        <v>14</v>
      </c>
      <c r="D23" s="1303" t="s">
        <v>564</v>
      </c>
      <c r="E23" s="744">
        <f t="shared" si="1"/>
        <v>21891</v>
      </c>
      <c r="F23" s="745"/>
      <c r="G23" s="746"/>
      <c r="H23" s="1011" t="s">
        <v>23</v>
      </c>
      <c r="I23" s="978"/>
      <c r="J23" s="754">
        <v>21891</v>
      </c>
      <c r="K23" s="754"/>
      <c r="L23" s="755">
        <f t="shared" si="0"/>
        <v>21891</v>
      </c>
      <c r="M23" s="747"/>
    </row>
    <row r="24" spans="1:13" ht="37.5" customHeight="1">
      <c r="A24" s="728">
        <v>16</v>
      </c>
      <c r="B24" s="742"/>
      <c r="C24" s="748">
        <v>15</v>
      </c>
      <c r="D24" s="1303" t="s">
        <v>565</v>
      </c>
      <c r="E24" s="744">
        <f t="shared" si="1"/>
        <v>22860</v>
      </c>
      <c r="F24" s="745"/>
      <c r="G24" s="746"/>
      <c r="H24" s="1011" t="s">
        <v>23</v>
      </c>
      <c r="I24" s="978"/>
      <c r="J24" s="754">
        <v>22860</v>
      </c>
      <c r="K24" s="754"/>
      <c r="L24" s="755">
        <f t="shared" si="0"/>
        <v>22860</v>
      </c>
      <c r="M24" s="747"/>
    </row>
    <row r="25" spans="1:13" ht="51.75" customHeight="1">
      <c r="A25" s="728">
        <v>17</v>
      </c>
      <c r="B25" s="742"/>
      <c r="C25" s="748">
        <v>16</v>
      </c>
      <c r="D25" s="1303" t="s">
        <v>566</v>
      </c>
      <c r="E25" s="744">
        <f t="shared" si="1"/>
        <v>20955</v>
      </c>
      <c r="F25" s="745"/>
      <c r="G25" s="746"/>
      <c r="H25" s="1011" t="s">
        <v>23</v>
      </c>
      <c r="I25" s="978"/>
      <c r="J25" s="754">
        <v>20955</v>
      </c>
      <c r="K25" s="754"/>
      <c r="L25" s="755">
        <f t="shared" si="0"/>
        <v>20955</v>
      </c>
      <c r="M25" s="747"/>
    </row>
    <row r="26" spans="1:13" ht="59.25" customHeight="1">
      <c r="A26" s="728">
        <v>18</v>
      </c>
      <c r="B26" s="742"/>
      <c r="C26" s="748">
        <v>17</v>
      </c>
      <c r="D26" s="1303" t="s">
        <v>786</v>
      </c>
      <c r="E26" s="744">
        <f t="shared" si="1"/>
        <v>3175</v>
      </c>
      <c r="F26" s="745"/>
      <c r="G26" s="746"/>
      <c r="H26" s="1011" t="s">
        <v>23</v>
      </c>
      <c r="I26" s="978"/>
      <c r="J26" s="754">
        <v>3175</v>
      </c>
      <c r="K26" s="754"/>
      <c r="L26" s="755">
        <f t="shared" si="0"/>
        <v>3175</v>
      </c>
      <c r="M26" s="747"/>
    </row>
    <row r="27" spans="1:13" ht="51.75" customHeight="1">
      <c r="A27" s="728">
        <v>19</v>
      </c>
      <c r="B27" s="742"/>
      <c r="C27" s="748">
        <v>18</v>
      </c>
      <c r="D27" s="1303" t="s">
        <v>787</v>
      </c>
      <c r="E27" s="744">
        <f t="shared" si="1"/>
        <v>6350</v>
      </c>
      <c r="F27" s="745"/>
      <c r="G27" s="746"/>
      <c r="H27" s="1011" t="s">
        <v>23</v>
      </c>
      <c r="I27" s="978"/>
      <c r="J27" s="754">
        <v>6350</v>
      </c>
      <c r="K27" s="754"/>
      <c r="L27" s="755">
        <f t="shared" si="0"/>
        <v>6350</v>
      </c>
      <c r="M27" s="747"/>
    </row>
    <row r="28" spans="1:13" ht="45" customHeight="1">
      <c r="A28" s="728">
        <v>20</v>
      </c>
      <c r="B28" s="742"/>
      <c r="C28" s="748">
        <v>19</v>
      </c>
      <c r="D28" s="1303" t="s">
        <v>788</v>
      </c>
      <c r="E28" s="744">
        <f t="shared" si="1"/>
        <v>104775</v>
      </c>
      <c r="F28" s="745"/>
      <c r="G28" s="746"/>
      <c r="H28" s="1011" t="s">
        <v>23</v>
      </c>
      <c r="I28" s="978"/>
      <c r="J28" s="754">
        <v>72082</v>
      </c>
      <c r="K28" s="754"/>
      <c r="L28" s="755">
        <f t="shared" si="0"/>
        <v>72082</v>
      </c>
      <c r="M28" s="747">
        <v>32693</v>
      </c>
    </row>
    <row r="29" spans="1:13" ht="51.75" customHeight="1">
      <c r="A29" s="728">
        <v>21</v>
      </c>
      <c r="B29" s="742"/>
      <c r="C29" s="748">
        <v>20</v>
      </c>
      <c r="D29" s="1303" t="s">
        <v>789</v>
      </c>
      <c r="E29" s="744">
        <f t="shared" si="1"/>
        <v>12700</v>
      </c>
      <c r="F29" s="745"/>
      <c r="G29" s="746"/>
      <c r="H29" s="1011" t="s">
        <v>23</v>
      </c>
      <c r="I29" s="978"/>
      <c r="J29" s="754">
        <v>12700</v>
      </c>
      <c r="K29" s="754"/>
      <c r="L29" s="755">
        <f t="shared" si="0"/>
        <v>12700</v>
      </c>
      <c r="M29" s="747"/>
    </row>
    <row r="30" spans="1:13" ht="22.5" customHeight="1">
      <c r="A30" s="728">
        <v>22</v>
      </c>
      <c r="B30" s="742"/>
      <c r="C30" s="748">
        <v>21</v>
      </c>
      <c r="D30" s="1303" t="s">
        <v>790</v>
      </c>
      <c r="E30" s="744">
        <f t="shared" si="1"/>
        <v>50000</v>
      </c>
      <c r="F30" s="745"/>
      <c r="G30" s="746"/>
      <c r="H30" s="1011"/>
      <c r="I30" s="978"/>
      <c r="J30" s="754">
        <v>50000</v>
      </c>
      <c r="K30" s="754"/>
      <c r="L30" s="755">
        <f t="shared" si="0"/>
        <v>50000</v>
      </c>
      <c r="M30" s="747"/>
    </row>
    <row r="31" spans="1:23" ht="22.5" customHeight="1">
      <c r="A31" s="728">
        <v>23</v>
      </c>
      <c r="B31" s="742"/>
      <c r="C31" s="748">
        <v>22</v>
      </c>
      <c r="D31" s="1304" t="s">
        <v>416</v>
      </c>
      <c r="E31" s="744">
        <f t="shared" si="1"/>
        <v>2687</v>
      </c>
      <c r="F31" s="745">
        <v>858</v>
      </c>
      <c r="G31" s="746"/>
      <c r="H31" s="1011" t="s">
        <v>24</v>
      </c>
      <c r="I31" s="978">
        <v>29</v>
      </c>
      <c r="J31" s="754">
        <f>1829-29</f>
        <v>1800</v>
      </c>
      <c r="K31" s="754"/>
      <c r="L31" s="755">
        <f t="shared" si="0"/>
        <v>1829</v>
      </c>
      <c r="M31" s="747"/>
      <c r="N31" s="729"/>
      <c r="O31" s="729"/>
      <c r="P31" s="729"/>
      <c r="Q31" s="729"/>
      <c r="R31" s="729"/>
      <c r="S31" s="729"/>
      <c r="T31" s="729"/>
      <c r="U31" s="729"/>
      <c r="V31" s="729"/>
      <c r="W31" s="729"/>
    </row>
    <row r="32" spans="1:13" ht="22.5" customHeight="1">
      <c r="A32" s="728">
        <v>24</v>
      </c>
      <c r="B32" s="742"/>
      <c r="C32" s="748">
        <v>23</v>
      </c>
      <c r="D32" s="1304" t="s">
        <v>552</v>
      </c>
      <c r="E32" s="744">
        <f t="shared" si="1"/>
        <v>4886</v>
      </c>
      <c r="F32" s="745">
        <v>1753</v>
      </c>
      <c r="G32" s="746">
        <v>950</v>
      </c>
      <c r="H32" s="1011" t="s">
        <v>24</v>
      </c>
      <c r="I32" s="978"/>
      <c r="J32" s="754">
        <v>2183</v>
      </c>
      <c r="K32" s="754"/>
      <c r="L32" s="755">
        <f t="shared" si="0"/>
        <v>2183</v>
      </c>
      <c r="M32" s="747"/>
    </row>
    <row r="33" spans="1:13" ht="22.5" customHeight="1">
      <c r="A33" s="728">
        <v>25</v>
      </c>
      <c r="B33" s="742"/>
      <c r="C33" s="748">
        <v>24</v>
      </c>
      <c r="D33" s="1303" t="s">
        <v>556</v>
      </c>
      <c r="E33" s="744">
        <f t="shared" si="1"/>
        <v>500</v>
      </c>
      <c r="F33" s="745"/>
      <c r="G33" s="746"/>
      <c r="H33" s="1011" t="s">
        <v>24</v>
      </c>
      <c r="I33" s="978"/>
      <c r="J33" s="754">
        <v>500</v>
      </c>
      <c r="K33" s="754"/>
      <c r="L33" s="755">
        <f t="shared" si="0"/>
        <v>500</v>
      </c>
      <c r="M33" s="747"/>
    </row>
    <row r="34" spans="1:13" ht="33.75" customHeight="1">
      <c r="A34" s="728">
        <v>26</v>
      </c>
      <c r="B34" s="742"/>
      <c r="C34" s="748">
        <v>25</v>
      </c>
      <c r="D34" s="1303" t="s">
        <v>791</v>
      </c>
      <c r="E34" s="744">
        <f t="shared" si="1"/>
        <v>230</v>
      </c>
      <c r="F34" s="745"/>
      <c r="G34" s="746"/>
      <c r="H34" s="1011" t="s">
        <v>24</v>
      </c>
      <c r="I34" s="978"/>
      <c r="J34" s="754">
        <v>230</v>
      </c>
      <c r="K34" s="754"/>
      <c r="L34" s="755">
        <f t="shared" si="0"/>
        <v>230</v>
      </c>
      <c r="M34" s="747"/>
    </row>
    <row r="35" spans="1:251" ht="22.5" customHeight="1">
      <c r="A35" s="728">
        <v>27</v>
      </c>
      <c r="B35" s="742"/>
      <c r="C35" s="748">
        <v>26</v>
      </c>
      <c r="D35" s="1303" t="s">
        <v>553</v>
      </c>
      <c r="E35" s="744">
        <f t="shared" si="1"/>
        <v>7151</v>
      </c>
      <c r="F35" s="745"/>
      <c r="G35" s="746">
        <v>69</v>
      </c>
      <c r="H35" s="1011" t="s">
        <v>24</v>
      </c>
      <c r="I35" s="979"/>
      <c r="J35" s="744">
        <v>7082</v>
      </c>
      <c r="K35" s="744"/>
      <c r="L35" s="756">
        <f t="shared" si="0"/>
        <v>7082</v>
      </c>
      <c r="M35" s="747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729"/>
      <c r="AG35" s="729"/>
      <c r="AH35" s="729"/>
      <c r="AI35" s="729"/>
      <c r="AJ35" s="729"/>
      <c r="AK35" s="729"/>
      <c r="AL35" s="729"/>
      <c r="AM35" s="729"/>
      <c r="AN35" s="729"/>
      <c r="AO35" s="729"/>
      <c r="AP35" s="729"/>
      <c r="AQ35" s="729"/>
      <c r="AR35" s="729"/>
      <c r="AS35" s="729"/>
      <c r="AT35" s="729"/>
      <c r="AU35" s="729"/>
      <c r="AV35" s="729"/>
      <c r="AW35" s="729"/>
      <c r="AX35" s="729"/>
      <c r="AY35" s="729"/>
      <c r="AZ35" s="729"/>
      <c r="BA35" s="729"/>
      <c r="BB35" s="729"/>
      <c r="BC35" s="729"/>
      <c r="BD35" s="729"/>
      <c r="BE35" s="729"/>
      <c r="BF35" s="729"/>
      <c r="BG35" s="729"/>
      <c r="BH35" s="729"/>
      <c r="BI35" s="729"/>
      <c r="BJ35" s="729"/>
      <c r="BK35" s="729"/>
      <c r="BL35" s="729"/>
      <c r="BM35" s="729"/>
      <c r="BN35" s="729"/>
      <c r="BO35" s="729"/>
      <c r="BP35" s="729"/>
      <c r="BQ35" s="729"/>
      <c r="BR35" s="729"/>
      <c r="BS35" s="729"/>
      <c r="BT35" s="729"/>
      <c r="BU35" s="729"/>
      <c r="BV35" s="729"/>
      <c r="BW35" s="729"/>
      <c r="BX35" s="729"/>
      <c r="BY35" s="729"/>
      <c r="BZ35" s="729"/>
      <c r="CA35" s="729"/>
      <c r="CB35" s="729"/>
      <c r="CC35" s="729"/>
      <c r="CD35" s="729"/>
      <c r="CE35" s="729"/>
      <c r="CF35" s="729"/>
      <c r="CG35" s="729"/>
      <c r="CH35" s="729"/>
      <c r="CI35" s="729"/>
      <c r="CJ35" s="729"/>
      <c r="CK35" s="729"/>
      <c r="CL35" s="729"/>
      <c r="CM35" s="729"/>
      <c r="CN35" s="729"/>
      <c r="CO35" s="729"/>
      <c r="CP35" s="729"/>
      <c r="CQ35" s="729"/>
      <c r="CR35" s="729"/>
      <c r="CS35" s="729"/>
      <c r="CT35" s="729"/>
      <c r="CU35" s="729"/>
      <c r="CV35" s="729"/>
      <c r="CW35" s="729"/>
      <c r="CX35" s="729"/>
      <c r="CY35" s="729"/>
      <c r="CZ35" s="729"/>
      <c r="DA35" s="729"/>
      <c r="DB35" s="729"/>
      <c r="DC35" s="729"/>
      <c r="DD35" s="729"/>
      <c r="DE35" s="729"/>
      <c r="DF35" s="729"/>
      <c r="DG35" s="729"/>
      <c r="DH35" s="729"/>
      <c r="DI35" s="729"/>
      <c r="DJ35" s="729"/>
      <c r="DK35" s="729"/>
      <c r="DL35" s="729"/>
      <c r="DM35" s="729"/>
      <c r="DN35" s="729"/>
      <c r="DO35" s="729"/>
      <c r="DP35" s="729"/>
      <c r="DQ35" s="729"/>
      <c r="DR35" s="729"/>
      <c r="DS35" s="729"/>
      <c r="DT35" s="729"/>
      <c r="DU35" s="729"/>
      <c r="DV35" s="729"/>
      <c r="DW35" s="729"/>
      <c r="DX35" s="729"/>
      <c r="DY35" s="729"/>
      <c r="DZ35" s="729"/>
      <c r="EA35" s="729"/>
      <c r="EB35" s="729"/>
      <c r="EC35" s="729"/>
      <c r="ED35" s="729"/>
      <c r="EE35" s="729"/>
      <c r="EF35" s="729"/>
      <c r="EG35" s="729"/>
      <c r="EH35" s="729"/>
      <c r="EI35" s="729"/>
      <c r="EJ35" s="729"/>
      <c r="EK35" s="729"/>
      <c r="EL35" s="729"/>
      <c r="EM35" s="729"/>
      <c r="EN35" s="729"/>
      <c r="EO35" s="729"/>
      <c r="EP35" s="729"/>
      <c r="EQ35" s="729"/>
      <c r="ER35" s="729"/>
      <c r="ES35" s="729"/>
      <c r="ET35" s="729"/>
      <c r="EU35" s="729"/>
      <c r="EV35" s="729"/>
      <c r="EW35" s="729"/>
      <c r="EX35" s="729"/>
      <c r="EY35" s="729"/>
      <c r="EZ35" s="729"/>
      <c r="FA35" s="729"/>
      <c r="FB35" s="729"/>
      <c r="FC35" s="729"/>
      <c r="FD35" s="729"/>
      <c r="FE35" s="729"/>
      <c r="FF35" s="729"/>
      <c r="FG35" s="729"/>
      <c r="FH35" s="729"/>
      <c r="FI35" s="729"/>
      <c r="FJ35" s="729"/>
      <c r="FK35" s="729"/>
      <c r="FL35" s="729"/>
      <c r="FM35" s="729"/>
      <c r="FN35" s="729"/>
      <c r="FO35" s="729"/>
      <c r="FP35" s="729"/>
      <c r="FQ35" s="729"/>
      <c r="FR35" s="729"/>
      <c r="FS35" s="729"/>
      <c r="FT35" s="729"/>
      <c r="FU35" s="729"/>
      <c r="FV35" s="729"/>
      <c r="FW35" s="729"/>
      <c r="FX35" s="729"/>
      <c r="FY35" s="729"/>
      <c r="FZ35" s="729"/>
      <c r="GA35" s="729"/>
      <c r="GB35" s="729"/>
      <c r="GC35" s="729"/>
      <c r="GD35" s="729"/>
      <c r="GE35" s="729"/>
      <c r="GF35" s="729"/>
      <c r="GG35" s="729"/>
      <c r="GH35" s="729"/>
      <c r="GI35" s="729"/>
      <c r="GJ35" s="729"/>
      <c r="GK35" s="729"/>
      <c r="GL35" s="729"/>
      <c r="GM35" s="729"/>
      <c r="GN35" s="729"/>
      <c r="GO35" s="729"/>
      <c r="GP35" s="729"/>
      <c r="GQ35" s="729"/>
      <c r="GR35" s="729"/>
      <c r="GS35" s="729"/>
      <c r="GT35" s="729"/>
      <c r="GU35" s="729"/>
      <c r="GV35" s="729"/>
      <c r="GW35" s="729"/>
      <c r="GX35" s="729"/>
      <c r="GY35" s="729"/>
      <c r="GZ35" s="729"/>
      <c r="HA35" s="729"/>
      <c r="HB35" s="729"/>
      <c r="HC35" s="729"/>
      <c r="HD35" s="729"/>
      <c r="HE35" s="729"/>
      <c r="HF35" s="729"/>
      <c r="HG35" s="729"/>
      <c r="HH35" s="729"/>
      <c r="HI35" s="729"/>
      <c r="HJ35" s="729"/>
      <c r="HK35" s="729"/>
      <c r="HL35" s="729"/>
      <c r="HM35" s="729"/>
      <c r="HN35" s="729"/>
      <c r="HO35" s="729"/>
      <c r="HP35" s="729"/>
      <c r="HQ35" s="729"/>
      <c r="HR35" s="729"/>
      <c r="HS35" s="729"/>
      <c r="HT35" s="729"/>
      <c r="HU35" s="729"/>
      <c r="HV35" s="729"/>
      <c r="HW35" s="729"/>
      <c r="HX35" s="729"/>
      <c r="HY35" s="729"/>
      <c r="HZ35" s="729"/>
      <c r="IA35" s="729"/>
      <c r="IB35" s="729"/>
      <c r="IC35" s="729"/>
      <c r="ID35" s="729"/>
      <c r="IE35" s="729"/>
      <c r="IF35" s="729"/>
      <c r="IG35" s="729"/>
      <c r="IH35" s="729"/>
      <c r="II35" s="729"/>
      <c r="IJ35" s="729"/>
      <c r="IK35" s="729"/>
      <c r="IL35" s="729"/>
      <c r="IM35" s="729"/>
      <c r="IN35" s="729"/>
      <c r="IO35" s="729"/>
      <c r="IP35" s="729"/>
      <c r="IQ35" s="729"/>
    </row>
    <row r="36" spans="1:251" ht="37.5" customHeight="1">
      <c r="A36" s="728">
        <v>28</v>
      </c>
      <c r="B36" s="742"/>
      <c r="C36" s="748">
        <v>27</v>
      </c>
      <c r="D36" s="1303" t="s">
        <v>554</v>
      </c>
      <c r="E36" s="744">
        <f t="shared" si="1"/>
        <v>6096</v>
      </c>
      <c r="F36" s="745"/>
      <c r="G36" s="746"/>
      <c r="H36" s="1011" t="s">
        <v>24</v>
      </c>
      <c r="I36" s="979"/>
      <c r="J36" s="744">
        <v>6096</v>
      </c>
      <c r="K36" s="744"/>
      <c r="L36" s="756">
        <f t="shared" si="0"/>
        <v>6096</v>
      </c>
      <c r="M36" s="747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729"/>
      <c r="AY36" s="729"/>
      <c r="AZ36" s="729"/>
      <c r="BA36" s="729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9"/>
      <c r="BR36" s="729"/>
      <c r="BS36" s="729"/>
      <c r="BT36" s="729"/>
      <c r="BU36" s="729"/>
      <c r="BV36" s="729"/>
      <c r="BW36" s="729"/>
      <c r="BX36" s="729"/>
      <c r="BY36" s="729"/>
      <c r="BZ36" s="729"/>
      <c r="CA36" s="729"/>
      <c r="CB36" s="729"/>
      <c r="CC36" s="729"/>
      <c r="CD36" s="729"/>
      <c r="CE36" s="729"/>
      <c r="CF36" s="729"/>
      <c r="CG36" s="729"/>
      <c r="CH36" s="729"/>
      <c r="CI36" s="729"/>
      <c r="CJ36" s="729"/>
      <c r="CK36" s="729"/>
      <c r="CL36" s="729"/>
      <c r="CM36" s="729"/>
      <c r="CN36" s="729"/>
      <c r="CO36" s="729"/>
      <c r="CP36" s="729"/>
      <c r="CQ36" s="729"/>
      <c r="CR36" s="729"/>
      <c r="CS36" s="729"/>
      <c r="CT36" s="729"/>
      <c r="CU36" s="729"/>
      <c r="CV36" s="729"/>
      <c r="CW36" s="729"/>
      <c r="CX36" s="729"/>
      <c r="CY36" s="729"/>
      <c r="CZ36" s="729"/>
      <c r="DA36" s="729"/>
      <c r="DB36" s="729"/>
      <c r="DC36" s="729"/>
      <c r="DD36" s="729"/>
      <c r="DE36" s="729"/>
      <c r="DF36" s="729"/>
      <c r="DG36" s="729"/>
      <c r="DH36" s="729"/>
      <c r="DI36" s="729"/>
      <c r="DJ36" s="729"/>
      <c r="DK36" s="729"/>
      <c r="DL36" s="729"/>
      <c r="DM36" s="729"/>
      <c r="DN36" s="729"/>
      <c r="DO36" s="729"/>
      <c r="DP36" s="729"/>
      <c r="DQ36" s="729"/>
      <c r="DR36" s="729"/>
      <c r="DS36" s="729"/>
      <c r="DT36" s="729"/>
      <c r="DU36" s="729"/>
      <c r="DV36" s="729"/>
      <c r="DW36" s="729"/>
      <c r="DX36" s="729"/>
      <c r="DY36" s="729"/>
      <c r="DZ36" s="729"/>
      <c r="EA36" s="729"/>
      <c r="EB36" s="729"/>
      <c r="EC36" s="729"/>
      <c r="ED36" s="729"/>
      <c r="EE36" s="729"/>
      <c r="EF36" s="729"/>
      <c r="EG36" s="729"/>
      <c r="EH36" s="729"/>
      <c r="EI36" s="729"/>
      <c r="EJ36" s="729"/>
      <c r="EK36" s="729"/>
      <c r="EL36" s="729"/>
      <c r="EM36" s="729"/>
      <c r="EN36" s="729"/>
      <c r="EO36" s="729"/>
      <c r="EP36" s="729"/>
      <c r="EQ36" s="729"/>
      <c r="ER36" s="729"/>
      <c r="ES36" s="729"/>
      <c r="ET36" s="729"/>
      <c r="EU36" s="729"/>
      <c r="EV36" s="729"/>
      <c r="EW36" s="729"/>
      <c r="EX36" s="729"/>
      <c r="EY36" s="729"/>
      <c r="EZ36" s="729"/>
      <c r="FA36" s="729"/>
      <c r="FB36" s="729"/>
      <c r="FC36" s="729"/>
      <c r="FD36" s="729"/>
      <c r="FE36" s="729"/>
      <c r="FF36" s="729"/>
      <c r="FG36" s="729"/>
      <c r="FH36" s="729"/>
      <c r="FI36" s="729"/>
      <c r="FJ36" s="729"/>
      <c r="FK36" s="729"/>
      <c r="FL36" s="729"/>
      <c r="FM36" s="729"/>
      <c r="FN36" s="729"/>
      <c r="FO36" s="729"/>
      <c r="FP36" s="729"/>
      <c r="FQ36" s="729"/>
      <c r="FR36" s="729"/>
      <c r="FS36" s="729"/>
      <c r="FT36" s="729"/>
      <c r="FU36" s="729"/>
      <c r="FV36" s="729"/>
      <c r="FW36" s="729"/>
      <c r="FX36" s="729"/>
      <c r="FY36" s="729"/>
      <c r="FZ36" s="729"/>
      <c r="GA36" s="729"/>
      <c r="GB36" s="729"/>
      <c r="GC36" s="729"/>
      <c r="GD36" s="729"/>
      <c r="GE36" s="729"/>
      <c r="GF36" s="729"/>
      <c r="GG36" s="729"/>
      <c r="GH36" s="729"/>
      <c r="GI36" s="729"/>
      <c r="GJ36" s="729"/>
      <c r="GK36" s="729"/>
      <c r="GL36" s="729"/>
      <c r="GM36" s="729"/>
      <c r="GN36" s="729"/>
      <c r="GO36" s="729"/>
      <c r="GP36" s="729"/>
      <c r="GQ36" s="729"/>
      <c r="GR36" s="729"/>
      <c r="GS36" s="729"/>
      <c r="GT36" s="729"/>
      <c r="GU36" s="729"/>
      <c r="GV36" s="729"/>
      <c r="GW36" s="729"/>
      <c r="GX36" s="729"/>
      <c r="GY36" s="729"/>
      <c r="GZ36" s="729"/>
      <c r="HA36" s="729"/>
      <c r="HB36" s="729"/>
      <c r="HC36" s="729"/>
      <c r="HD36" s="729"/>
      <c r="HE36" s="729"/>
      <c r="HF36" s="729"/>
      <c r="HG36" s="729"/>
      <c r="HH36" s="729"/>
      <c r="HI36" s="729"/>
      <c r="HJ36" s="729"/>
      <c r="HK36" s="729"/>
      <c r="HL36" s="729"/>
      <c r="HM36" s="729"/>
      <c r="HN36" s="729"/>
      <c r="HO36" s="729"/>
      <c r="HP36" s="729"/>
      <c r="HQ36" s="729"/>
      <c r="HR36" s="729"/>
      <c r="HS36" s="729"/>
      <c r="HT36" s="729"/>
      <c r="HU36" s="729"/>
      <c r="HV36" s="729"/>
      <c r="HW36" s="729"/>
      <c r="HX36" s="729"/>
      <c r="HY36" s="729"/>
      <c r="HZ36" s="729"/>
      <c r="IA36" s="729"/>
      <c r="IB36" s="729"/>
      <c r="IC36" s="729"/>
      <c r="ID36" s="729"/>
      <c r="IE36" s="729"/>
      <c r="IF36" s="729"/>
      <c r="IG36" s="729"/>
      <c r="IH36" s="729"/>
      <c r="II36" s="729"/>
      <c r="IJ36" s="729"/>
      <c r="IK36" s="729"/>
      <c r="IL36" s="729"/>
      <c r="IM36" s="729"/>
      <c r="IN36" s="729"/>
      <c r="IO36" s="729"/>
      <c r="IP36" s="729"/>
      <c r="IQ36" s="729"/>
    </row>
    <row r="37" spans="1:251" ht="22.5" customHeight="1">
      <c r="A37" s="728">
        <v>29</v>
      </c>
      <c r="B37" s="742"/>
      <c r="C37" s="748">
        <v>28</v>
      </c>
      <c r="D37" s="1303" t="s">
        <v>792</v>
      </c>
      <c r="E37" s="744">
        <f t="shared" si="1"/>
        <v>40000</v>
      </c>
      <c r="F37" s="745"/>
      <c r="G37" s="746"/>
      <c r="H37" s="1011" t="s">
        <v>24</v>
      </c>
      <c r="I37" s="979"/>
      <c r="J37" s="744">
        <v>40000</v>
      </c>
      <c r="K37" s="744"/>
      <c r="L37" s="756">
        <f t="shared" si="0"/>
        <v>40000</v>
      </c>
      <c r="M37" s="747"/>
      <c r="N37" s="729"/>
      <c r="O37" s="729"/>
      <c r="P37" s="729"/>
      <c r="Q37" s="729"/>
      <c r="R37" s="729"/>
      <c r="S37" s="729"/>
      <c r="T37" s="729"/>
      <c r="U37" s="729"/>
      <c r="V37" s="729"/>
      <c r="W37" s="729"/>
      <c r="X37" s="729"/>
      <c r="Y37" s="729"/>
      <c r="Z37" s="729"/>
      <c r="AA37" s="729"/>
      <c r="AB37" s="729"/>
      <c r="AC37" s="729"/>
      <c r="AD37" s="729"/>
      <c r="AE37" s="729"/>
      <c r="AF37" s="729"/>
      <c r="AG37" s="729"/>
      <c r="AH37" s="729"/>
      <c r="AI37" s="729"/>
      <c r="AJ37" s="729"/>
      <c r="AK37" s="729"/>
      <c r="AL37" s="729"/>
      <c r="AM37" s="729"/>
      <c r="AN37" s="729"/>
      <c r="AO37" s="729"/>
      <c r="AP37" s="729"/>
      <c r="AQ37" s="729"/>
      <c r="AR37" s="729"/>
      <c r="AS37" s="729"/>
      <c r="AT37" s="729"/>
      <c r="AU37" s="729"/>
      <c r="AV37" s="729"/>
      <c r="AW37" s="729"/>
      <c r="AX37" s="729"/>
      <c r="AY37" s="729"/>
      <c r="AZ37" s="729"/>
      <c r="BA37" s="729"/>
      <c r="BB37" s="729"/>
      <c r="BC37" s="729"/>
      <c r="BD37" s="729"/>
      <c r="BE37" s="729"/>
      <c r="BF37" s="729"/>
      <c r="BG37" s="729"/>
      <c r="BH37" s="729"/>
      <c r="BI37" s="729"/>
      <c r="BJ37" s="729"/>
      <c r="BK37" s="729"/>
      <c r="BL37" s="729"/>
      <c r="BM37" s="729"/>
      <c r="BN37" s="729"/>
      <c r="BO37" s="729"/>
      <c r="BP37" s="729"/>
      <c r="BQ37" s="729"/>
      <c r="BR37" s="729"/>
      <c r="BS37" s="729"/>
      <c r="BT37" s="729"/>
      <c r="BU37" s="729"/>
      <c r="BV37" s="729"/>
      <c r="BW37" s="729"/>
      <c r="BX37" s="729"/>
      <c r="BY37" s="729"/>
      <c r="BZ37" s="729"/>
      <c r="CA37" s="729"/>
      <c r="CB37" s="729"/>
      <c r="CC37" s="729"/>
      <c r="CD37" s="729"/>
      <c r="CE37" s="729"/>
      <c r="CF37" s="729"/>
      <c r="CG37" s="729"/>
      <c r="CH37" s="729"/>
      <c r="CI37" s="729"/>
      <c r="CJ37" s="729"/>
      <c r="CK37" s="729"/>
      <c r="CL37" s="729"/>
      <c r="CM37" s="729"/>
      <c r="CN37" s="729"/>
      <c r="CO37" s="729"/>
      <c r="CP37" s="729"/>
      <c r="CQ37" s="729"/>
      <c r="CR37" s="729"/>
      <c r="CS37" s="729"/>
      <c r="CT37" s="729"/>
      <c r="CU37" s="729"/>
      <c r="CV37" s="729"/>
      <c r="CW37" s="729"/>
      <c r="CX37" s="729"/>
      <c r="CY37" s="729"/>
      <c r="CZ37" s="729"/>
      <c r="DA37" s="729"/>
      <c r="DB37" s="729"/>
      <c r="DC37" s="729"/>
      <c r="DD37" s="729"/>
      <c r="DE37" s="729"/>
      <c r="DF37" s="729"/>
      <c r="DG37" s="729"/>
      <c r="DH37" s="729"/>
      <c r="DI37" s="729"/>
      <c r="DJ37" s="729"/>
      <c r="DK37" s="729"/>
      <c r="DL37" s="729"/>
      <c r="DM37" s="729"/>
      <c r="DN37" s="729"/>
      <c r="DO37" s="729"/>
      <c r="DP37" s="729"/>
      <c r="DQ37" s="729"/>
      <c r="DR37" s="729"/>
      <c r="DS37" s="729"/>
      <c r="DT37" s="729"/>
      <c r="DU37" s="729"/>
      <c r="DV37" s="729"/>
      <c r="DW37" s="729"/>
      <c r="DX37" s="729"/>
      <c r="DY37" s="729"/>
      <c r="DZ37" s="729"/>
      <c r="EA37" s="729"/>
      <c r="EB37" s="729"/>
      <c r="EC37" s="729"/>
      <c r="ED37" s="729"/>
      <c r="EE37" s="729"/>
      <c r="EF37" s="729"/>
      <c r="EG37" s="729"/>
      <c r="EH37" s="729"/>
      <c r="EI37" s="729"/>
      <c r="EJ37" s="729"/>
      <c r="EK37" s="729"/>
      <c r="EL37" s="729"/>
      <c r="EM37" s="729"/>
      <c r="EN37" s="729"/>
      <c r="EO37" s="729"/>
      <c r="EP37" s="729"/>
      <c r="EQ37" s="729"/>
      <c r="ER37" s="729"/>
      <c r="ES37" s="729"/>
      <c r="ET37" s="729"/>
      <c r="EU37" s="729"/>
      <c r="EV37" s="729"/>
      <c r="EW37" s="729"/>
      <c r="EX37" s="729"/>
      <c r="EY37" s="729"/>
      <c r="EZ37" s="729"/>
      <c r="FA37" s="729"/>
      <c r="FB37" s="729"/>
      <c r="FC37" s="729"/>
      <c r="FD37" s="729"/>
      <c r="FE37" s="729"/>
      <c r="FF37" s="729"/>
      <c r="FG37" s="729"/>
      <c r="FH37" s="729"/>
      <c r="FI37" s="729"/>
      <c r="FJ37" s="729"/>
      <c r="FK37" s="729"/>
      <c r="FL37" s="729"/>
      <c r="FM37" s="729"/>
      <c r="FN37" s="729"/>
      <c r="FO37" s="729"/>
      <c r="FP37" s="729"/>
      <c r="FQ37" s="729"/>
      <c r="FR37" s="729"/>
      <c r="FS37" s="729"/>
      <c r="FT37" s="729"/>
      <c r="FU37" s="729"/>
      <c r="FV37" s="729"/>
      <c r="FW37" s="729"/>
      <c r="FX37" s="729"/>
      <c r="FY37" s="729"/>
      <c r="FZ37" s="729"/>
      <c r="GA37" s="729"/>
      <c r="GB37" s="729"/>
      <c r="GC37" s="729"/>
      <c r="GD37" s="729"/>
      <c r="GE37" s="729"/>
      <c r="GF37" s="729"/>
      <c r="GG37" s="729"/>
      <c r="GH37" s="729"/>
      <c r="GI37" s="729"/>
      <c r="GJ37" s="729"/>
      <c r="GK37" s="729"/>
      <c r="GL37" s="729"/>
      <c r="GM37" s="729"/>
      <c r="GN37" s="729"/>
      <c r="GO37" s="729"/>
      <c r="GP37" s="729"/>
      <c r="GQ37" s="729"/>
      <c r="GR37" s="729"/>
      <c r="GS37" s="729"/>
      <c r="GT37" s="729"/>
      <c r="GU37" s="729"/>
      <c r="GV37" s="729"/>
      <c r="GW37" s="729"/>
      <c r="GX37" s="729"/>
      <c r="GY37" s="729"/>
      <c r="GZ37" s="729"/>
      <c r="HA37" s="729"/>
      <c r="HB37" s="729"/>
      <c r="HC37" s="729"/>
      <c r="HD37" s="729"/>
      <c r="HE37" s="729"/>
      <c r="HF37" s="729"/>
      <c r="HG37" s="729"/>
      <c r="HH37" s="729"/>
      <c r="HI37" s="729"/>
      <c r="HJ37" s="729"/>
      <c r="HK37" s="729"/>
      <c r="HL37" s="729"/>
      <c r="HM37" s="729"/>
      <c r="HN37" s="729"/>
      <c r="HO37" s="729"/>
      <c r="HP37" s="729"/>
      <c r="HQ37" s="729"/>
      <c r="HR37" s="729"/>
      <c r="HS37" s="729"/>
      <c r="HT37" s="729"/>
      <c r="HU37" s="729"/>
      <c r="HV37" s="729"/>
      <c r="HW37" s="729"/>
      <c r="HX37" s="729"/>
      <c r="HY37" s="729"/>
      <c r="HZ37" s="729"/>
      <c r="IA37" s="729"/>
      <c r="IB37" s="729"/>
      <c r="IC37" s="729"/>
      <c r="ID37" s="729"/>
      <c r="IE37" s="729"/>
      <c r="IF37" s="729"/>
      <c r="IG37" s="729"/>
      <c r="IH37" s="729"/>
      <c r="II37" s="729"/>
      <c r="IJ37" s="729"/>
      <c r="IK37" s="729"/>
      <c r="IL37" s="729"/>
      <c r="IM37" s="729"/>
      <c r="IN37" s="729"/>
      <c r="IO37" s="729"/>
      <c r="IP37" s="729"/>
      <c r="IQ37" s="729"/>
    </row>
    <row r="38" spans="1:251" ht="37.5" customHeight="1">
      <c r="A38" s="728">
        <v>30</v>
      </c>
      <c r="B38" s="742"/>
      <c r="C38" s="748">
        <v>29</v>
      </c>
      <c r="D38" s="1303" t="s">
        <v>793</v>
      </c>
      <c r="E38" s="744">
        <f t="shared" si="1"/>
        <v>6000</v>
      </c>
      <c r="F38" s="745"/>
      <c r="G38" s="746"/>
      <c r="H38" s="1011" t="s">
        <v>24</v>
      </c>
      <c r="I38" s="979"/>
      <c r="J38" s="744">
        <v>6000</v>
      </c>
      <c r="K38" s="744"/>
      <c r="L38" s="756">
        <f t="shared" si="0"/>
        <v>6000</v>
      </c>
      <c r="M38" s="747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29"/>
      <c r="Y38" s="729"/>
      <c r="Z38" s="729"/>
      <c r="AA38" s="729"/>
      <c r="AB38" s="729"/>
      <c r="AC38" s="729"/>
      <c r="AD38" s="729"/>
      <c r="AE38" s="729"/>
      <c r="AF38" s="729"/>
      <c r="AG38" s="729"/>
      <c r="AH38" s="729"/>
      <c r="AI38" s="729"/>
      <c r="AJ38" s="729"/>
      <c r="AK38" s="729"/>
      <c r="AL38" s="729"/>
      <c r="AM38" s="729"/>
      <c r="AN38" s="729"/>
      <c r="AO38" s="729"/>
      <c r="AP38" s="729"/>
      <c r="AQ38" s="729"/>
      <c r="AR38" s="729"/>
      <c r="AS38" s="729"/>
      <c r="AT38" s="729"/>
      <c r="AU38" s="729"/>
      <c r="AV38" s="729"/>
      <c r="AW38" s="729"/>
      <c r="AX38" s="729"/>
      <c r="AY38" s="729"/>
      <c r="AZ38" s="729"/>
      <c r="BA38" s="729"/>
      <c r="BB38" s="729"/>
      <c r="BC38" s="729"/>
      <c r="BD38" s="729"/>
      <c r="BE38" s="729"/>
      <c r="BF38" s="729"/>
      <c r="BG38" s="729"/>
      <c r="BH38" s="729"/>
      <c r="BI38" s="729"/>
      <c r="BJ38" s="729"/>
      <c r="BK38" s="729"/>
      <c r="BL38" s="729"/>
      <c r="BM38" s="729"/>
      <c r="BN38" s="729"/>
      <c r="BO38" s="729"/>
      <c r="BP38" s="729"/>
      <c r="BQ38" s="729"/>
      <c r="BR38" s="729"/>
      <c r="BS38" s="729"/>
      <c r="BT38" s="729"/>
      <c r="BU38" s="729"/>
      <c r="BV38" s="729"/>
      <c r="BW38" s="729"/>
      <c r="BX38" s="729"/>
      <c r="BY38" s="729"/>
      <c r="BZ38" s="729"/>
      <c r="CA38" s="729"/>
      <c r="CB38" s="729"/>
      <c r="CC38" s="729"/>
      <c r="CD38" s="729"/>
      <c r="CE38" s="729"/>
      <c r="CF38" s="729"/>
      <c r="CG38" s="729"/>
      <c r="CH38" s="729"/>
      <c r="CI38" s="729"/>
      <c r="CJ38" s="729"/>
      <c r="CK38" s="729"/>
      <c r="CL38" s="729"/>
      <c r="CM38" s="729"/>
      <c r="CN38" s="729"/>
      <c r="CO38" s="729"/>
      <c r="CP38" s="729"/>
      <c r="CQ38" s="729"/>
      <c r="CR38" s="729"/>
      <c r="CS38" s="729"/>
      <c r="CT38" s="729"/>
      <c r="CU38" s="729"/>
      <c r="CV38" s="729"/>
      <c r="CW38" s="729"/>
      <c r="CX38" s="729"/>
      <c r="CY38" s="729"/>
      <c r="CZ38" s="729"/>
      <c r="DA38" s="729"/>
      <c r="DB38" s="729"/>
      <c r="DC38" s="729"/>
      <c r="DD38" s="729"/>
      <c r="DE38" s="729"/>
      <c r="DF38" s="729"/>
      <c r="DG38" s="729"/>
      <c r="DH38" s="729"/>
      <c r="DI38" s="729"/>
      <c r="DJ38" s="729"/>
      <c r="DK38" s="729"/>
      <c r="DL38" s="729"/>
      <c r="DM38" s="729"/>
      <c r="DN38" s="729"/>
      <c r="DO38" s="729"/>
      <c r="DP38" s="729"/>
      <c r="DQ38" s="729"/>
      <c r="DR38" s="729"/>
      <c r="DS38" s="729"/>
      <c r="DT38" s="729"/>
      <c r="DU38" s="729"/>
      <c r="DV38" s="729"/>
      <c r="DW38" s="729"/>
      <c r="DX38" s="729"/>
      <c r="DY38" s="729"/>
      <c r="DZ38" s="729"/>
      <c r="EA38" s="729"/>
      <c r="EB38" s="729"/>
      <c r="EC38" s="729"/>
      <c r="ED38" s="729"/>
      <c r="EE38" s="729"/>
      <c r="EF38" s="729"/>
      <c r="EG38" s="729"/>
      <c r="EH38" s="729"/>
      <c r="EI38" s="729"/>
      <c r="EJ38" s="729"/>
      <c r="EK38" s="729"/>
      <c r="EL38" s="729"/>
      <c r="EM38" s="729"/>
      <c r="EN38" s="729"/>
      <c r="EO38" s="729"/>
      <c r="EP38" s="729"/>
      <c r="EQ38" s="729"/>
      <c r="ER38" s="729"/>
      <c r="ES38" s="729"/>
      <c r="ET38" s="729"/>
      <c r="EU38" s="729"/>
      <c r="EV38" s="729"/>
      <c r="EW38" s="729"/>
      <c r="EX38" s="729"/>
      <c r="EY38" s="729"/>
      <c r="EZ38" s="729"/>
      <c r="FA38" s="729"/>
      <c r="FB38" s="729"/>
      <c r="FC38" s="729"/>
      <c r="FD38" s="729"/>
      <c r="FE38" s="729"/>
      <c r="FF38" s="729"/>
      <c r="FG38" s="729"/>
      <c r="FH38" s="729"/>
      <c r="FI38" s="729"/>
      <c r="FJ38" s="729"/>
      <c r="FK38" s="729"/>
      <c r="FL38" s="729"/>
      <c r="FM38" s="729"/>
      <c r="FN38" s="729"/>
      <c r="FO38" s="729"/>
      <c r="FP38" s="729"/>
      <c r="FQ38" s="729"/>
      <c r="FR38" s="729"/>
      <c r="FS38" s="729"/>
      <c r="FT38" s="729"/>
      <c r="FU38" s="729"/>
      <c r="FV38" s="729"/>
      <c r="FW38" s="729"/>
      <c r="FX38" s="729"/>
      <c r="FY38" s="729"/>
      <c r="FZ38" s="729"/>
      <c r="GA38" s="729"/>
      <c r="GB38" s="729"/>
      <c r="GC38" s="729"/>
      <c r="GD38" s="729"/>
      <c r="GE38" s="729"/>
      <c r="GF38" s="729"/>
      <c r="GG38" s="729"/>
      <c r="GH38" s="729"/>
      <c r="GI38" s="729"/>
      <c r="GJ38" s="729"/>
      <c r="GK38" s="729"/>
      <c r="GL38" s="729"/>
      <c r="GM38" s="729"/>
      <c r="GN38" s="729"/>
      <c r="GO38" s="729"/>
      <c r="GP38" s="729"/>
      <c r="GQ38" s="729"/>
      <c r="GR38" s="729"/>
      <c r="GS38" s="729"/>
      <c r="GT38" s="729"/>
      <c r="GU38" s="729"/>
      <c r="GV38" s="729"/>
      <c r="GW38" s="729"/>
      <c r="GX38" s="729"/>
      <c r="GY38" s="729"/>
      <c r="GZ38" s="729"/>
      <c r="HA38" s="729"/>
      <c r="HB38" s="729"/>
      <c r="HC38" s="729"/>
      <c r="HD38" s="729"/>
      <c r="HE38" s="729"/>
      <c r="HF38" s="729"/>
      <c r="HG38" s="729"/>
      <c r="HH38" s="729"/>
      <c r="HI38" s="729"/>
      <c r="HJ38" s="729"/>
      <c r="HK38" s="729"/>
      <c r="HL38" s="729"/>
      <c r="HM38" s="729"/>
      <c r="HN38" s="729"/>
      <c r="HO38" s="729"/>
      <c r="HP38" s="729"/>
      <c r="HQ38" s="729"/>
      <c r="HR38" s="729"/>
      <c r="HS38" s="729"/>
      <c r="HT38" s="729"/>
      <c r="HU38" s="729"/>
      <c r="HV38" s="729"/>
      <c r="HW38" s="729"/>
      <c r="HX38" s="729"/>
      <c r="HY38" s="729"/>
      <c r="HZ38" s="729"/>
      <c r="IA38" s="729"/>
      <c r="IB38" s="729"/>
      <c r="IC38" s="729"/>
      <c r="ID38" s="729"/>
      <c r="IE38" s="729"/>
      <c r="IF38" s="729"/>
      <c r="IG38" s="729"/>
      <c r="IH38" s="729"/>
      <c r="II38" s="729"/>
      <c r="IJ38" s="729"/>
      <c r="IK38" s="729"/>
      <c r="IL38" s="729"/>
      <c r="IM38" s="729"/>
      <c r="IN38" s="729"/>
      <c r="IO38" s="729"/>
      <c r="IP38" s="729"/>
      <c r="IQ38" s="729"/>
    </row>
    <row r="39" spans="1:251" ht="22.5" customHeight="1">
      <c r="A39" s="728">
        <v>31</v>
      </c>
      <c r="B39" s="742"/>
      <c r="C39" s="748">
        <v>30</v>
      </c>
      <c r="D39" s="1303" t="s">
        <v>794</v>
      </c>
      <c r="E39" s="744">
        <f t="shared" si="1"/>
        <v>15000</v>
      </c>
      <c r="F39" s="745"/>
      <c r="G39" s="746"/>
      <c r="H39" s="1011" t="s">
        <v>24</v>
      </c>
      <c r="I39" s="979"/>
      <c r="J39" s="744">
        <v>15000</v>
      </c>
      <c r="K39" s="744"/>
      <c r="L39" s="756">
        <f t="shared" si="0"/>
        <v>15000</v>
      </c>
      <c r="M39" s="747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729"/>
      <c r="AC39" s="729"/>
      <c r="AD39" s="729"/>
      <c r="AE39" s="729"/>
      <c r="AF39" s="729"/>
      <c r="AG39" s="729"/>
      <c r="AH39" s="729"/>
      <c r="AI39" s="729"/>
      <c r="AJ39" s="729"/>
      <c r="AK39" s="729"/>
      <c r="AL39" s="729"/>
      <c r="AM39" s="729"/>
      <c r="AN39" s="729"/>
      <c r="AO39" s="729"/>
      <c r="AP39" s="729"/>
      <c r="AQ39" s="729"/>
      <c r="AR39" s="729"/>
      <c r="AS39" s="729"/>
      <c r="AT39" s="729"/>
      <c r="AU39" s="729"/>
      <c r="AV39" s="729"/>
      <c r="AW39" s="729"/>
      <c r="AX39" s="729"/>
      <c r="AY39" s="729"/>
      <c r="AZ39" s="729"/>
      <c r="BA39" s="729"/>
      <c r="BB39" s="729"/>
      <c r="BC39" s="729"/>
      <c r="BD39" s="729"/>
      <c r="BE39" s="729"/>
      <c r="BF39" s="729"/>
      <c r="BG39" s="729"/>
      <c r="BH39" s="729"/>
      <c r="BI39" s="729"/>
      <c r="BJ39" s="729"/>
      <c r="BK39" s="729"/>
      <c r="BL39" s="729"/>
      <c r="BM39" s="729"/>
      <c r="BN39" s="729"/>
      <c r="BO39" s="729"/>
      <c r="BP39" s="729"/>
      <c r="BQ39" s="729"/>
      <c r="BR39" s="729"/>
      <c r="BS39" s="729"/>
      <c r="BT39" s="729"/>
      <c r="BU39" s="729"/>
      <c r="BV39" s="729"/>
      <c r="BW39" s="729"/>
      <c r="BX39" s="729"/>
      <c r="BY39" s="729"/>
      <c r="BZ39" s="729"/>
      <c r="CA39" s="729"/>
      <c r="CB39" s="729"/>
      <c r="CC39" s="729"/>
      <c r="CD39" s="729"/>
      <c r="CE39" s="729"/>
      <c r="CF39" s="729"/>
      <c r="CG39" s="729"/>
      <c r="CH39" s="729"/>
      <c r="CI39" s="729"/>
      <c r="CJ39" s="729"/>
      <c r="CK39" s="729"/>
      <c r="CL39" s="729"/>
      <c r="CM39" s="729"/>
      <c r="CN39" s="729"/>
      <c r="CO39" s="729"/>
      <c r="CP39" s="729"/>
      <c r="CQ39" s="729"/>
      <c r="CR39" s="729"/>
      <c r="CS39" s="729"/>
      <c r="CT39" s="729"/>
      <c r="CU39" s="729"/>
      <c r="CV39" s="729"/>
      <c r="CW39" s="729"/>
      <c r="CX39" s="729"/>
      <c r="CY39" s="729"/>
      <c r="CZ39" s="729"/>
      <c r="DA39" s="729"/>
      <c r="DB39" s="729"/>
      <c r="DC39" s="729"/>
      <c r="DD39" s="729"/>
      <c r="DE39" s="729"/>
      <c r="DF39" s="729"/>
      <c r="DG39" s="729"/>
      <c r="DH39" s="729"/>
      <c r="DI39" s="729"/>
      <c r="DJ39" s="729"/>
      <c r="DK39" s="729"/>
      <c r="DL39" s="729"/>
      <c r="DM39" s="729"/>
      <c r="DN39" s="729"/>
      <c r="DO39" s="729"/>
      <c r="DP39" s="729"/>
      <c r="DQ39" s="729"/>
      <c r="DR39" s="729"/>
      <c r="DS39" s="729"/>
      <c r="DT39" s="729"/>
      <c r="DU39" s="729"/>
      <c r="DV39" s="729"/>
      <c r="DW39" s="729"/>
      <c r="DX39" s="729"/>
      <c r="DY39" s="729"/>
      <c r="DZ39" s="729"/>
      <c r="EA39" s="729"/>
      <c r="EB39" s="729"/>
      <c r="EC39" s="729"/>
      <c r="ED39" s="729"/>
      <c r="EE39" s="729"/>
      <c r="EF39" s="729"/>
      <c r="EG39" s="729"/>
      <c r="EH39" s="729"/>
      <c r="EI39" s="729"/>
      <c r="EJ39" s="729"/>
      <c r="EK39" s="729"/>
      <c r="EL39" s="729"/>
      <c r="EM39" s="729"/>
      <c r="EN39" s="729"/>
      <c r="EO39" s="729"/>
      <c r="EP39" s="729"/>
      <c r="EQ39" s="729"/>
      <c r="ER39" s="729"/>
      <c r="ES39" s="729"/>
      <c r="ET39" s="729"/>
      <c r="EU39" s="729"/>
      <c r="EV39" s="729"/>
      <c r="EW39" s="729"/>
      <c r="EX39" s="729"/>
      <c r="EY39" s="729"/>
      <c r="EZ39" s="729"/>
      <c r="FA39" s="729"/>
      <c r="FB39" s="729"/>
      <c r="FC39" s="729"/>
      <c r="FD39" s="729"/>
      <c r="FE39" s="729"/>
      <c r="FF39" s="729"/>
      <c r="FG39" s="729"/>
      <c r="FH39" s="729"/>
      <c r="FI39" s="729"/>
      <c r="FJ39" s="729"/>
      <c r="FK39" s="729"/>
      <c r="FL39" s="729"/>
      <c r="FM39" s="729"/>
      <c r="FN39" s="729"/>
      <c r="FO39" s="729"/>
      <c r="FP39" s="729"/>
      <c r="FQ39" s="729"/>
      <c r="FR39" s="729"/>
      <c r="FS39" s="729"/>
      <c r="FT39" s="729"/>
      <c r="FU39" s="729"/>
      <c r="FV39" s="729"/>
      <c r="FW39" s="729"/>
      <c r="FX39" s="729"/>
      <c r="FY39" s="729"/>
      <c r="FZ39" s="729"/>
      <c r="GA39" s="729"/>
      <c r="GB39" s="729"/>
      <c r="GC39" s="729"/>
      <c r="GD39" s="729"/>
      <c r="GE39" s="729"/>
      <c r="GF39" s="729"/>
      <c r="GG39" s="729"/>
      <c r="GH39" s="729"/>
      <c r="GI39" s="729"/>
      <c r="GJ39" s="729"/>
      <c r="GK39" s="729"/>
      <c r="GL39" s="729"/>
      <c r="GM39" s="729"/>
      <c r="GN39" s="729"/>
      <c r="GO39" s="729"/>
      <c r="GP39" s="729"/>
      <c r="GQ39" s="729"/>
      <c r="GR39" s="729"/>
      <c r="GS39" s="729"/>
      <c r="GT39" s="729"/>
      <c r="GU39" s="729"/>
      <c r="GV39" s="729"/>
      <c r="GW39" s="729"/>
      <c r="GX39" s="729"/>
      <c r="GY39" s="729"/>
      <c r="GZ39" s="729"/>
      <c r="HA39" s="729"/>
      <c r="HB39" s="729"/>
      <c r="HC39" s="729"/>
      <c r="HD39" s="729"/>
      <c r="HE39" s="729"/>
      <c r="HF39" s="729"/>
      <c r="HG39" s="729"/>
      <c r="HH39" s="729"/>
      <c r="HI39" s="729"/>
      <c r="HJ39" s="729"/>
      <c r="HK39" s="729"/>
      <c r="HL39" s="729"/>
      <c r="HM39" s="729"/>
      <c r="HN39" s="729"/>
      <c r="HO39" s="729"/>
      <c r="HP39" s="729"/>
      <c r="HQ39" s="729"/>
      <c r="HR39" s="729"/>
      <c r="HS39" s="729"/>
      <c r="HT39" s="729"/>
      <c r="HU39" s="729"/>
      <c r="HV39" s="729"/>
      <c r="HW39" s="729"/>
      <c r="HX39" s="729"/>
      <c r="HY39" s="729"/>
      <c r="HZ39" s="729"/>
      <c r="IA39" s="729"/>
      <c r="IB39" s="729"/>
      <c r="IC39" s="729"/>
      <c r="ID39" s="729"/>
      <c r="IE39" s="729"/>
      <c r="IF39" s="729"/>
      <c r="IG39" s="729"/>
      <c r="IH39" s="729"/>
      <c r="II39" s="729"/>
      <c r="IJ39" s="729"/>
      <c r="IK39" s="729"/>
      <c r="IL39" s="729"/>
      <c r="IM39" s="729"/>
      <c r="IN39" s="729"/>
      <c r="IO39" s="729"/>
      <c r="IP39" s="729"/>
      <c r="IQ39" s="729"/>
    </row>
    <row r="40" spans="1:251" ht="36.75" customHeight="1">
      <c r="A40" s="728">
        <v>32</v>
      </c>
      <c r="B40" s="742"/>
      <c r="C40" s="748">
        <v>31</v>
      </c>
      <c r="D40" s="1303" t="s">
        <v>795</v>
      </c>
      <c r="E40" s="744">
        <f t="shared" si="1"/>
        <v>100</v>
      </c>
      <c r="F40" s="745"/>
      <c r="G40" s="746">
        <v>10</v>
      </c>
      <c r="H40" s="1011" t="s">
        <v>24</v>
      </c>
      <c r="I40" s="979"/>
      <c r="J40" s="744">
        <v>90</v>
      </c>
      <c r="K40" s="744"/>
      <c r="L40" s="756">
        <f t="shared" si="0"/>
        <v>90</v>
      </c>
      <c r="M40" s="747"/>
      <c r="N40" s="729"/>
      <c r="O40" s="729"/>
      <c r="P40" s="729"/>
      <c r="Q40" s="729"/>
      <c r="R40" s="729"/>
      <c r="S40" s="729"/>
      <c r="T40" s="729"/>
      <c r="U40" s="729"/>
      <c r="V40" s="729"/>
      <c r="W40" s="729"/>
      <c r="X40" s="729"/>
      <c r="Y40" s="729"/>
      <c r="Z40" s="729"/>
      <c r="AA40" s="729"/>
      <c r="AB40" s="729"/>
      <c r="AC40" s="729"/>
      <c r="AD40" s="729"/>
      <c r="AE40" s="729"/>
      <c r="AF40" s="729"/>
      <c r="AG40" s="729"/>
      <c r="AH40" s="729"/>
      <c r="AI40" s="729"/>
      <c r="AJ40" s="729"/>
      <c r="AK40" s="729"/>
      <c r="AL40" s="729"/>
      <c r="AM40" s="729"/>
      <c r="AN40" s="729"/>
      <c r="AO40" s="729"/>
      <c r="AP40" s="729"/>
      <c r="AQ40" s="729"/>
      <c r="AR40" s="729"/>
      <c r="AS40" s="729"/>
      <c r="AT40" s="729"/>
      <c r="AU40" s="729"/>
      <c r="AV40" s="729"/>
      <c r="AW40" s="729"/>
      <c r="AX40" s="729"/>
      <c r="AY40" s="729"/>
      <c r="AZ40" s="729"/>
      <c r="BA40" s="729"/>
      <c r="BB40" s="729"/>
      <c r="BC40" s="729"/>
      <c r="BD40" s="729"/>
      <c r="BE40" s="729"/>
      <c r="BF40" s="729"/>
      <c r="BG40" s="729"/>
      <c r="BH40" s="729"/>
      <c r="BI40" s="729"/>
      <c r="BJ40" s="729"/>
      <c r="BK40" s="729"/>
      <c r="BL40" s="729"/>
      <c r="BM40" s="729"/>
      <c r="BN40" s="729"/>
      <c r="BO40" s="729"/>
      <c r="BP40" s="729"/>
      <c r="BQ40" s="729"/>
      <c r="BR40" s="729"/>
      <c r="BS40" s="729"/>
      <c r="BT40" s="729"/>
      <c r="BU40" s="729"/>
      <c r="BV40" s="729"/>
      <c r="BW40" s="729"/>
      <c r="BX40" s="729"/>
      <c r="BY40" s="729"/>
      <c r="BZ40" s="729"/>
      <c r="CA40" s="729"/>
      <c r="CB40" s="729"/>
      <c r="CC40" s="729"/>
      <c r="CD40" s="729"/>
      <c r="CE40" s="729"/>
      <c r="CF40" s="729"/>
      <c r="CG40" s="729"/>
      <c r="CH40" s="729"/>
      <c r="CI40" s="729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/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29"/>
      <c r="DE40" s="729"/>
      <c r="DF40" s="729"/>
      <c r="DG40" s="729"/>
      <c r="DH40" s="729"/>
      <c r="DI40" s="729"/>
      <c r="DJ40" s="729"/>
      <c r="DK40" s="729"/>
      <c r="DL40" s="729"/>
      <c r="DM40" s="729"/>
      <c r="DN40" s="729"/>
      <c r="DO40" s="729"/>
      <c r="DP40" s="729"/>
      <c r="DQ40" s="729"/>
      <c r="DR40" s="729"/>
      <c r="DS40" s="729"/>
      <c r="DT40" s="729"/>
      <c r="DU40" s="729"/>
      <c r="DV40" s="729"/>
      <c r="DW40" s="729"/>
      <c r="DX40" s="729"/>
      <c r="DY40" s="729"/>
      <c r="DZ40" s="729"/>
      <c r="EA40" s="729"/>
      <c r="EB40" s="729"/>
      <c r="EC40" s="729"/>
      <c r="ED40" s="729"/>
      <c r="EE40" s="729"/>
      <c r="EF40" s="729"/>
      <c r="EG40" s="729"/>
      <c r="EH40" s="729"/>
      <c r="EI40" s="729"/>
      <c r="EJ40" s="729"/>
      <c r="EK40" s="729"/>
      <c r="EL40" s="729"/>
      <c r="EM40" s="729"/>
      <c r="EN40" s="729"/>
      <c r="EO40" s="729"/>
      <c r="EP40" s="729"/>
      <c r="EQ40" s="729"/>
      <c r="ER40" s="729"/>
      <c r="ES40" s="729"/>
      <c r="ET40" s="729"/>
      <c r="EU40" s="729"/>
      <c r="EV40" s="729"/>
      <c r="EW40" s="729"/>
      <c r="EX40" s="729"/>
      <c r="EY40" s="729"/>
      <c r="EZ40" s="729"/>
      <c r="FA40" s="729"/>
      <c r="FB40" s="729"/>
      <c r="FC40" s="729"/>
      <c r="FD40" s="729"/>
      <c r="FE40" s="729"/>
      <c r="FF40" s="729"/>
      <c r="FG40" s="729"/>
      <c r="FH40" s="729"/>
      <c r="FI40" s="729"/>
      <c r="FJ40" s="729"/>
      <c r="FK40" s="729"/>
      <c r="FL40" s="729"/>
      <c r="FM40" s="729"/>
      <c r="FN40" s="729"/>
      <c r="FO40" s="729"/>
      <c r="FP40" s="729"/>
      <c r="FQ40" s="729"/>
      <c r="FR40" s="729"/>
      <c r="FS40" s="729"/>
      <c r="FT40" s="729"/>
      <c r="FU40" s="729"/>
      <c r="FV40" s="729"/>
      <c r="FW40" s="729"/>
      <c r="FX40" s="729"/>
      <c r="FY40" s="729"/>
      <c r="FZ40" s="729"/>
      <c r="GA40" s="729"/>
      <c r="GB40" s="729"/>
      <c r="GC40" s="729"/>
      <c r="GD40" s="729"/>
      <c r="GE40" s="729"/>
      <c r="GF40" s="729"/>
      <c r="GG40" s="729"/>
      <c r="GH40" s="729"/>
      <c r="GI40" s="729"/>
      <c r="GJ40" s="729"/>
      <c r="GK40" s="729"/>
      <c r="GL40" s="729"/>
      <c r="GM40" s="729"/>
      <c r="GN40" s="729"/>
      <c r="GO40" s="729"/>
      <c r="GP40" s="729"/>
      <c r="GQ40" s="729"/>
      <c r="GR40" s="729"/>
      <c r="GS40" s="729"/>
      <c r="GT40" s="729"/>
      <c r="GU40" s="729"/>
      <c r="GV40" s="729"/>
      <c r="GW40" s="729"/>
      <c r="GX40" s="729"/>
      <c r="GY40" s="729"/>
      <c r="GZ40" s="729"/>
      <c r="HA40" s="729"/>
      <c r="HB40" s="729"/>
      <c r="HC40" s="729"/>
      <c r="HD40" s="729"/>
      <c r="HE40" s="729"/>
      <c r="HF40" s="729"/>
      <c r="HG40" s="729"/>
      <c r="HH40" s="729"/>
      <c r="HI40" s="729"/>
      <c r="HJ40" s="729"/>
      <c r="HK40" s="729"/>
      <c r="HL40" s="729"/>
      <c r="HM40" s="729"/>
      <c r="HN40" s="729"/>
      <c r="HO40" s="729"/>
      <c r="HP40" s="729"/>
      <c r="HQ40" s="729"/>
      <c r="HR40" s="729"/>
      <c r="HS40" s="729"/>
      <c r="HT40" s="729"/>
      <c r="HU40" s="729"/>
      <c r="HV40" s="729"/>
      <c r="HW40" s="729"/>
      <c r="HX40" s="729"/>
      <c r="HY40" s="729"/>
      <c r="HZ40" s="729"/>
      <c r="IA40" s="729"/>
      <c r="IB40" s="729"/>
      <c r="IC40" s="729"/>
      <c r="ID40" s="729"/>
      <c r="IE40" s="729"/>
      <c r="IF40" s="729"/>
      <c r="IG40" s="729"/>
      <c r="IH40" s="729"/>
      <c r="II40" s="729"/>
      <c r="IJ40" s="729"/>
      <c r="IK40" s="729"/>
      <c r="IL40" s="729"/>
      <c r="IM40" s="729"/>
      <c r="IN40" s="729"/>
      <c r="IO40" s="729"/>
      <c r="IP40" s="729"/>
      <c r="IQ40" s="729"/>
    </row>
    <row r="41" spans="1:251" ht="33.75" customHeight="1">
      <c r="A41" s="728">
        <v>33</v>
      </c>
      <c r="B41" s="742"/>
      <c r="C41" s="748">
        <v>32</v>
      </c>
      <c r="D41" s="1303" t="s">
        <v>796</v>
      </c>
      <c r="E41" s="744">
        <f t="shared" si="1"/>
        <v>11000</v>
      </c>
      <c r="F41" s="745"/>
      <c r="G41" s="746">
        <v>6357</v>
      </c>
      <c r="H41" s="1011" t="s">
        <v>24</v>
      </c>
      <c r="I41" s="979"/>
      <c r="J41" s="744">
        <v>4643</v>
      </c>
      <c r="K41" s="744"/>
      <c r="L41" s="756">
        <f t="shared" si="0"/>
        <v>4643</v>
      </c>
      <c r="M41" s="747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9"/>
      <c r="Y41" s="729"/>
      <c r="Z41" s="729"/>
      <c r="AA41" s="729"/>
      <c r="AB41" s="729"/>
      <c r="AC41" s="729"/>
      <c r="AD41" s="729"/>
      <c r="AE41" s="729"/>
      <c r="AF41" s="729"/>
      <c r="AG41" s="729"/>
      <c r="AH41" s="729"/>
      <c r="AI41" s="729"/>
      <c r="AJ41" s="729"/>
      <c r="AK41" s="729"/>
      <c r="AL41" s="729"/>
      <c r="AM41" s="729"/>
      <c r="AN41" s="729"/>
      <c r="AO41" s="729"/>
      <c r="AP41" s="729"/>
      <c r="AQ41" s="729"/>
      <c r="AR41" s="729"/>
      <c r="AS41" s="729"/>
      <c r="AT41" s="729"/>
      <c r="AU41" s="729"/>
      <c r="AV41" s="729"/>
      <c r="AW41" s="729"/>
      <c r="AX41" s="729"/>
      <c r="AY41" s="729"/>
      <c r="AZ41" s="729"/>
      <c r="BA41" s="729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9"/>
      <c r="BR41" s="729"/>
      <c r="BS41" s="729"/>
      <c r="BT41" s="729"/>
      <c r="BU41" s="729"/>
      <c r="BV41" s="729"/>
      <c r="BW41" s="729"/>
      <c r="BX41" s="729"/>
      <c r="BY41" s="729"/>
      <c r="BZ41" s="729"/>
      <c r="CA41" s="729"/>
      <c r="CB41" s="729"/>
      <c r="CC41" s="729"/>
      <c r="CD41" s="729"/>
      <c r="CE41" s="729"/>
      <c r="CF41" s="729"/>
      <c r="CG41" s="729"/>
      <c r="CH41" s="729"/>
      <c r="CI41" s="729"/>
      <c r="CJ41" s="729"/>
      <c r="CK41" s="729"/>
      <c r="CL41" s="729"/>
      <c r="CM41" s="729"/>
      <c r="CN41" s="729"/>
      <c r="CO41" s="729"/>
      <c r="CP41" s="729"/>
      <c r="CQ41" s="729"/>
      <c r="CR41" s="729"/>
      <c r="CS41" s="729"/>
      <c r="CT41" s="729"/>
      <c r="CU41" s="729"/>
      <c r="CV41" s="729"/>
      <c r="CW41" s="729"/>
      <c r="CX41" s="729"/>
      <c r="CY41" s="729"/>
      <c r="CZ41" s="729"/>
      <c r="DA41" s="729"/>
      <c r="DB41" s="729"/>
      <c r="DC41" s="729"/>
      <c r="DD41" s="729"/>
      <c r="DE41" s="729"/>
      <c r="DF41" s="729"/>
      <c r="DG41" s="729"/>
      <c r="DH41" s="729"/>
      <c r="DI41" s="729"/>
      <c r="DJ41" s="729"/>
      <c r="DK41" s="729"/>
      <c r="DL41" s="729"/>
      <c r="DM41" s="729"/>
      <c r="DN41" s="729"/>
      <c r="DO41" s="729"/>
      <c r="DP41" s="729"/>
      <c r="DQ41" s="729"/>
      <c r="DR41" s="729"/>
      <c r="DS41" s="729"/>
      <c r="DT41" s="729"/>
      <c r="DU41" s="729"/>
      <c r="DV41" s="729"/>
      <c r="DW41" s="729"/>
      <c r="DX41" s="729"/>
      <c r="DY41" s="729"/>
      <c r="DZ41" s="729"/>
      <c r="EA41" s="729"/>
      <c r="EB41" s="729"/>
      <c r="EC41" s="729"/>
      <c r="ED41" s="729"/>
      <c r="EE41" s="729"/>
      <c r="EF41" s="729"/>
      <c r="EG41" s="729"/>
      <c r="EH41" s="729"/>
      <c r="EI41" s="729"/>
      <c r="EJ41" s="729"/>
      <c r="EK41" s="729"/>
      <c r="EL41" s="729"/>
      <c r="EM41" s="729"/>
      <c r="EN41" s="729"/>
      <c r="EO41" s="729"/>
      <c r="EP41" s="729"/>
      <c r="EQ41" s="729"/>
      <c r="ER41" s="729"/>
      <c r="ES41" s="729"/>
      <c r="ET41" s="729"/>
      <c r="EU41" s="729"/>
      <c r="EV41" s="729"/>
      <c r="EW41" s="729"/>
      <c r="EX41" s="729"/>
      <c r="EY41" s="729"/>
      <c r="EZ41" s="729"/>
      <c r="FA41" s="729"/>
      <c r="FB41" s="729"/>
      <c r="FC41" s="729"/>
      <c r="FD41" s="729"/>
      <c r="FE41" s="729"/>
      <c r="FF41" s="729"/>
      <c r="FG41" s="729"/>
      <c r="FH41" s="729"/>
      <c r="FI41" s="729"/>
      <c r="FJ41" s="729"/>
      <c r="FK41" s="729"/>
      <c r="FL41" s="729"/>
      <c r="FM41" s="729"/>
      <c r="FN41" s="729"/>
      <c r="FO41" s="729"/>
      <c r="FP41" s="729"/>
      <c r="FQ41" s="729"/>
      <c r="FR41" s="729"/>
      <c r="FS41" s="729"/>
      <c r="FT41" s="729"/>
      <c r="FU41" s="729"/>
      <c r="FV41" s="729"/>
      <c r="FW41" s="729"/>
      <c r="FX41" s="729"/>
      <c r="FY41" s="729"/>
      <c r="FZ41" s="729"/>
      <c r="GA41" s="729"/>
      <c r="GB41" s="729"/>
      <c r="GC41" s="729"/>
      <c r="GD41" s="729"/>
      <c r="GE41" s="729"/>
      <c r="GF41" s="729"/>
      <c r="GG41" s="729"/>
      <c r="GH41" s="729"/>
      <c r="GI41" s="729"/>
      <c r="GJ41" s="729"/>
      <c r="GK41" s="729"/>
      <c r="GL41" s="729"/>
      <c r="GM41" s="729"/>
      <c r="GN41" s="729"/>
      <c r="GO41" s="729"/>
      <c r="GP41" s="729"/>
      <c r="GQ41" s="729"/>
      <c r="GR41" s="729"/>
      <c r="GS41" s="729"/>
      <c r="GT41" s="729"/>
      <c r="GU41" s="729"/>
      <c r="GV41" s="729"/>
      <c r="GW41" s="729"/>
      <c r="GX41" s="729"/>
      <c r="GY41" s="729"/>
      <c r="GZ41" s="729"/>
      <c r="HA41" s="729"/>
      <c r="HB41" s="729"/>
      <c r="HC41" s="729"/>
      <c r="HD41" s="729"/>
      <c r="HE41" s="729"/>
      <c r="HF41" s="729"/>
      <c r="HG41" s="729"/>
      <c r="HH41" s="729"/>
      <c r="HI41" s="729"/>
      <c r="HJ41" s="729"/>
      <c r="HK41" s="729"/>
      <c r="HL41" s="729"/>
      <c r="HM41" s="729"/>
      <c r="HN41" s="729"/>
      <c r="HO41" s="729"/>
      <c r="HP41" s="729"/>
      <c r="HQ41" s="729"/>
      <c r="HR41" s="729"/>
      <c r="HS41" s="729"/>
      <c r="HT41" s="729"/>
      <c r="HU41" s="729"/>
      <c r="HV41" s="729"/>
      <c r="HW41" s="729"/>
      <c r="HX41" s="729"/>
      <c r="HY41" s="729"/>
      <c r="HZ41" s="729"/>
      <c r="IA41" s="729"/>
      <c r="IB41" s="729"/>
      <c r="IC41" s="729"/>
      <c r="ID41" s="729"/>
      <c r="IE41" s="729"/>
      <c r="IF41" s="729"/>
      <c r="IG41" s="729"/>
      <c r="IH41" s="729"/>
      <c r="II41" s="729"/>
      <c r="IJ41" s="729"/>
      <c r="IK41" s="729"/>
      <c r="IL41" s="729"/>
      <c r="IM41" s="729"/>
      <c r="IN41" s="729"/>
      <c r="IO41" s="729"/>
      <c r="IP41" s="729"/>
      <c r="IQ41" s="729"/>
    </row>
    <row r="42" spans="1:251" ht="22.5" customHeight="1">
      <c r="A42" s="728">
        <v>34</v>
      </c>
      <c r="B42" s="742"/>
      <c r="C42" s="748">
        <v>33</v>
      </c>
      <c r="D42" s="1303" t="s">
        <v>797</v>
      </c>
      <c r="E42" s="744">
        <f t="shared" si="1"/>
        <v>7000</v>
      </c>
      <c r="F42" s="745"/>
      <c r="G42" s="746">
        <f>1525+4544</f>
        <v>6069</v>
      </c>
      <c r="H42" s="1011" t="s">
        <v>24</v>
      </c>
      <c r="I42" s="979"/>
      <c r="J42" s="744">
        <v>931</v>
      </c>
      <c r="K42" s="744"/>
      <c r="L42" s="756">
        <f t="shared" si="0"/>
        <v>931</v>
      </c>
      <c r="M42" s="747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9"/>
      <c r="Y42" s="729"/>
      <c r="Z42" s="729"/>
      <c r="AA42" s="729"/>
      <c r="AB42" s="729"/>
      <c r="AC42" s="729"/>
      <c r="AD42" s="729"/>
      <c r="AE42" s="729"/>
      <c r="AF42" s="729"/>
      <c r="AG42" s="729"/>
      <c r="AH42" s="729"/>
      <c r="AI42" s="729"/>
      <c r="AJ42" s="729"/>
      <c r="AK42" s="729"/>
      <c r="AL42" s="729"/>
      <c r="AM42" s="729"/>
      <c r="AN42" s="729"/>
      <c r="AO42" s="729"/>
      <c r="AP42" s="729"/>
      <c r="AQ42" s="729"/>
      <c r="AR42" s="729"/>
      <c r="AS42" s="729"/>
      <c r="AT42" s="729"/>
      <c r="AU42" s="729"/>
      <c r="AV42" s="729"/>
      <c r="AW42" s="729"/>
      <c r="AX42" s="729"/>
      <c r="AY42" s="729"/>
      <c r="AZ42" s="729"/>
      <c r="BA42" s="729"/>
      <c r="BB42" s="729"/>
      <c r="BC42" s="729"/>
      <c r="BD42" s="729"/>
      <c r="BE42" s="729"/>
      <c r="BF42" s="729"/>
      <c r="BG42" s="729"/>
      <c r="BH42" s="729"/>
      <c r="BI42" s="729"/>
      <c r="BJ42" s="729"/>
      <c r="BK42" s="729"/>
      <c r="BL42" s="729"/>
      <c r="BM42" s="729"/>
      <c r="BN42" s="729"/>
      <c r="BO42" s="729"/>
      <c r="BP42" s="729"/>
      <c r="BQ42" s="729"/>
      <c r="BR42" s="729"/>
      <c r="BS42" s="729"/>
      <c r="BT42" s="729"/>
      <c r="BU42" s="729"/>
      <c r="BV42" s="729"/>
      <c r="BW42" s="729"/>
      <c r="BX42" s="729"/>
      <c r="BY42" s="729"/>
      <c r="BZ42" s="729"/>
      <c r="CA42" s="729"/>
      <c r="CB42" s="729"/>
      <c r="CC42" s="729"/>
      <c r="CD42" s="729"/>
      <c r="CE42" s="729"/>
      <c r="CF42" s="729"/>
      <c r="CG42" s="729"/>
      <c r="CH42" s="729"/>
      <c r="CI42" s="729"/>
      <c r="CJ42" s="729"/>
      <c r="CK42" s="729"/>
      <c r="CL42" s="729"/>
      <c r="CM42" s="729"/>
      <c r="CN42" s="729"/>
      <c r="CO42" s="729"/>
      <c r="CP42" s="729"/>
      <c r="CQ42" s="729"/>
      <c r="CR42" s="729"/>
      <c r="CS42" s="729"/>
      <c r="CT42" s="729"/>
      <c r="CU42" s="729"/>
      <c r="CV42" s="729"/>
      <c r="CW42" s="729"/>
      <c r="CX42" s="729"/>
      <c r="CY42" s="729"/>
      <c r="CZ42" s="729"/>
      <c r="DA42" s="729"/>
      <c r="DB42" s="729"/>
      <c r="DC42" s="729"/>
      <c r="DD42" s="729"/>
      <c r="DE42" s="729"/>
      <c r="DF42" s="729"/>
      <c r="DG42" s="729"/>
      <c r="DH42" s="729"/>
      <c r="DI42" s="729"/>
      <c r="DJ42" s="729"/>
      <c r="DK42" s="729"/>
      <c r="DL42" s="729"/>
      <c r="DM42" s="729"/>
      <c r="DN42" s="729"/>
      <c r="DO42" s="729"/>
      <c r="DP42" s="729"/>
      <c r="DQ42" s="729"/>
      <c r="DR42" s="729"/>
      <c r="DS42" s="729"/>
      <c r="DT42" s="729"/>
      <c r="DU42" s="729"/>
      <c r="DV42" s="729"/>
      <c r="DW42" s="729"/>
      <c r="DX42" s="729"/>
      <c r="DY42" s="729"/>
      <c r="DZ42" s="729"/>
      <c r="EA42" s="729"/>
      <c r="EB42" s="729"/>
      <c r="EC42" s="729"/>
      <c r="ED42" s="729"/>
      <c r="EE42" s="729"/>
      <c r="EF42" s="729"/>
      <c r="EG42" s="729"/>
      <c r="EH42" s="729"/>
      <c r="EI42" s="729"/>
      <c r="EJ42" s="729"/>
      <c r="EK42" s="729"/>
      <c r="EL42" s="729"/>
      <c r="EM42" s="729"/>
      <c r="EN42" s="729"/>
      <c r="EO42" s="729"/>
      <c r="EP42" s="729"/>
      <c r="EQ42" s="729"/>
      <c r="ER42" s="729"/>
      <c r="ES42" s="729"/>
      <c r="ET42" s="729"/>
      <c r="EU42" s="729"/>
      <c r="EV42" s="729"/>
      <c r="EW42" s="729"/>
      <c r="EX42" s="729"/>
      <c r="EY42" s="729"/>
      <c r="EZ42" s="729"/>
      <c r="FA42" s="729"/>
      <c r="FB42" s="729"/>
      <c r="FC42" s="729"/>
      <c r="FD42" s="729"/>
      <c r="FE42" s="729"/>
      <c r="FF42" s="729"/>
      <c r="FG42" s="729"/>
      <c r="FH42" s="729"/>
      <c r="FI42" s="729"/>
      <c r="FJ42" s="729"/>
      <c r="FK42" s="729"/>
      <c r="FL42" s="729"/>
      <c r="FM42" s="729"/>
      <c r="FN42" s="729"/>
      <c r="FO42" s="729"/>
      <c r="FP42" s="729"/>
      <c r="FQ42" s="729"/>
      <c r="FR42" s="729"/>
      <c r="FS42" s="729"/>
      <c r="FT42" s="729"/>
      <c r="FU42" s="729"/>
      <c r="FV42" s="729"/>
      <c r="FW42" s="729"/>
      <c r="FX42" s="729"/>
      <c r="FY42" s="729"/>
      <c r="FZ42" s="729"/>
      <c r="GA42" s="729"/>
      <c r="GB42" s="729"/>
      <c r="GC42" s="729"/>
      <c r="GD42" s="729"/>
      <c r="GE42" s="729"/>
      <c r="GF42" s="729"/>
      <c r="GG42" s="729"/>
      <c r="GH42" s="729"/>
      <c r="GI42" s="729"/>
      <c r="GJ42" s="729"/>
      <c r="GK42" s="729"/>
      <c r="GL42" s="729"/>
      <c r="GM42" s="729"/>
      <c r="GN42" s="729"/>
      <c r="GO42" s="729"/>
      <c r="GP42" s="729"/>
      <c r="GQ42" s="729"/>
      <c r="GR42" s="729"/>
      <c r="GS42" s="729"/>
      <c r="GT42" s="729"/>
      <c r="GU42" s="729"/>
      <c r="GV42" s="729"/>
      <c r="GW42" s="729"/>
      <c r="GX42" s="729"/>
      <c r="GY42" s="729"/>
      <c r="GZ42" s="729"/>
      <c r="HA42" s="729"/>
      <c r="HB42" s="729"/>
      <c r="HC42" s="729"/>
      <c r="HD42" s="729"/>
      <c r="HE42" s="729"/>
      <c r="HF42" s="729"/>
      <c r="HG42" s="729"/>
      <c r="HH42" s="729"/>
      <c r="HI42" s="729"/>
      <c r="HJ42" s="729"/>
      <c r="HK42" s="729"/>
      <c r="HL42" s="729"/>
      <c r="HM42" s="729"/>
      <c r="HN42" s="729"/>
      <c r="HO42" s="729"/>
      <c r="HP42" s="729"/>
      <c r="HQ42" s="729"/>
      <c r="HR42" s="729"/>
      <c r="HS42" s="729"/>
      <c r="HT42" s="729"/>
      <c r="HU42" s="729"/>
      <c r="HV42" s="729"/>
      <c r="HW42" s="729"/>
      <c r="HX42" s="729"/>
      <c r="HY42" s="729"/>
      <c r="HZ42" s="729"/>
      <c r="IA42" s="729"/>
      <c r="IB42" s="729"/>
      <c r="IC42" s="729"/>
      <c r="ID42" s="729"/>
      <c r="IE42" s="729"/>
      <c r="IF42" s="729"/>
      <c r="IG42" s="729"/>
      <c r="IH42" s="729"/>
      <c r="II42" s="729"/>
      <c r="IJ42" s="729"/>
      <c r="IK42" s="729"/>
      <c r="IL42" s="729"/>
      <c r="IM42" s="729"/>
      <c r="IN42" s="729"/>
      <c r="IO42" s="729"/>
      <c r="IP42" s="729"/>
      <c r="IQ42" s="729"/>
    </row>
    <row r="43" spans="1:251" ht="22.5" customHeight="1">
      <c r="A43" s="728">
        <v>35</v>
      </c>
      <c r="B43" s="742"/>
      <c r="C43" s="748">
        <v>34</v>
      </c>
      <c r="D43" s="1303" t="s">
        <v>798</v>
      </c>
      <c r="E43" s="744">
        <f t="shared" si="1"/>
        <v>200</v>
      </c>
      <c r="F43" s="745"/>
      <c r="G43" s="746"/>
      <c r="H43" s="1011" t="s">
        <v>24</v>
      </c>
      <c r="I43" s="979"/>
      <c r="J43" s="744">
        <v>200</v>
      </c>
      <c r="K43" s="744"/>
      <c r="L43" s="756">
        <f t="shared" si="0"/>
        <v>200</v>
      </c>
      <c r="M43" s="747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29"/>
      <c r="AP43" s="729"/>
      <c r="AQ43" s="729"/>
      <c r="AR43" s="729"/>
      <c r="AS43" s="729"/>
      <c r="AT43" s="729"/>
      <c r="AU43" s="729"/>
      <c r="AV43" s="729"/>
      <c r="AW43" s="729"/>
      <c r="AX43" s="729"/>
      <c r="AY43" s="729"/>
      <c r="AZ43" s="729"/>
      <c r="BA43" s="729"/>
      <c r="BB43" s="729"/>
      <c r="BC43" s="729"/>
      <c r="BD43" s="729"/>
      <c r="BE43" s="729"/>
      <c r="BF43" s="729"/>
      <c r="BG43" s="729"/>
      <c r="BH43" s="729"/>
      <c r="BI43" s="729"/>
      <c r="BJ43" s="729"/>
      <c r="BK43" s="729"/>
      <c r="BL43" s="729"/>
      <c r="BM43" s="729"/>
      <c r="BN43" s="729"/>
      <c r="BO43" s="729"/>
      <c r="BP43" s="729"/>
      <c r="BQ43" s="729"/>
      <c r="BR43" s="729"/>
      <c r="BS43" s="729"/>
      <c r="BT43" s="729"/>
      <c r="BU43" s="729"/>
      <c r="BV43" s="729"/>
      <c r="BW43" s="729"/>
      <c r="BX43" s="729"/>
      <c r="BY43" s="729"/>
      <c r="BZ43" s="729"/>
      <c r="CA43" s="729"/>
      <c r="CB43" s="729"/>
      <c r="CC43" s="729"/>
      <c r="CD43" s="729"/>
      <c r="CE43" s="729"/>
      <c r="CF43" s="729"/>
      <c r="CG43" s="729"/>
      <c r="CH43" s="729"/>
      <c r="CI43" s="729"/>
      <c r="CJ43" s="729"/>
      <c r="CK43" s="729"/>
      <c r="CL43" s="729"/>
      <c r="CM43" s="729"/>
      <c r="CN43" s="729"/>
      <c r="CO43" s="729"/>
      <c r="CP43" s="729"/>
      <c r="CQ43" s="729"/>
      <c r="CR43" s="729"/>
      <c r="CS43" s="729"/>
      <c r="CT43" s="729"/>
      <c r="CU43" s="729"/>
      <c r="CV43" s="729"/>
      <c r="CW43" s="729"/>
      <c r="CX43" s="729"/>
      <c r="CY43" s="729"/>
      <c r="CZ43" s="729"/>
      <c r="DA43" s="729"/>
      <c r="DB43" s="729"/>
      <c r="DC43" s="729"/>
      <c r="DD43" s="729"/>
      <c r="DE43" s="729"/>
      <c r="DF43" s="729"/>
      <c r="DG43" s="729"/>
      <c r="DH43" s="729"/>
      <c r="DI43" s="729"/>
      <c r="DJ43" s="729"/>
      <c r="DK43" s="729"/>
      <c r="DL43" s="729"/>
      <c r="DM43" s="729"/>
      <c r="DN43" s="729"/>
      <c r="DO43" s="729"/>
      <c r="DP43" s="729"/>
      <c r="DQ43" s="729"/>
      <c r="DR43" s="729"/>
      <c r="DS43" s="729"/>
      <c r="DT43" s="729"/>
      <c r="DU43" s="729"/>
      <c r="DV43" s="729"/>
      <c r="DW43" s="729"/>
      <c r="DX43" s="729"/>
      <c r="DY43" s="729"/>
      <c r="DZ43" s="729"/>
      <c r="EA43" s="729"/>
      <c r="EB43" s="729"/>
      <c r="EC43" s="729"/>
      <c r="ED43" s="729"/>
      <c r="EE43" s="729"/>
      <c r="EF43" s="729"/>
      <c r="EG43" s="729"/>
      <c r="EH43" s="729"/>
      <c r="EI43" s="729"/>
      <c r="EJ43" s="729"/>
      <c r="EK43" s="729"/>
      <c r="EL43" s="729"/>
      <c r="EM43" s="729"/>
      <c r="EN43" s="729"/>
      <c r="EO43" s="729"/>
      <c r="EP43" s="729"/>
      <c r="EQ43" s="729"/>
      <c r="ER43" s="729"/>
      <c r="ES43" s="729"/>
      <c r="ET43" s="729"/>
      <c r="EU43" s="729"/>
      <c r="EV43" s="729"/>
      <c r="EW43" s="729"/>
      <c r="EX43" s="729"/>
      <c r="EY43" s="729"/>
      <c r="EZ43" s="729"/>
      <c r="FA43" s="729"/>
      <c r="FB43" s="729"/>
      <c r="FC43" s="729"/>
      <c r="FD43" s="729"/>
      <c r="FE43" s="729"/>
      <c r="FF43" s="729"/>
      <c r="FG43" s="729"/>
      <c r="FH43" s="729"/>
      <c r="FI43" s="729"/>
      <c r="FJ43" s="729"/>
      <c r="FK43" s="729"/>
      <c r="FL43" s="729"/>
      <c r="FM43" s="729"/>
      <c r="FN43" s="729"/>
      <c r="FO43" s="729"/>
      <c r="FP43" s="729"/>
      <c r="FQ43" s="729"/>
      <c r="FR43" s="729"/>
      <c r="FS43" s="729"/>
      <c r="FT43" s="729"/>
      <c r="FU43" s="729"/>
      <c r="FV43" s="729"/>
      <c r="FW43" s="729"/>
      <c r="FX43" s="729"/>
      <c r="FY43" s="729"/>
      <c r="FZ43" s="729"/>
      <c r="GA43" s="729"/>
      <c r="GB43" s="729"/>
      <c r="GC43" s="729"/>
      <c r="GD43" s="729"/>
      <c r="GE43" s="729"/>
      <c r="GF43" s="729"/>
      <c r="GG43" s="729"/>
      <c r="GH43" s="729"/>
      <c r="GI43" s="729"/>
      <c r="GJ43" s="729"/>
      <c r="GK43" s="729"/>
      <c r="GL43" s="729"/>
      <c r="GM43" s="729"/>
      <c r="GN43" s="729"/>
      <c r="GO43" s="729"/>
      <c r="GP43" s="729"/>
      <c r="GQ43" s="729"/>
      <c r="GR43" s="729"/>
      <c r="GS43" s="729"/>
      <c r="GT43" s="729"/>
      <c r="GU43" s="729"/>
      <c r="GV43" s="729"/>
      <c r="GW43" s="729"/>
      <c r="GX43" s="729"/>
      <c r="GY43" s="729"/>
      <c r="GZ43" s="729"/>
      <c r="HA43" s="729"/>
      <c r="HB43" s="729"/>
      <c r="HC43" s="729"/>
      <c r="HD43" s="729"/>
      <c r="HE43" s="729"/>
      <c r="HF43" s="729"/>
      <c r="HG43" s="729"/>
      <c r="HH43" s="729"/>
      <c r="HI43" s="729"/>
      <c r="HJ43" s="729"/>
      <c r="HK43" s="729"/>
      <c r="HL43" s="729"/>
      <c r="HM43" s="729"/>
      <c r="HN43" s="729"/>
      <c r="HO43" s="729"/>
      <c r="HP43" s="729"/>
      <c r="HQ43" s="729"/>
      <c r="HR43" s="729"/>
      <c r="HS43" s="729"/>
      <c r="HT43" s="729"/>
      <c r="HU43" s="729"/>
      <c r="HV43" s="729"/>
      <c r="HW43" s="729"/>
      <c r="HX43" s="729"/>
      <c r="HY43" s="729"/>
      <c r="HZ43" s="729"/>
      <c r="IA43" s="729"/>
      <c r="IB43" s="729"/>
      <c r="IC43" s="729"/>
      <c r="ID43" s="729"/>
      <c r="IE43" s="729"/>
      <c r="IF43" s="729"/>
      <c r="IG43" s="729"/>
      <c r="IH43" s="729"/>
      <c r="II43" s="729"/>
      <c r="IJ43" s="729"/>
      <c r="IK43" s="729"/>
      <c r="IL43" s="729"/>
      <c r="IM43" s="729"/>
      <c r="IN43" s="729"/>
      <c r="IO43" s="729"/>
      <c r="IP43" s="729"/>
      <c r="IQ43" s="729"/>
    </row>
    <row r="44" spans="1:251" ht="33.75" customHeight="1">
      <c r="A44" s="728">
        <v>36</v>
      </c>
      <c r="B44" s="742"/>
      <c r="C44" s="748">
        <v>35</v>
      </c>
      <c r="D44" s="1303" t="s">
        <v>799</v>
      </c>
      <c r="E44" s="744">
        <f t="shared" si="1"/>
        <v>275</v>
      </c>
      <c r="F44" s="745"/>
      <c r="G44" s="746"/>
      <c r="H44" s="1011" t="s">
        <v>24</v>
      </c>
      <c r="I44" s="979"/>
      <c r="J44" s="744">
        <v>275</v>
      </c>
      <c r="K44" s="744"/>
      <c r="L44" s="756">
        <f t="shared" si="0"/>
        <v>275</v>
      </c>
      <c r="M44" s="747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29"/>
      <c r="AC44" s="729"/>
      <c r="AD44" s="729"/>
      <c r="AE44" s="729"/>
      <c r="AF44" s="729"/>
      <c r="AG44" s="729"/>
      <c r="AH44" s="729"/>
      <c r="AI44" s="729"/>
      <c r="AJ44" s="729"/>
      <c r="AK44" s="729"/>
      <c r="AL44" s="729"/>
      <c r="AM44" s="729"/>
      <c r="AN44" s="729"/>
      <c r="AO44" s="729"/>
      <c r="AP44" s="729"/>
      <c r="AQ44" s="729"/>
      <c r="AR44" s="729"/>
      <c r="AS44" s="729"/>
      <c r="AT44" s="729"/>
      <c r="AU44" s="729"/>
      <c r="AV44" s="729"/>
      <c r="AW44" s="729"/>
      <c r="AX44" s="729"/>
      <c r="AY44" s="729"/>
      <c r="AZ44" s="729"/>
      <c r="BA44" s="729"/>
      <c r="BB44" s="729"/>
      <c r="BC44" s="729"/>
      <c r="BD44" s="729"/>
      <c r="BE44" s="729"/>
      <c r="BF44" s="729"/>
      <c r="BG44" s="729"/>
      <c r="BH44" s="729"/>
      <c r="BI44" s="729"/>
      <c r="BJ44" s="729"/>
      <c r="BK44" s="729"/>
      <c r="BL44" s="729"/>
      <c r="BM44" s="729"/>
      <c r="BN44" s="729"/>
      <c r="BO44" s="729"/>
      <c r="BP44" s="729"/>
      <c r="BQ44" s="729"/>
      <c r="BR44" s="729"/>
      <c r="BS44" s="729"/>
      <c r="BT44" s="729"/>
      <c r="BU44" s="729"/>
      <c r="BV44" s="729"/>
      <c r="BW44" s="729"/>
      <c r="BX44" s="729"/>
      <c r="BY44" s="729"/>
      <c r="BZ44" s="729"/>
      <c r="CA44" s="729"/>
      <c r="CB44" s="729"/>
      <c r="CC44" s="729"/>
      <c r="CD44" s="729"/>
      <c r="CE44" s="729"/>
      <c r="CF44" s="729"/>
      <c r="CG44" s="729"/>
      <c r="CH44" s="729"/>
      <c r="CI44" s="729"/>
      <c r="CJ44" s="729"/>
      <c r="CK44" s="729"/>
      <c r="CL44" s="729"/>
      <c r="CM44" s="729"/>
      <c r="CN44" s="729"/>
      <c r="CO44" s="729"/>
      <c r="CP44" s="729"/>
      <c r="CQ44" s="729"/>
      <c r="CR44" s="729"/>
      <c r="CS44" s="729"/>
      <c r="CT44" s="729"/>
      <c r="CU44" s="729"/>
      <c r="CV44" s="729"/>
      <c r="CW44" s="729"/>
      <c r="CX44" s="729"/>
      <c r="CY44" s="729"/>
      <c r="CZ44" s="729"/>
      <c r="DA44" s="729"/>
      <c r="DB44" s="729"/>
      <c r="DC44" s="729"/>
      <c r="DD44" s="729"/>
      <c r="DE44" s="729"/>
      <c r="DF44" s="729"/>
      <c r="DG44" s="729"/>
      <c r="DH44" s="729"/>
      <c r="DI44" s="729"/>
      <c r="DJ44" s="729"/>
      <c r="DK44" s="729"/>
      <c r="DL44" s="729"/>
      <c r="DM44" s="729"/>
      <c r="DN44" s="729"/>
      <c r="DO44" s="729"/>
      <c r="DP44" s="729"/>
      <c r="DQ44" s="729"/>
      <c r="DR44" s="729"/>
      <c r="DS44" s="729"/>
      <c r="DT44" s="729"/>
      <c r="DU44" s="729"/>
      <c r="DV44" s="729"/>
      <c r="DW44" s="729"/>
      <c r="DX44" s="729"/>
      <c r="DY44" s="729"/>
      <c r="DZ44" s="729"/>
      <c r="EA44" s="729"/>
      <c r="EB44" s="729"/>
      <c r="EC44" s="729"/>
      <c r="ED44" s="729"/>
      <c r="EE44" s="729"/>
      <c r="EF44" s="729"/>
      <c r="EG44" s="729"/>
      <c r="EH44" s="729"/>
      <c r="EI44" s="729"/>
      <c r="EJ44" s="729"/>
      <c r="EK44" s="729"/>
      <c r="EL44" s="729"/>
      <c r="EM44" s="729"/>
      <c r="EN44" s="729"/>
      <c r="EO44" s="729"/>
      <c r="EP44" s="729"/>
      <c r="EQ44" s="729"/>
      <c r="ER44" s="729"/>
      <c r="ES44" s="729"/>
      <c r="ET44" s="729"/>
      <c r="EU44" s="729"/>
      <c r="EV44" s="729"/>
      <c r="EW44" s="729"/>
      <c r="EX44" s="729"/>
      <c r="EY44" s="729"/>
      <c r="EZ44" s="729"/>
      <c r="FA44" s="729"/>
      <c r="FB44" s="729"/>
      <c r="FC44" s="729"/>
      <c r="FD44" s="729"/>
      <c r="FE44" s="729"/>
      <c r="FF44" s="729"/>
      <c r="FG44" s="729"/>
      <c r="FH44" s="729"/>
      <c r="FI44" s="729"/>
      <c r="FJ44" s="729"/>
      <c r="FK44" s="729"/>
      <c r="FL44" s="729"/>
      <c r="FM44" s="729"/>
      <c r="FN44" s="729"/>
      <c r="FO44" s="729"/>
      <c r="FP44" s="729"/>
      <c r="FQ44" s="729"/>
      <c r="FR44" s="729"/>
      <c r="FS44" s="729"/>
      <c r="FT44" s="729"/>
      <c r="FU44" s="729"/>
      <c r="FV44" s="729"/>
      <c r="FW44" s="729"/>
      <c r="FX44" s="729"/>
      <c r="FY44" s="729"/>
      <c r="FZ44" s="729"/>
      <c r="GA44" s="729"/>
      <c r="GB44" s="729"/>
      <c r="GC44" s="729"/>
      <c r="GD44" s="729"/>
      <c r="GE44" s="729"/>
      <c r="GF44" s="729"/>
      <c r="GG44" s="729"/>
      <c r="GH44" s="729"/>
      <c r="GI44" s="729"/>
      <c r="GJ44" s="729"/>
      <c r="GK44" s="729"/>
      <c r="GL44" s="729"/>
      <c r="GM44" s="729"/>
      <c r="GN44" s="729"/>
      <c r="GO44" s="729"/>
      <c r="GP44" s="729"/>
      <c r="GQ44" s="729"/>
      <c r="GR44" s="729"/>
      <c r="GS44" s="729"/>
      <c r="GT44" s="729"/>
      <c r="GU44" s="729"/>
      <c r="GV44" s="729"/>
      <c r="GW44" s="729"/>
      <c r="GX44" s="729"/>
      <c r="GY44" s="729"/>
      <c r="GZ44" s="729"/>
      <c r="HA44" s="729"/>
      <c r="HB44" s="729"/>
      <c r="HC44" s="729"/>
      <c r="HD44" s="729"/>
      <c r="HE44" s="729"/>
      <c r="HF44" s="729"/>
      <c r="HG44" s="729"/>
      <c r="HH44" s="729"/>
      <c r="HI44" s="729"/>
      <c r="HJ44" s="729"/>
      <c r="HK44" s="729"/>
      <c r="HL44" s="729"/>
      <c r="HM44" s="729"/>
      <c r="HN44" s="729"/>
      <c r="HO44" s="729"/>
      <c r="HP44" s="729"/>
      <c r="HQ44" s="729"/>
      <c r="HR44" s="729"/>
      <c r="HS44" s="729"/>
      <c r="HT44" s="729"/>
      <c r="HU44" s="729"/>
      <c r="HV44" s="729"/>
      <c r="HW44" s="729"/>
      <c r="HX44" s="729"/>
      <c r="HY44" s="729"/>
      <c r="HZ44" s="729"/>
      <c r="IA44" s="729"/>
      <c r="IB44" s="729"/>
      <c r="IC44" s="729"/>
      <c r="ID44" s="729"/>
      <c r="IE44" s="729"/>
      <c r="IF44" s="729"/>
      <c r="IG44" s="729"/>
      <c r="IH44" s="729"/>
      <c r="II44" s="729"/>
      <c r="IJ44" s="729"/>
      <c r="IK44" s="729"/>
      <c r="IL44" s="729"/>
      <c r="IM44" s="729"/>
      <c r="IN44" s="729"/>
      <c r="IO44" s="729"/>
      <c r="IP44" s="729"/>
      <c r="IQ44" s="729"/>
    </row>
    <row r="45" spans="1:251" ht="35.25" customHeight="1">
      <c r="A45" s="728">
        <v>37</v>
      </c>
      <c r="B45" s="742"/>
      <c r="C45" s="748">
        <v>36</v>
      </c>
      <c r="D45" s="1303" t="s">
        <v>876</v>
      </c>
      <c r="E45" s="744">
        <f t="shared" si="1"/>
        <v>10</v>
      </c>
      <c r="F45" s="745"/>
      <c r="G45" s="746"/>
      <c r="H45" s="1011" t="s">
        <v>24</v>
      </c>
      <c r="I45" s="979"/>
      <c r="J45" s="744">
        <v>10</v>
      </c>
      <c r="K45" s="744"/>
      <c r="L45" s="756">
        <f t="shared" si="0"/>
        <v>10</v>
      </c>
      <c r="M45" s="747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729"/>
      <c r="BE45" s="729"/>
      <c r="BF45" s="729"/>
      <c r="BG45" s="729"/>
      <c r="BH45" s="729"/>
      <c r="BI45" s="729"/>
      <c r="BJ45" s="729"/>
      <c r="BK45" s="729"/>
      <c r="BL45" s="729"/>
      <c r="BM45" s="729"/>
      <c r="BN45" s="729"/>
      <c r="BO45" s="729"/>
      <c r="BP45" s="729"/>
      <c r="BQ45" s="729"/>
      <c r="BR45" s="729"/>
      <c r="BS45" s="729"/>
      <c r="BT45" s="729"/>
      <c r="BU45" s="729"/>
      <c r="BV45" s="729"/>
      <c r="BW45" s="729"/>
      <c r="BX45" s="729"/>
      <c r="BY45" s="729"/>
      <c r="BZ45" s="729"/>
      <c r="CA45" s="729"/>
      <c r="CB45" s="729"/>
      <c r="CC45" s="729"/>
      <c r="CD45" s="729"/>
      <c r="CE45" s="729"/>
      <c r="CF45" s="729"/>
      <c r="CG45" s="729"/>
      <c r="CH45" s="729"/>
      <c r="CI45" s="729"/>
      <c r="CJ45" s="729"/>
      <c r="CK45" s="729"/>
      <c r="CL45" s="729"/>
      <c r="CM45" s="729"/>
      <c r="CN45" s="729"/>
      <c r="CO45" s="729"/>
      <c r="CP45" s="729"/>
      <c r="CQ45" s="729"/>
      <c r="CR45" s="729"/>
      <c r="CS45" s="729"/>
      <c r="CT45" s="729"/>
      <c r="CU45" s="729"/>
      <c r="CV45" s="729"/>
      <c r="CW45" s="729"/>
      <c r="CX45" s="729"/>
      <c r="CY45" s="729"/>
      <c r="CZ45" s="729"/>
      <c r="DA45" s="729"/>
      <c r="DB45" s="729"/>
      <c r="DC45" s="729"/>
      <c r="DD45" s="729"/>
      <c r="DE45" s="729"/>
      <c r="DF45" s="729"/>
      <c r="DG45" s="729"/>
      <c r="DH45" s="729"/>
      <c r="DI45" s="729"/>
      <c r="DJ45" s="729"/>
      <c r="DK45" s="729"/>
      <c r="DL45" s="729"/>
      <c r="DM45" s="729"/>
      <c r="DN45" s="729"/>
      <c r="DO45" s="729"/>
      <c r="DP45" s="729"/>
      <c r="DQ45" s="729"/>
      <c r="DR45" s="729"/>
      <c r="DS45" s="729"/>
      <c r="DT45" s="729"/>
      <c r="DU45" s="729"/>
      <c r="DV45" s="729"/>
      <c r="DW45" s="729"/>
      <c r="DX45" s="729"/>
      <c r="DY45" s="729"/>
      <c r="DZ45" s="729"/>
      <c r="EA45" s="729"/>
      <c r="EB45" s="729"/>
      <c r="EC45" s="729"/>
      <c r="ED45" s="729"/>
      <c r="EE45" s="729"/>
      <c r="EF45" s="729"/>
      <c r="EG45" s="729"/>
      <c r="EH45" s="729"/>
      <c r="EI45" s="729"/>
      <c r="EJ45" s="729"/>
      <c r="EK45" s="729"/>
      <c r="EL45" s="729"/>
      <c r="EM45" s="729"/>
      <c r="EN45" s="729"/>
      <c r="EO45" s="729"/>
      <c r="EP45" s="729"/>
      <c r="EQ45" s="729"/>
      <c r="ER45" s="729"/>
      <c r="ES45" s="729"/>
      <c r="ET45" s="729"/>
      <c r="EU45" s="729"/>
      <c r="EV45" s="729"/>
      <c r="EW45" s="729"/>
      <c r="EX45" s="729"/>
      <c r="EY45" s="729"/>
      <c r="EZ45" s="729"/>
      <c r="FA45" s="729"/>
      <c r="FB45" s="729"/>
      <c r="FC45" s="729"/>
      <c r="FD45" s="729"/>
      <c r="FE45" s="729"/>
      <c r="FF45" s="729"/>
      <c r="FG45" s="729"/>
      <c r="FH45" s="729"/>
      <c r="FI45" s="729"/>
      <c r="FJ45" s="729"/>
      <c r="FK45" s="729"/>
      <c r="FL45" s="729"/>
      <c r="FM45" s="729"/>
      <c r="FN45" s="729"/>
      <c r="FO45" s="729"/>
      <c r="FP45" s="729"/>
      <c r="FQ45" s="729"/>
      <c r="FR45" s="729"/>
      <c r="FS45" s="729"/>
      <c r="FT45" s="729"/>
      <c r="FU45" s="729"/>
      <c r="FV45" s="729"/>
      <c r="FW45" s="729"/>
      <c r="FX45" s="729"/>
      <c r="FY45" s="729"/>
      <c r="FZ45" s="729"/>
      <c r="GA45" s="729"/>
      <c r="GB45" s="729"/>
      <c r="GC45" s="729"/>
      <c r="GD45" s="729"/>
      <c r="GE45" s="729"/>
      <c r="GF45" s="729"/>
      <c r="GG45" s="729"/>
      <c r="GH45" s="729"/>
      <c r="GI45" s="729"/>
      <c r="GJ45" s="729"/>
      <c r="GK45" s="729"/>
      <c r="GL45" s="729"/>
      <c r="GM45" s="729"/>
      <c r="GN45" s="729"/>
      <c r="GO45" s="729"/>
      <c r="GP45" s="729"/>
      <c r="GQ45" s="729"/>
      <c r="GR45" s="729"/>
      <c r="GS45" s="729"/>
      <c r="GT45" s="729"/>
      <c r="GU45" s="729"/>
      <c r="GV45" s="729"/>
      <c r="GW45" s="729"/>
      <c r="GX45" s="729"/>
      <c r="GY45" s="729"/>
      <c r="GZ45" s="729"/>
      <c r="HA45" s="729"/>
      <c r="HB45" s="729"/>
      <c r="HC45" s="729"/>
      <c r="HD45" s="729"/>
      <c r="HE45" s="729"/>
      <c r="HF45" s="729"/>
      <c r="HG45" s="729"/>
      <c r="HH45" s="729"/>
      <c r="HI45" s="729"/>
      <c r="HJ45" s="729"/>
      <c r="HK45" s="729"/>
      <c r="HL45" s="729"/>
      <c r="HM45" s="729"/>
      <c r="HN45" s="729"/>
      <c r="HO45" s="729"/>
      <c r="HP45" s="729"/>
      <c r="HQ45" s="729"/>
      <c r="HR45" s="729"/>
      <c r="HS45" s="729"/>
      <c r="HT45" s="729"/>
      <c r="HU45" s="729"/>
      <c r="HV45" s="729"/>
      <c r="HW45" s="729"/>
      <c r="HX45" s="729"/>
      <c r="HY45" s="729"/>
      <c r="HZ45" s="729"/>
      <c r="IA45" s="729"/>
      <c r="IB45" s="729"/>
      <c r="IC45" s="729"/>
      <c r="ID45" s="729"/>
      <c r="IE45" s="729"/>
      <c r="IF45" s="729"/>
      <c r="IG45" s="729"/>
      <c r="IH45" s="729"/>
      <c r="II45" s="729"/>
      <c r="IJ45" s="729"/>
      <c r="IK45" s="729"/>
      <c r="IL45" s="729"/>
      <c r="IM45" s="729"/>
      <c r="IN45" s="729"/>
      <c r="IO45" s="729"/>
      <c r="IP45" s="729"/>
      <c r="IQ45" s="729"/>
    </row>
    <row r="46" spans="1:251" ht="22.5" customHeight="1">
      <c r="A46" s="728">
        <v>38</v>
      </c>
      <c r="B46" s="742"/>
      <c r="C46" s="743">
        <v>37</v>
      </c>
      <c r="D46" s="1303" t="s">
        <v>877</v>
      </c>
      <c r="E46" s="744">
        <f t="shared" si="1"/>
        <v>140048</v>
      </c>
      <c r="F46" s="745"/>
      <c r="G46" s="746"/>
      <c r="H46" s="1011" t="s">
        <v>24</v>
      </c>
      <c r="I46" s="979"/>
      <c r="J46" s="744">
        <v>140048</v>
      </c>
      <c r="K46" s="744"/>
      <c r="L46" s="756">
        <f t="shared" si="0"/>
        <v>140048</v>
      </c>
      <c r="M46" s="747"/>
      <c r="N46" s="729"/>
      <c r="O46" s="729"/>
      <c r="P46" s="729"/>
      <c r="Q46" s="729"/>
      <c r="R46" s="729"/>
      <c r="S46" s="729"/>
      <c r="T46" s="729"/>
      <c r="U46" s="729"/>
      <c r="V46" s="729"/>
      <c r="W46" s="729"/>
      <c r="X46" s="729"/>
      <c r="Y46" s="729"/>
      <c r="Z46" s="72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29"/>
      <c r="AL46" s="729"/>
      <c r="AM46" s="729"/>
      <c r="AN46" s="729"/>
      <c r="AO46" s="729"/>
      <c r="AP46" s="729"/>
      <c r="AQ46" s="729"/>
      <c r="AR46" s="729"/>
      <c r="AS46" s="729"/>
      <c r="AT46" s="729"/>
      <c r="AU46" s="729"/>
      <c r="AV46" s="729"/>
      <c r="AW46" s="729"/>
      <c r="AX46" s="729"/>
      <c r="AY46" s="729"/>
      <c r="AZ46" s="729"/>
      <c r="BA46" s="729"/>
      <c r="BB46" s="729"/>
      <c r="BC46" s="729"/>
      <c r="BD46" s="729"/>
      <c r="BE46" s="729"/>
      <c r="BF46" s="729"/>
      <c r="BG46" s="729"/>
      <c r="BH46" s="729"/>
      <c r="BI46" s="729"/>
      <c r="BJ46" s="729"/>
      <c r="BK46" s="729"/>
      <c r="BL46" s="729"/>
      <c r="BM46" s="729"/>
      <c r="BN46" s="729"/>
      <c r="BO46" s="729"/>
      <c r="BP46" s="729"/>
      <c r="BQ46" s="729"/>
      <c r="BR46" s="729"/>
      <c r="BS46" s="729"/>
      <c r="BT46" s="729"/>
      <c r="BU46" s="729"/>
      <c r="BV46" s="729"/>
      <c r="BW46" s="729"/>
      <c r="BX46" s="729"/>
      <c r="BY46" s="729"/>
      <c r="BZ46" s="729"/>
      <c r="CA46" s="729"/>
      <c r="CB46" s="729"/>
      <c r="CC46" s="729"/>
      <c r="CD46" s="729"/>
      <c r="CE46" s="729"/>
      <c r="CF46" s="729"/>
      <c r="CG46" s="729"/>
      <c r="CH46" s="729"/>
      <c r="CI46" s="729"/>
      <c r="CJ46" s="729"/>
      <c r="CK46" s="729"/>
      <c r="CL46" s="729"/>
      <c r="CM46" s="729"/>
      <c r="CN46" s="729"/>
      <c r="CO46" s="729"/>
      <c r="CP46" s="729"/>
      <c r="CQ46" s="729"/>
      <c r="CR46" s="729"/>
      <c r="CS46" s="729"/>
      <c r="CT46" s="729"/>
      <c r="CU46" s="729"/>
      <c r="CV46" s="729"/>
      <c r="CW46" s="729"/>
      <c r="CX46" s="729"/>
      <c r="CY46" s="729"/>
      <c r="CZ46" s="729"/>
      <c r="DA46" s="729"/>
      <c r="DB46" s="729"/>
      <c r="DC46" s="729"/>
      <c r="DD46" s="729"/>
      <c r="DE46" s="729"/>
      <c r="DF46" s="729"/>
      <c r="DG46" s="729"/>
      <c r="DH46" s="729"/>
      <c r="DI46" s="729"/>
      <c r="DJ46" s="729"/>
      <c r="DK46" s="729"/>
      <c r="DL46" s="729"/>
      <c r="DM46" s="729"/>
      <c r="DN46" s="729"/>
      <c r="DO46" s="729"/>
      <c r="DP46" s="729"/>
      <c r="DQ46" s="729"/>
      <c r="DR46" s="729"/>
      <c r="DS46" s="729"/>
      <c r="DT46" s="729"/>
      <c r="DU46" s="729"/>
      <c r="DV46" s="729"/>
      <c r="DW46" s="729"/>
      <c r="DX46" s="729"/>
      <c r="DY46" s="729"/>
      <c r="DZ46" s="729"/>
      <c r="EA46" s="729"/>
      <c r="EB46" s="729"/>
      <c r="EC46" s="729"/>
      <c r="ED46" s="729"/>
      <c r="EE46" s="729"/>
      <c r="EF46" s="729"/>
      <c r="EG46" s="729"/>
      <c r="EH46" s="729"/>
      <c r="EI46" s="729"/>
      <c r="EJ46" s="729"/>
      <c r="EK46" s="729"/>
      <c r="EL46" s="729"/>
      <c r="EM46" s="729"/>
      <c r="EN46" s="729"/>
      <c r="EO46" s="729"/>
      <c r="EP46" s="729"/>
      <c r="EQ46" s="729"/>
      <c r="ER46" s="729"/>
      <c r="ES46" s="729"/>
      <c r="ET46" s="729"/>
      <c r="EU46" s="729"/>
      <c r="EV46" s="729"/>
      <c r="EW46" s="729"/>
      <c r="EX46" s="729"/>
      <c r="EY46" s="729"/>
      <c r="EZ46" s="729"/>
      <c r="FA46" s="729"/>
      <c r="FB46" s="729"/>
      <c r="FC46" s="729"/>
      <c r="FD46" s="729"/>
      <c r="FE46" s="729"/>
      <c r="FF46" s="729"/>
      <c r="FG46" s="729"/>
      <c r="FH46" s="729"/>
      <c r="FI46" s="729"/>
      <c r="FJ46" s="729"/>
      <c r="FK46" s="729"/>
      <c r="FL46" s="729"/>
      <c r="FM46" s="729"/>
      <c r="FN46" s="729"/>
      <c r="FO46" s="729"/>
      <c r="FP46" s="729"/>
      <c r="FQ46" s="729"/>
      <c r="FR46" s="729"/>
      <c r="FS46" s="729"/>
      <c r="FT46" s="729"/>
      <c r="FU46" s="729"/>
      <c r="FV46" s="729"/>
      <c r="FW46" s="729"/>
      <c r="FX46" s="729"/>
      <c r="FY46" s="729"/>
      <c r="FZ46" s="729"/>
      <c r="GA46" s="729"/>
      <c r="GB46" s="729"/>
      <c r="GC46" s="729"/>
      <c r="GD46" s="729"/>
      <c r="GE46" s="729"/>
      <c r="GF46" s="729"/>
      <c r="GG46" s="729"/>
      <c r="GH46" s="729"/>
      <c r="GI46" s="729"/>
      <c r="GJ46" s="729"/>
      <c r="GK46" s="729"/>
      <c r="GL46" s="729"/>
      <c r="GM46" s="729"/>
      <c r="GN46" s="729"/>
      <c r="GO46" s="729"/>
      <c r="GP46" s="729"/>
      <c r="GQ46" s="729"/>
      <c r="GR46" s="729"/>
      <c r="GS46" s="729"/>
      <c r="GT46" s="729"/>
      <c r="GU46" s="729"/>
      <c r="GV46" s="729"/>
      <c r="GW46" s="729"/>
      <c r="GX46" s="729"/>
      <c r="GY46" s="729"/>
      <c r="GZ46" s="729"/>
      <c r="HA46" s="729"/>
      <c r="HB46" s="729"/>
      <c r="HC46" s="729"/>
      <c r="HD46" s="729"/>
      <c r="HE46" s="729"/>
      <c r="HF46" s="729"/>
      <c r="HG46" s="729"/>
      <c r="HH46" s="729"/>
      <c r="HI46" s="729"/>
      <c r="HJ46" s="729"/>
      <c r="HK46" s="729"/>
      <c r="HL46" s="729"/>
      <c r="HM46" s="729"/>
      <c r="HN46" s="729"/>
      <c r="HO46" s="729"/>
      <c r="HP46" s="729"/>
      <c r="HQ46" s="729"/>
      <c r="HR46" s="729"/>
      <c r="HS46" s="729"/>
      <c r="HT46" s="729"/>
      <c r="HU46" s="729"/>
      <c r="HV46" s="729"/>
      <c r="HW46" s="729"/>
      <c r="HX46" s="729"/>
      <c r="HY46" s="729"/>
      <c r="HZ46" s="729"/>
      <c r="IA46" s="729"/>
      <c r="IB46" s="729"/>
      <c r="IC46" s="729"/>
      <c r="ID46" s="729"/>
      <c r="IE46" s="729"/>
      <c r="IF46" s="729"/>
      <c r="IG46" s="729"/>
      <c r="IH46" s="729"/>
      <c r="II46" s="729"/>
      <c r="IJ46" s="729"/>
      <c r="IK46" s="729"/>
      <c r="IL46" s="729"/>
      <c r="IM46" s="729"/>
      <c r="IN46" s="729"/>
      <c r="IO46" s="729"/>
      <c r="IP46" s="729"/>
      <c r="IQ46" s="729"/>
    </row>
    <row r="47" spans="1:13" ht="22.5" customHeight="1">
      <c r="A47" s="728">
        <v>39</v>
      </c>
      <c r="B47" s="742"/>
      <c r="C47" s="748">
        <v>38</v>
      </c>
      <c r="D47" s="1303" t="s">
        <v>800</v>
      </c>
      <c r="E47" s="744">
        <f t="shared" si="1"/>
        <v>20000</v>
      </c>
      <c r="F47" s="745"/>
      <c r="G47" s="746"/>
      <c r="H47" s="1011" t="s">
        <v>23</v>
      </c>
      <c r="I47" s="979"/>
      <c r="J47" s="744"/>
      <c r="K47" s="744">
        <v>20000</v>
      </c>
      <c r="L47" s="756">
        <f>SUM(I47:K47)</f>
        <v>20000</v>
      </c>
      <c r="M47" s="747"/>
    </row>
    <row r="48" spans="1:13" ht="22.5" customHeight="1">
      <c r="A48" s="728">
        <v>40</v>
      </c>
      <c r="B48" s="742"/>
      <c r="C48" s="743"/>
      <c r="D48" s="1310" t="s">
        <v>821</v>
      </c>
      <c r="E48" s="744"/>
      <c r="F48" s="745"/>
      <c r="G48" s="746"/>
      <c r="H48" s="1011" t="s">
        <v>23</v>
      </c>
      <c r="I48" s="744"/>
      <c r="J48" s="744"/>
      <c r="K48" s="744"/>
      <c r="L48" s="756">
        <f>SUM(I48:K48)</f>
        <v>0</v>
      </c>
      <c r="M48" s="1311"/>
    </row>
    <row r="49" spans="1:13" ht="34.5" customHeight="1" thickBot="1">
      <c r="A49" s="728">
        <v>41</v>
      </c>
      <c r="B49" s="742"/>
      <c r="C49" s="748">
        <v>39</v>
      </c>
      <c r="D49" s="1303" t="s">
        <v>949</v>
      </c>
      <c r="E49" s="744">
        <f t="shared" si="1"/>
        <v>80000</v>
      </c>
      <c r="F49" s="745"/>
      <c r="G49" s="746"/>
      <c r="H49" s="1011"/>
      <c r="I49" s="744"/>
      <c r="J49" s="744">
        <v>80000</v>
      </c>
      <c r="K49" s="744"/>
      <c r="L49" s="756">
        <f>SUM(I49:K49)</f>
        <v>80000</v>
      </c>
      <c r="M49" s="1311"/>
    </row>
    <row r="50" spans="1:13" ht="36" customHeight="1" thickBot="1">
      <c r="A50" s="728">
        <v>42</v>
      </c>
      <c r="B50" s="1743" t="s">
        <v>13</v>
      </c>
      <c r="C50" s="1744"/>
      <c r="D50" s="1744"/>
      <c r="E50" s="1744"/>
      <c r="F50" s="1744"/>
      <c r="G50" s="1745"/>
      <c r="H50" s="983"/>
      <c r="I50" s="980">
        <f>SUM(I10:I49)</f>
        <v>1183</v>
      </c>
      <c r="J50" s="980">
        <f>SUM(J10:J49)</f>
        <v>1113878</v>
      </c>
      <c r="K50" s="980">
        <f>SUM(K10:K49)</f>
        <v>20000</v>
      </c>
      <c r="L50" s="980">
        <f>SUM(L10:L49)</f>
        <v>1135061</v>
      </c>
      <c r="M50" s="982"/>
    </row>
    <row r="51" spans="2:12" ht="18" customHeight="1">
      <c r="B51" s="722" t="s">
        <v>27</v>
      </c>
      <c r="C51" s="722"/>
      <c r="D51" s="722"/>
      <c r="E51" s="723"/>
      <c r="F51" s="724"/>
      <c r="G51" s="723"/>
      <c r="H51" s="711"/>
      <c r="I51" s="723"/>
      <c r="J51" s="723"/>
      <c r="K51" s="723"/>
      <c r="L51" s="723"/>
    </row>
    <row r="52" spans="2:12" ht="18" customHeight="1">
      <c r="B52" s="722" t="s">
        <v>28</v>
      </c>
      <c r="C52" s="722"/>
      <c r="D52" s="722"/>
      <c r="E52" s="712"/>
      <c r="F52" s="724"/>
      <c r="G52" s="723"/>
      <c r="H52" s="711"/>
      <c r="I52" s="723"/>
      <c r="J52" s="723"/>
      <c r="K52" s="723"/>
      <c r="L52" s="723"/>
    </row>
    <row r="53" spans="2:12" ht="18" customHeight="1">
      <c r="B53" s="722" t="s">
        <v>29</v>
      </c>
      <c r="C53" s="722"/>
      <c r="D53" s="722"/>
      <c r="E53" s="712"/>
      <c r="F53" s="724"/>
      <c r="G53" s="723"/>
      <c r="H53" s="711"/>
      <c r="I53" s="723"/>
      <c r="J53" s="723"/>
      <c r="K53" s="723"/>
      <c r="L53" s="723"/>
    </row>
  </sheetData>
  <sheetProtection/>
  <mergeCells count="16">
    <mergeCell ref="B1:D1"/>
    <mergeCell ref="B50:G50"/>
    <mergeCell ref="I1:M1"/>
    <mergeCell ref="B2:M2"/>
    <mergeCell ref="B3:M3"/>
    <mergeCell ref="I6:L6"/>
    <mergeCell ref="M6:M8"/>
    <mergeCell ref="E6:E8"/>
    <mergeCell ref="B6:B8"/>
    <mergeCell ref="C6:C8"/>
    <mergeCell ref="D6:D8"/>
    <mergeCell ref="J7:K7"/>
    <mergeCell ref="L7:L8"/>
    <mergeCell ref="H6:H8"/>
    <mergeCell ref="G6:G8"/>
    <mergeCell ref="F6:F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49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1" sqref="B1:F1"/>
      <selection pane="bottomLeft" activeCell="L6" sqref="L6:L8"/>
    </sheetView>
  </sheetViews>
  <sheetFormatPr defaultColWidth="9.00390625" defaultRowHeight="12.75"/>
  <cols>
    <col min="1" max="1" width="3.625" style="727" customWidth="1"/>
    <col min="2" max="2" width="5.75390625" style="715" customWidth="1"/>
    <col min="3" max="3" width="5.75390625" style="716" customWidth="1"/>
    <col min="4" max="4" width="59.75390625" style="717" customWidth="1"/>
    <col min="5" max="7" width="10.75390625" style="713" customWidth="1"/>
    <col min="8" max="8" width="6.75390625" style="718" customWidth="1"/>
    <col min="9" max="10" width="14.875" style="713" customWidth="1"/>
    <col min="11" max="11" width="15.75390625" style="713" customWidth="1"/>
    <col min="12" max="12" width="13.75390625" style="725" customWidth="1"/>
    <col min="13" max="16384" width="9.125" style="714" customWidth="1"/>
  </cols>
  <sheetData>
    <row r="1" spans="1:250" s="433" customFormat="1" ht="18" customHeight="1">
      <c r="A1" s="726"/>
      <c r="B1" s="1742" t="s">
        <v>649</v>
      </c>
      <c r="C1" s="1742"/>
      <c r="D1" s="1742"/>
      <c r="E1" s="642"/>
      <c r="F1" s="642"/>
      <c r="G1" s="642"/>
      <c r="H1" s="641"/>
      <c r="I1" s="1746"/>
      <c r="J1" s="1746"/>
      <c r="K1" s="1746"/>
      <c r="L1" s="1746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  <c r="BL1" s="643"/>
      <c r="BM1" s="643"/>
      <c r="BN1" s="643"/>
      <c r="BO1" s="643"/>
      <c r="BP1" s="643"/>
      <c r="BQ1" s="643"/>
      <c r="BR1" s="643"/>
      <c r="BS1" s="643"/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3"/>
      <c r="CE1" s="643"/>
      <c r="CF1" s="643"/>
      <c r="CG1" s="643"/>
      <c r="CH1" s="643"/>
      <c r="CI1" s="643"/>
      <c r="CJ1" s="643"/>
      <c r="CK1" s="643"/>
      <c r="CL1" s="643"/>
      <c r="CM1" s="643"/>
      <c r="CN1" s="643"/>
      <c r="CO1" s="643"/>
      <c r="CP1" s="643"/>
      <c r="CQ1" s="643"/>
      <c r="CR1" s="643"/>
      <c r="CS1" s="643"/>
      <c r="CT1" s="643"/>
      <c r="CU1" s="643"/>
      <c r="CV1" s="643"/>
      <c r="CW1" s="643"/>
      <c r="CX1" s="643"/>
      <c r="CY1" s="643"/>
      <c r="CZ1" s="643"/>
      <c r="DA1" s="643"/>
      <c r="DB1" s="643"/>
      <c r="DC1" s="643"/>
      <c r="DD1" s="643"/>
      <c r="DE1" s="643"/>
      <c r="DF1" s="643"/>
      <c r="DG1" s="643"/>
      <c r="DH1" s="643"/>
      <c r="DI1" s="643"/>
      <c r="DJ1" s="643"/>
      <c r="DK1" s="643"/>
      <c r="DL1" s="643"/>
      <c r="DM1" s="643"/>
      <c r="DN1" s="643"/>
      <c r="DO1" s="643"/>
      <c r="DP1" s="643"/>
      <c r="DQ1" s="643"/>
      <c r="DR1" s="643"/>
      <c r="DS1" s="643"/>
      <c r="DT1" s="643"/>
      <c r="DU1" s="643"/>
      <c r="DV1" s="643"/>
      <c r="DW1" s="643"/>
      <c r="DX1" s="643"/>
      <c r="DY1" s="643"/>
      <c r="DZ1" s="643"/>
      <c r="EA1" s="643"/>
      <c r="EB1" s="643"/>
      <c r="EC1" s="643"/>
      <c r="ED1" s="643"/>
      <c r="EE1" s="643"/>
      <c r="EF1" s="643"/>
      <c r="EG1" s="643"/>
      <c r="EH1" s="643"/>
      <c r="EI1" s="643"/>
      <c r="EJ1" s="643"/>
      <c r="EK1" s="643"/>
      <c r="EL1" s="643"/>
      <c r="EM1" s="643"/>
      <c r="EN1" s="643"/>
      <c r="EO1" s="643"/>
      <c r="EP1" s="643"/>
      <c r="EQ1" s="643"/>
      <c r="ER1" s="643"/>
      <c r="ES1" s="643"/>
      <c r="ET1" s="643"/>
      <c r="EU1" s="643"/>
      <c r="EV1" s="643"/>
      <c r="EW1" s="643"/>
      <c r="EX1" s="643"/>
      <c r="EY1" s="643"/>
      <c r="EZ1" s="643"/>
      <c r="FA1" s="643"/>
      <c r="FB1" s="643"/>
      <c r="FC1" s="643"/>
      <c r="FD1" s="643"/>
      <c r="FE1" s="643"/>
      <c r="FF1" s="643"/>
      <c r="FG1" s="643"/>
      <c r="FH1" s="643"/>
      <c r="FI1" s="643"/>
      <c r="FJ1" s="643"/>
      <c r="FK1" s="643"/>
      <c r="FL1" s="643"/>
      <c r="FM1" s="643"/>
      <c r="FN1" s="643"/>
      <c r="FO1" s="643"/>
      <c r="FP1" s="643"/>
      <c r="FQ1" s="643"/>
      <c r="FR1" s="643"/>
      <c r="FS1" s="643"/>
      <c r="FT1" s="643"/>
      <c r="FU1" s="643"/>
      <c r="FV1" s="643"/>
      <c r="FW1" s="643"/>
      <c r="FX1" s="643"/>
      <c r="FY1" s="643"/>
      <c r="FZ1" s="643"/>
      <c r="GA1" s="643"/>
      <c r="GB1" s="643"/>
      <c r="GC1" s="643"/>
      <c r="GD1" s="643"/>
      <c r="GE1" s="643"/>
      <c r="GF1" s="643"/>
      <c r="GG1" s="643"/>
      <c r="GH1" s="643"/>
      <c r="GI1" s="643"/>
      <c r="GJ1" s="643"/>
      <c r="GK1" s="643"/>
      <c r="GL1" s="643"/>
      <c r="GM1" s="643"/>
      <c r="GN1" s="643"/>
      <c r="GO1" s="643"/>
      <c r="GP1" s="643"/>
      <c r="GQ1" s="643"/>
      <c r="GR1" s="643"/>
      <c r="GS1" s="643"/>
      <c r="GT1" s="643"/>
      <c r="GU1" s="643"/>
      <c r="GV1" s="643"/>
      <c r="GW1" s="643"/>
      <c r="GX1" s="643"/>
      <c r="GY1" s="643"/>
      <c r="GZ1" s="643"/>
      <c r="HA1" s="643"/>
      <c r="HB1" s="643"/>
      <c r="HC1" s="643"/>
      <c r="HD1" s="643"/>
      <c r="HE1" s="643"/>
      <c r="HF1" s="643"/>
      <c r="HG1" s="643"/>
      <c r="HH1" s="643"/>
      <c r="HI1" s="643"/>
      <c r="HJ1" s="643"/>
      <c r="HK1" s="643"/>
      <c r="HL1" s="643"/>
      <c r="HM1" s="643"/>
      <c r="HN1" s="643"/>
      <c r="HO1" s="643"/>
      <c r="HP1" s="643"/>
      <c r="HQ1" s="643"/>
      <c r="HR1" s="643"/>
      <c r="HS1" s="643"/>
      <c r="HT1" s="643"/>
      <c r="HU1" s="643"/>
      <c r="HV1" s="643"/>
      <c r="HW1" s="643"/>
      <c r="HX1" s="643"/>
      <c r="HY1" s="643"/>
      <c r="HZ1" s="643"/>
      <c r="IA1" s="643"/>
      <c r="IB1" s="643"/>
      <c r="IC1" s="643"/>
      <c r="ID1" s="643"/>
      <c r="IE1" s="643"/>
      <c r="IF1" s="643"/>
      <c r="IG1" s="643"/>
      <c r="IH1" s="643"/>
      <c r="II1" s="643"/>
      <c r="IJ1" s="643"/>
      <c r="IK1" s="643"/>
      <c r="IL1" s="643"/>
      <c r="IM1" s="643"/>
      <c r="IN1" s="643"/>
      <c r="IO1" s="643"/>
      <c r="IP1" s="643"/>
    </row>
    <row r="2" spans="1:12" s="433" customFormat="1" ht="18" customHeight="1">
      <c r="A2" s="727"/>
      <c r="B2" s="1747" t="s">
        <v>14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</row>
    <row r="3" spans="1:12" s="433" customFormat="1" ht="18" customHeight="1">
      <c r="A3" s="727"/>
      <c r="B3" s="1748" t="s">
        <v>803</v>
      </c>
      <c r="C3" s="1748"/>
      <c r="D3" s="1748"/>
      <c r="E3" s="1748"/>
      <c r="F3" s="1748"/>
      <c r="G3" s="1748"/>
      <c r="H3" s="1748"/>
      <c r="I3" s="1748"/>
      <c r="J3" s="1748"/>
      <c r="K3" s="1748"/>
      <c r="L3" s="1748"/>
    </row>
    <row r="4" ht="18" customHeight="1">
      <c r="L4" s="719" t="s">
        <v>0</v>
      </c>
    </row>
    <row r="5" spans="1:250" s="134" customFormat="1" ht="18" customHeight="1" thickBot="1">
      <c r="A5" s="727"/>
      <c r="B5" s="749" t="s">
        <v>1</v>
      </c>
      <c r="C5" s="750" t="s">
        <v>3</v>
      </c>
      <c r="D5" s="750" t="s">
        <v>2</v>
      </c>
      <c r="E5" s="750" t="s">
        <v>4</v>
      </c>
      <c r="F5" s="750" t="s">
        <v>5</v>
      </c>
      <c r="G5" s="750" t="s">
        <v>15</v>
      </c>
      <c r="H5" s="750" t="s">
        <v>16</v>
      </c>
      <c r="I5" s="750" t="s">
        <v>30</v>
      </c>
      <c r="J5" s="750" t="s">
        <v>23</v>
      </c>
      <c r="K5" s="750" t="s">
        <v>35</v>
      </c>
      <c r="L5" s="750" t="s">
        <v>36</v>
      </c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727"/>
      <c r="AQ5" s="727"/>
      <c r="AR5" s="727"/>
      <c r="AS5" s="727"/>
      <c r="AT5" s="727"/>
      <c r="AU5" s="727"/>
      <c r="AV5" s="727"/>
      <c r="AW5" s="727"/>
      <c r="AX5" s="727"/>
      <c r="AY5" s="727"/>
      <c r="AZ5" s="727"/>
      <c r="BA5" s="727"/>
      <c r="BB5" s="727"/>
      <c r="BC5" s="727"/>
      <c r="BD5" s="727"/>
      <c r="BE5" s="727"/>
      <c r="BF5" s="727"/>
      <c r="BG5" s="727"/>
      <c r="BH5" s="727"/>
      <c r="BI5" s="727"/>
      <c r="BJ5" s="727"/>
      <c r="BK5" s="727"/>
      <c r="BL5" s="727"/>
      <c r="BM5" s="727"/>
      <c r="BN5" s="727"/>
      <c r="BO5" s="727"/>
      <c r="BP5" s="727"/>
      <c r="BQ5" s="727"/>
      <c r="BR5" s="727"/>
      <c r="BS5" s="727"/>
      <c r="BT5" s="727"/>
      <c r="BU5" s="727"/>
      <c r="BV5" s="727"/>
      <c r="BW5" s="727"/>
      <c r="BX5" s="727"/>
      <c r="BY5" s="727"/>
      <c r="BZ5" s="727"/>
      <c r="CA5" s="727"/>
      <c r="CB5" s="727"/>
      <c r="CC5" s="727"/>
      <c r="CD5" s="727"/>
      <c r="CE5" s="727"/>
      <c r="CF5" s="727"/>
      <c r="CG5" s="727"/>
      <c r="CH5" s="727"/>
      <c r="CI5" s="727"/>
      <c r="CJ5" s="727"/>
      <c r="CK5" s="727"/>
      <c r="CL5" s="727"/>
      <c r="CM5" s="727"/>
      <c r="CN5" s="727"/>
      <c r="CO5" s="727"/>
      <c r="CP5" s="727"/>
      <c r="CQ5" s="727"/>
      <c r="CR5" s="727"/>
      <c r="CS5" s="727"/>
      <c r="CT5" s="727"/>
      <c r="CU5" s="727"/>
      <c r="CV5" s="727"/>
      <c r="CW5" s="727"/>
      <c r="CX5" s="727"/>
      <c r="CY5" s="727"/>
      <c r="CZ5" s="727"/>
      <c r="DA5" s="727"/>
      <c r="DB5" s="727"/>
      <c r="DC5" s="727"/>
      <c r="DD5" s="727"/>
      <c r="DE5" s="727"/>
      <c r="DF5" s="727"/>
      <c r="DG5" s="727"/>
      <c r="DH5" s="727"/>
      <c r="DI5" s="727"/>
      <c r="DJ5" s="727"/>
      <c r="DK5" s="727"/>
      <c r="DL5" s="727"/>
      <c r="DM5" s="727"/>
      <c r="DN5" s="727"/>
      <c r="DO5" s="727"/>
      <c r="DP5" s="727"/>
      <c r="DQ5" s="727"/>
      <c r="DR5" s="727"/>
      <c r="DS5" s="727"/>
      <c r="DT5" s="727"/>
      <c r="DU5" s="727"/>
      <c r="DV5" s="727"/>
      <c r="DW5" s="727"/>
      <c r="DX5" s="727"/>
      <c r="DY5" s="727"/>
      <c r="DZ5" s="727"/>
      <c r="EA5" s="727"/>
      <c r="EB5" s="727"/>
      <c r="EC5" s="727"/>
      <c r="ED5" s="727"/>
      <c r="EE5" s="727"/>
      <c r="EF5" s="727"/>
      <c r="EG5" s="727"/>
      <c r="EH5" s="727"/>
      <c r="EI5" s="727"/>
      <c r="EJ5" s="727"/>
      <c r="EK5" s="727"/>
      <c r="EL5" s="727"/>
      <c r="EM5" s="727"/>
      <c r="EN5" s="727"/>
      <c r="EO5" s="727"/>
      <c r="EP5" s="727"/>
      <c r="EQ5" s="727"/>
      <c r="ER5" s="727"/>
      <c r="ES5" s="727"/>
      <c r="ET5" s="727"/>
      <c r="EU5" s="727"/>
      <c r="EV5" s="727"/>
      <c r="EW5" s="727"/>
      <c r="EX5" s="727"/>
      <c r="EY5" s="727"/>
      <c r="EZ5" s="727"/>
      <c r="FA5" s="727"/>
      <c r="FB5" s="727"/>
      <c r="FC5" s="727"/>
      <c r="FD5" s="727"/>
      <c r="FE5" s="727"/>
      <c r="FF5" s="727"/>
      <c r="FG5" s="727"/>
      <c r="FH5" s="727"/>
      <c r="FI5" s="727"/>
      <c r="FJ5" s="727"/>
      <c r="FK5" s="727"/>
      <c r="FL5" s="727"/>
      <c r="FM5" s="727"/>
      <c r="FN5" s="727"/>
      <c r="FO5" s="727"/>
      <c r="FP5" s="727"/>
      <c r="FQ5" s="727"/>
      <c r="FR5" s="727"/>
      <c r="FS5" s="727"/>
      <c r="FT5" s="727"/>
      <c r="FU5" s="727"/>
      <c r="FV5" s="727"/>
      <c r="FW5" s="727"/>
      <c r="FX5" s="727"/>
      <c r="FY5" s="727"/>
      <c r="FZ5" s="727"/>
      <c r="GA5" s="727"/>
      <c r="GB5" s="727"/>
      <c r="GC5" s="727"/>
      <c r="GD5" s="727"/>
      <c r="GE5" s="727"/>
      <c r="GF5" s="727"/>
      <c r="GG5" s="727"/>
      <c r="GH5" s="727"/>
      <c r="GI5" s="727"/>
      <c r="GJ5" s="727"/>
      <c r="GK5" s="727"/>
      <c r="GL5" s="727"/>
      <c r="GM5" s="727"/>
      <c r="GN5" s="727"/>
      <c r="GO5" s="727"/>
      <c r="GP5" s="727"/>
      <c r="GQ5" s="727"/>
      <c r="GR5" s="727"/>
      <c r="GS5" s="727"/>
      <c r="GT5" s="727"/>
      <c r="GU5" s="727"/>
      <c r="GV5" s="727"/>
      <c r="GW5" s="727"/>
      <c r="GX5" s="727"/>
      <c r="GY5" s="727"/>
      <c r="GZ5" s="727"/>
      <c r="HA5" s="727"/>
      <c r="HB5" s="727"/>
      <c r="HC5" s="727"/>
      <c r="HD5" s="727"/>
      <c r="HE5" s="727"/>
      <c r="HF5" s="727"/>
      <c r="HG5" s="727"/>
      <c r="HH5" s="727"/>
      <c r="HI5" s="727"/>
      <c r="HJ5" s="727"/>
      <c r="HK5" s="727"/>
      <c r="HL5" s="727"/>
      <c r="HM5" s="727"/>
      <c r="HN5" s="727"/>
      <c r="HO5" s="727"/>
      <c r="HP5" s="727"/>
      <c r="HQ5" s="727"/>
      <c r="HR5" s="727"/>
      <c r="HS5" s="727"/>
      <c r="HT5" s="727"/>
      <c r="HU5" s="727"/>
      <c r="HV5" s="727"/>
      <c r="HW5" s="727"/>
      <c r="HX5" s="727"/>
      <c r="HY5" s="727"/>
      <c r="HZ5" s="727"/>
      <c r="IA5" s="727"/>
      <c r="IB5" s="727"/>
      <c r="IC5" s="727"/>
      <c r="ID5" s="727"/>
      <c r="IE5" s="727"/>
      <c r="IF5" s="727"/>
      <c r="IG5" s="727"/>
      <c r="IH5" s="727"/>
      <c r="II5" s="727"/>
      <c r="IJ5" s="727"/>
      <c r="IK5" s="727"/>
      <c r="IL5" s="727"/>
      <c r="IM5" s="727"/>
      <c r="IN5" s="727"/>
      <c r="IO5" s="727"/>
      <c r="IP5" s="727"/>
    </row>
    <row r="6" spans="2:12" ht="30" customHeight="1">
      <c r="B6" s="1758" t="s">
        <v>18</v>
      </c>
      <c r="C6" s="1761" t="s">
        <v>19</v>
      </c>
      <c r="D6" s="1764" t="s">
        <v>6</v>
      </c>
      <c r="E6" s="1755" t="s">
        <v>21</v>
      </c>
      <c r="F6" s="1755" t="s">
        <v>615</v>
      </c>
      <c r="G6" s="1773" t="s">
        <v>662</v>
      </c>
      <c r="H6" s="1770" t="s">
        <v>286</v>
      </c>
      <c r="I6" s="1776" t="s">
        <v>663</v>
      </c>
      <c r="J6" s="1776"/>
      <c r="K6" s="1777"/>
      <c r="L6" s="1752" t="s">
        <v>746</v>
      </c>
    </row>
    <row r="7" spans="2:12" ht="45" customHeight="1">
      <c r="B7" s="1759"/>
      <c r="C7" s="1762"/>
      <c r="D7" s="1765"/>
      <c r="E7" s="1756"/>
      <c r="F7" s="1756"/>
      <c r="G7" s="1774"/>
      <c r="H7" s="1771"/>
      <c r="I7" s="718" t="s">
        <v>37</v>
      </c>
      <c r="J7" s="984" t="s">
        <v>154</v>
      </c>
      <c r="K7" s="1768" t="s">
        <v>120</v>
      </c>
      <c r="L7" s="1753"/>
    </row>
    <row r="8" spans="2:12" ht="53.25" customHeight="1" thickBot="1">
      <c r="B8" s="1760"/>
      <c r="C8" s="1763"/>
      <c r="D8" s="1766"/>
      <c r="E8" s="1757"/>
      <c r="F8" s="1757"/>
      <c r="G8" s="1775"/>
      <c r="H8" s="1772"/>
      <c r="I8" s="976" t="s">
        <v>40</v>
      </c>
      <c r="J8" s="751" t="s">
        <v>221</v>
      </c>
      <c r="K8" s="1769"/>
      <c r="L8" s="1754"/>
    </row>
    <row r="9" spans="1:12" ht="23.25" customHeight="1">
      <c r="A9" s="728">
        <v>1</v>
      </c>
      <c r="B9" s="975">
        <v>18</v>
      </c>
      <c r="C9" s="967" t="s">
        <v>22</v>
      </c>
      <c r="D9" s="739"/>
      <c r="E9" s="720"/>
      <c r="F9" s="740"/>
      <c r="G9" s="721"/>
      <c r="H9" s="1010"/>
      <c r="I9" s="977"/>
      <c r="J9" s="752"/>
      <c r="K9" s="753"/>
      <c r="L9" s="741"/>
    </row>
    <row r="10" spans="1:12" ht="22.5" customHeight="1">
      <c r="A10" s="728">
        <v>2</v>
      </c>
      <c r="B10" s="742"/>
      <c r="C10" s="743">
        <v>1</v>
      </c>
      <c r="D10" s="1054" t="s">
        <v>456</v>
      </c>
      <c r="E10" s="744">
        <f>F10+G10+K10+L10</f>
        <v>11252</v>
      </c>
      <c r="F10" s="745">
        <v>9999</v>
      </c>
      <c r="G10" s="746"/>
      <c r="H10" s="1011" t="s">
        <v>24</v>
      </c>
      <c r="I10" s="978"/>
      <c r="J10" s="754">
        <v>1253</v>
      </c>
      <c r="K10" s="755">
        <f>SUM(I10:J10)</f>
        <v>1253</v>
      </c>
      <c r="L10" s="747"/>
    </row>
    <row r="11" spans="1:12" ht="33" customHeight="1" thickBot="1">
      <c r="A11" s="728">
        <v>3</v>
      </c>
      <c r="B11" s="742"/>
      <c r="C11" s="748">
        <v>2</v>
      </c>
      <c r="D11" s="1054" t="s">
        <v>813</v>
      </c>
      <c r="E11" s="744">
        <f>F11+G11+K11+L11</f>
        <v>20000</v>
      </c>
      <c r="F11" s="745"/>
      <c r="G11" s="746"/>
      <c r="H11" s="1011" t="s">
        <v>24</v>
      </c>
      <c r="I11" s="978"/>
      <c r="J11" s="754">
        <v>20000</v>
      </c>
      <c r="K11" s="755">
        <f>SUM(I11:J11)</f>
        <v>20000</v>
      </c>
      <c r="L11" s="747"/>
    </row>
    <row r="12" spans="1:12" ht="36" customHeight="1" thickBot="1">
      <c r="A12" s="728">
        <v>4</v>
      </c>
      <c r="B12" s="1743" t="s">
        <v>13</v>
      </c>
      <c r="C12" s="1744"/>
      <c r="D12" s="1744"/>
      <c r="E12" s="1744"/>
      <c r="F12" s="1744"/>
      <c r="G12" s="1745"/>
      <c r="H12" s="983"/>
      <c r="I12" s="980">
        <f>SUM(I10:I11)</f>
        <v>0</v>
      </c>
      <c r="J12" s="980">
        <f>SUM(J10:J11)</f>
        <v>21253</v>
      </c>
      <c r="K12" s="981">
        <f>SUM(I12:J12)</f>
        <v>21253</v>
      </c>
      <c r="L12" s="982"/>
    </row>
    <row r="13" spans="2:11" ht="18" customHeight="1">
      <c r="B13" s="722" t="s">
        <v>27</v>
      </c>
      <c r="C13" s="722"/>
      <c r="D13" s="722"/>
      <c r="E13" s="723"/>
      <c r="F13" s="724"/>
      <c r="G13" s="723"/>
      <c r="H13" s="711"/>
      <c r="I13" s="723"/>
      <c r="J13" s="723"/>
      <c r="K13" s="723"/>
    </row>
    <row r="14" spans="2:11" ht="18" customHeight="1">
      <c r="B14" s="722" t="s">
        <v>28</v>
      </c>
      <c r="C14" s="722"/>
      <c r="D14" s="722"/>
      <c r="E14" s="712"/>
      <c r="F14" s="724"/>
      <c r="G14" s="723"/>
      <c r="H14" s="711"/>
      <c r="I14" s="723"/>
      <c r="J14" s="723"/>
      <c r="K14" s="723"/>
    </row>
    <row r="15" spans="2:11" ht="18" customHeight="1">
      <c r="B15" s="722" t="s">
        <v>29</v>
      </c>
      <c r="C15" s="722"/>
      <c r="D15" s="722"/>
      <c r="E15" s="712"/>
      <c r="F15" s="724"/>
      <c r="G15" s="723"/>
      <c r="H15" s="711"/>
      <c r="I15" s="723"/>
      <c r="J15" s="723"/>
      <c r="K15" s="723"/>
    </row>
    <row r="16" spans="1:252" s="713" customFormat="1" ht="15">
      <c r="A16" s="727"/>
      <c r="B16" s="715"/>
      <c r="C16" s="716"/>
      <c r="D16" s="717"/>
      <c r="H16" s="718"/>
      <c r="L16" s="725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4"/>
      <c r="AG16" s="714"/>
      <c r="AH16" s="714"/>
      <c r="AI16" s="714"/>
      <c r="AJ16" s="714"/>
      <c r="AK16" s="714"/>
      <c r="AL16" s="714"/>
      <c r="AM16" s="714"/>
      <c r="AN16" s="714"/>
      <c r="AO16" s="714"/>
      <c r="AP16" s="714"/>
      <c r="AQ16" s="714"/>
      <c r="AR16" s="714"/>
      <c r="AS16" s="714"/>
      <c r="AT16" s="714"/>
      <c r="AU16" s="714"/>
      <c r="AV16" s="714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/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/>
      <c r="CD16" s="714"/>
      <c r="CE16" s="714"/>
      <c r="CF16" s="714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/>
      <c r="CT16" s="714"/>
      <c r="CU16" s="714"/>
      <c r="CV16" s="714"/>
      <c r="CW16" s="714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  <c r="DI16" s="714"/>
      <c r="DJ16" s="714"/>
      <c r="DK16" s="714"/>
      <c r="DL16" s="714"/>
      <c r="DM16" s="714"/>
      <c r="DN16" s="714"/>
      <c r="DO16" s="714"/>
      <c r="DP16" s="714"/>
      <c r="DQ16" s="714"/>
      <c r="DR16" s="714"/>
      <c r="DS16" s="714"/>
      <c r="DT16" s="714"/>
      <c r="DU16" s="714"/>
      <c r="DV16" s="714"/>
      <c r="DW16" s="714"/>
      <c r="DX16" s="714"/>
      <c r="DY16" s="714"/>
      <c r="DZ16" s="714"/>
      <c r="EA16" s="714"/>
      <c r="EB16" s="714"/>
      <c r="EC16" s="714"/>
      <c r="ED16" s="714"/>
      <c r="EE16" s="714"/>
      <c r="EF16" s="714"/>
      <c r="EG16" s="714"/>
      <c r="EH16" s="714"/>
      <c r="EI16" s="714"/>
      <c r="EJ16" s="714"/>
      <c r="EK16" s="714"/>
      <c r="EL16" s="714"/>
      <c r="EM16" s="714"/>
      <c r="EN16" s="714"/>
      <c r="EO16" s="714"/>
      <c r="EP16" s="714"/>
      <c r="EQ16" s="714"/>
      <c r="ER16" s="714"/>
      <c r="ES16" s="714"/>
      <c r="ET16" s="714"/>
      <c r="EU16" s="714"/>
      <c r="EV16" s="714"/>
      <c r="EW16" s="714"/>
      <c r="EX16" s="714"/>
      <c r="EY16" s="714"/>
      <c r="EZ16" s="714"/>
      <c r="FA16" s="714"/>
      <c r="FB16" s="714"/>
      <c r="FC16" s="714"/>
      <c r="FD16" s="714"/>
      <c r="FE16" s="714"/>
      <c r="FF16" s="714"/>
      <c r="FG16" s="714"/>
      <c r="FH16" s="714"/>
      <c r="FI16" s="714"/>
      <c r="FJ16" s="714"/>
      <c r="FK16" s="714"/>
      <c r="FL16" s="714"/>
      <c r="FM16" s="714"/>
      <c r="FN16" s="714"/>
      <c r="FO16" s="714"/>
      <c r="FP16" s="714"/>
      <c r="FQ16" s="714"/>
      <c r="FR16" s="714"/>
      <c r="FS16" s="714"/>
      <c r="FT16" s="714"/>
      <c r="FU16" s="714"/>
      <c r="FV16" s="714"/>
      <c r="FW16" s="714"/>
      <c r="FX16" s="714"/>
      <c r="FY16" s="714"/>
      <c r="FZ16" s="714"/>
      <c r="GA16" s="714"/>
      <c r="GB16" s="714"/>
      <c r="GC16" s="714"/>
      <c r="GD16" s="714"/>
      <c r="GE16" s="714"/>
      <c r="GF16" s="714"/>
      <c r="GG16" s="714"/>
      <c r="GH16" s="714"/>
      <c r="GI16" s="714"/>
      <c r="GJ16" s="714"/>
      <c r="GK16" s="714"/>
      <c r="GL16" s="714"/>
      <c r="GM16" s="714"/>
      <c r="GN16" s="714"/>
      <c r="GO16" s="714"/>
      <c r="GP16" s="714"/>
      <c r="GQ16" s="714"/>
      <c r="GR16" s="714"/>
      <c r="GS16" s="714"/>
      <c r="GT16" s="714"/>
      <c r="GU16" s="714"/>
      <c r="GV16" s="714"/>
      <c r="GW16" s="714"/>
      <c r="GX16" s="714"/>
      <c r="GY16" s="714"/>
      <c r="GZ16" s="714"/>
      <c r="HA16" s="714"/>
      <c r="HB16" s="714"/>
      <c r="HC16" s="714"/>
      <c r="HD16" s="714"/>
      <c r="HE16" s="714"/>
      <c r="HF16" s="714"/>
      <c r="HG16" s="714"/>
      <c r="HH16" s="714"/>
      <c r="HI16" s="714"/>
      <c r="HJ16" s="714"/>
      <c r="HK16" s="714"/>
      <c r="HL16" s="714"/>
      <c r="HM16" s="714"/>
      <c r="HN16" s="714"/>
      <c r="HO16" s="714"/>
      <c r="HP16" s="714"/>
      <c r="HQ16" s="714"/>
      <c r="HR16" s="714"/>
      <c r="HS16" s="714"/>
      <c r="HT16" s="714"/>
      <c r="HU16" s="714"/>
      <c r="HV16" s="714"/>
      <c r="HW16" s="714"/>
      <c r="HX16" s="714"/>
      <c r="HY16" s="714"/>
      <c r="HZ16" s="714"/>
      <c r="IA16" s="714"/>
      <c r="IB16" s="714"/>
      <c r="IC16" s="714"/>
      <c r="ID16" s="714"/>
      <c r="IE16" s="714"/>
      <c r="IF16" s="714"/>
      <c r="IG16" s="714"/>
      <c r="IH16" s="714"/>
      <c r="II16" s="714"/>
      <c r="IJ16" s="714"/>
      <c r="IK16" s="714"/>
      <c r="IL16" s="714"/>
      <c r="IM16" s="714"/>
      <c r="IN16" s="714"/>
      <c r="IO16" s="714"/>
      <c r="IP16" s="714"/>
      <c r="IQ16" s="714"/>
      <c r="IR16" s="714"/>
    </row>
  </sheetData>
  <sheetProtection/>
  <mergeCells count="15">
    <mergeCell ref="B12:G12"/>
    <mergeCell ref="B1:D1"/>
    <mergeCell ref="I1:L1"/>
    <mergeCell ref="B2:L2"/>
    <mergeCell ref="B3:L3"/>
    <mergeCell ref="B6:B8"/>
    <mergeCell ref="C6:C8"/>
    <mergeCell ref="D6:D8"/>
    <mergeCell ref="E6:E8"/>
    <mergeCell ref="F6:F8"/>
    <mergeCell ref="G6:G8"/>
    <mergeCell ref="I6:K6"/>
    <mergeCell ref="H6:H8"/>
    <mergeCell ref="L6:L8"/>
    <mergeCell ref="K7:K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8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zoomScale="85" zoomScaleSheetLayoutView="85" zoomScalePageLayoutView="0" workbookViewId="0" topLeftCell="A16">
      <selection activeCell="A3" sqref="A3:P3"/>
    </sheetView>
  </sheetViews>
  <sheetFormatPr defaultColWidth="9.00390625" defaultRowHeight="12.75"/>
  <cols>
    <col min="1" max="1" width="3.75390625" style="757" customWidth="1"/>
    <col min="2" max="3" width="5.75390625" style="932" customWidth="1"/>
    <col min="4" max="4" width="62.75390625" style="435" customWidth="1"/>
    <col min="5" max="5" width="12.75390625" style="931" customWidth="1"/>
    <col min="6" max="7" width="10.75390625" style="931" customWidth="1"/>
    <col min="8" max="8" width="6.75390625" style="760" customWidth="1"/>
    <col min="9" max="14" width="14.875" style="931" customWidth="1"/>
    <col min="15" max="15" width="15.75390625" style="779" customWidth="1"/>
    <col min="16" max="16" width="13.875" style="931" customWidth="1"/>
    <col min="17" max="16384" width="9.125" style="435" customWidth="1"/>
  </cols>
  <sheetData>
    <row r="1" spans="1:250" ht="18" customHeight="1">
      <c r="A1" s="1791" t="s">
        <v>650</v>
      </c>
      <c r="B1" s="1791"/>
      <c r="C1" s="1791"/>
      <c r="D1" s="1791"/>
      <c r="E1" s="642"/>
      <c r="F1" s="642"/>
      <c r="G1" s="642"/>
      <c r="H1" s="758"/>
      <c r="I1" s="1746"/>
      <c r="J1" s="1746"/>
      <c r="K1" s="1746"/>
      <c r="L1" s="1746"/>
      <c r="M1" s="1746"/>
      <c r="N1" s="1746"/>
      <c r="O1" s="1746"/>
      <c r="P1" s="1746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  <c r="AF1" s="759"/>
      <c r="AG1" s="759"/>
      <c r="AH1" s="759"/>
      <c r="AI1" s="759"/>
      <c r="AJ1" s="759"/>
      <c r="AK1" s="759"/>
      <c r="AL1" s="759"/>
      <c r="AM1" s="759"/>
      <c r="AN1" s="759"/>
      <c r="AO1" s="759"/>
      <c r="AP1" s="759"/>
      <c r="AQ1" s="759"/>
      <c r="AR1" s="759"/>
      <c r="AS1" s="759"/>
      <c r="AT1" s="759"/>
      <c r="AU1" s="759"/>
      <c r="AV1" s="759"/>
      <c r="AW1" s="759"/>
      <c r="AX1" s="759"/>
      <c r="AY1" s="759"/>
      <c r="AZ1" s="759"/>
      <c r="BA1" s="759"/>
      <c r="BB1" s="759"/>
      <c r="BC1" s="759"/>
      <c r="BD1" s="759"/>
      <c r="BE1" s="759"/>
      <c r="BF1" s="759"/>
      <c r="BG1" s="759"/>
      <c r="BH1" s="759"/>
      <c r="BI1" s="759"/>
      <c r="BJ1" s="759"/>
      <c r="BK1" s="759"/>
      <c r="BL1" s="759"/>
      <c r="BM1" s="759"/>
      <c r="BN1" s="759"/>
      <c r="BO1" s="759"/>
      <c r="BP1" s="759"/>
      <c r="BQ1" s="759"/>
      <c r="BR1" s="759"/>
      <c r="BS1" s="759"/>
      <c r="BT1" s="759"/>
      <c r="BU1" s="759"/>
      <c r="BV1" s="759"/>
      <c r="BW1" s="759"/>
      <c r="BX1" s="759"/>
      <c r="BY1" s="759"/>
      <c r="BZ1" s="759"/>
      <c r="CA1" s="759"/>
      <c r="CB1" s="759"/>
      <c r="CC1" s="759"/>
      <c r="CD1" s="759"/>
      <c r="CE1" s="759"/>
      <c r="CF1" s="759"/>
      <c r="CG1" s="759"/>
      <c r="CH1" s="759"/>
      <c r="CI1" s="759"/>
      <c r="CJ1" s="759"/>
      <c r="CK1" s="759"/>
      <c r="CL1" s="759"/>
      <c r="CM1" s="759"/>
      <c r="CN1" s="759"/>
      <c r="CO1" s="759"/>
      <c r="CP1" s="759"/>
      <c r="CQ1" s="759"/>
      <c r="CR1" s="759"/>
      <c r="CS1" s="759"/>
      <c r="CT1" s="759"/>
      <c r="CU1" s="759"/>
      <c r="CV1" s="759"/>
      <c r="CW1" s="759"/>
      <c r="CX1" s="759"/>
      <c r="CY1" s="759"/>
      <c r="CZ1" s="759"/>
      <c r="DA1" s="759"/>
      <c r="DB1" s="759"/>
      <c r="DC1" s="759"/>
      <c r="DD1" s="759"/>
      <c r="DE1" s="759"/>
      <c r="DF1" s="759"/>
      <c r="DG1" s="759"/>
      <c r="DH1" s="759"/>
      <c r="DI1" s="759"/>
      <c r="DJ1" s="759"/>
      <c r="DK1" s="759"/>
      <c r="DL1" s="759"/>
      <c r="DM1" s="759"/>
      <c r="DN1" s="759"/>
      <c r="DO1" s="759"/>
      <c r="DP1" s="759"/>
      <c r="DQ1" s="759"/>
      <c r="DR1" s="759"/>
      <c r="DS1" s="759"/>
      <c r="DT1" s="759"/>
      <c r="DU1" s="759"/>
      <c r="DV1" s="759"/>
      <c r="DW1" s="759"/>
      <c r="DX1" s="759"/>
      <c r="DY1" s="759"/>
      <c r="DZ1" s="759"/>
      <c r="EA1" s="759"/>
      <c r="EB1" s="759"/>
      <c r="EC1" s="759"/>
      <c r="ED1" s="759"/>
      <c r="EE1" s="759"/>
      <c r="EF1" s="759"/>
      <c r="EG1" s="759"/>
      <c r="EH1" s="759"/>
      <c r="EI1" s="759"/>
      <c r="EJ1" s="759"/>
      <c r="EK1" s="759"/>
      <c r="EL1" s="759"/>
      <c r="EM1" s="759"/>
      <c r="EN1" s="759"/>
      <c r="EO1" s="759"/>
      <c r="EP1" s="759"/>
      <c r="EQ1" s="759"/>
      <c r="ER1" s="759"/>
      <c r="ES1" s="759"/>
      <c r="ET1" s="759"/>
      <c r="EU1" s="759"/>
      <c r="EV1" s="759"/>
      <c r="EW1" s="759"/>
      <c r="EX1" s="759"/>
      <c r="EY1" s="759"/>
      <c r="EZ1" s="759"/>
      <c r="FA1" s="759"/>
      <c r="FB1" s="759"/>
      <c r="FC1" s="759"/>
      <c r="FD1" s="759"/>
      <c r="FE1" s="759"/>
      <c r="FF1" s="759"/>
      <c r="FG1" s="759"/>
      <c r="FH1" s="759"/>
      <c r="FI1" s="759"/>
      <c r="FJ1" s="759"/>
      <c r="FK1" s="759"/>
      <c r="FL1" s="759"/>
      <c r="FM1" s="759"/>
      <c r="FN1" s="759"/>
      <c r="FO1" s="759"/>
      <c r="FP1" s="759"/>
      <c r="FQ1" s="759"/>
      <c r="FR1" s="759"/>
      <c r="FS1" s="759"/>
      <c r="FT1" s="759"/>
      <c r="FU1" s="759"/>
      <c r="FV1" s="759"/>
      <c r="FW1" s="759"/>
      <c r="FX1" s="759"/>
      <c r="FY1" s="759"/>
      <c r="FZ1" s="759"/>
      <c r="GA1" s="759"/>
      <c r="GB1" s="759"/>
      <c r="GC1" s="759"/>
      <c r="GD1" s="759"/>
      <c r="GE1" s="759"/>
      <c r="GF1" s="759"/>
      <c r="GG1" s="759"/>
      <c r="GH1" s="759"/>
      <c r="GI1" s="759"/>
      <c r="GJ1" s="759"/>
      <c r="GK1" s="759"/>
      <c r="GL1" s="759"/>
      <c r="GM1" s="759"/>
      <c r="GN1" s="759"/>
      <c r="GO1" s="759"/>
      <c r="GP1" s="759"/>
      <c r="GQ1" s="759"/>
      <c r="GR1" s="759"/>
      <c r="GS1" s="759"/>
      <c r="GT1" s="759"/>
      <c r="GU1" s="759"/>
      <c r="GV1" s="759"/>
      <c r="GW1" s="759"/>
      <c r="GX1" s="759"/>
      <c r="GY1" s="759"/>
      <c r="GZ1" s="759"/>
      <c r="HA1" s="759"/>
      <c r="HB1" s="759"/>
      <c r="HC1" s="759"/>
      <c r="HD1" s="759"/>
      <c r="HE1" s="759"/>
      <c r="HF1" s="759"/>
      <c r="HG1" s="759"/>
      <c r="HH1" s="759"/>
      <c r="HI1" s="759"/>
      <c r="HJ1" s="759"/>
      <c r="HK1" s="759"/>
      <c r="HL1" s="759"/>
      <c r="HM1" s="759"/>
      <c r="HN1" s="759"/>
      <c r="HO1" s="759"/>
      <c r="HP1" s="759"/>
      <c r="HQ1" s="759"/>
      <c r="HR1" s="759"/>
      <c r="HS1" s="759"/>
      <c r="HT1" s="759"/>
      <c r="HU1" s="759"/>
      <c r="HV1" s="759"/>
      <c r="HW1" s="759"/>
      <c r="HX1" s="759"/>
      <c r="HY1" s="759"/>
      <c r="HZ1" s="759"/>
      <c r="IA1" s="759"/>
      <c r="IB1" s="759"/>
      <c r="IC1" s="759"/>
      <c r="ID1" s="759"/>
      <c r="IE1" s="759"/>
      <c r="IF1" s="759"/>
      <c r="IG1" s="759"/>
      <c r="IH1" s="759"/>
      <c r="II1" s="759"/>
      <c r="IJ1" s="759"/>
      <c r="IK1" s="759"/>
      <c r="IL1" s="759"/>
      <c r="IM1" s="759"/>
      <c r="IN1" s="759"/>
      <c r="IO1" s="759"/>
      <c r="IP1" s="759"/>
    </row>
    <row r="2" spans="1:16" ht="24.75" customHeight="1">
      <c r="A2" s="1747" t="s">
        <v>14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</row>
    <row r="3" spans="1:16" ht="24.75" customHeight="1">
      <c r="A3" s="1792" t="s">
        <v>745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</row>
    <row r="4" spans="1:16" s="1003" customFormat="1" ht="18" customHeight="1">
      <c r="A4" s="757"/>
      <c r="B4" s="757"/>
      <c r="C4" s="757"/>
      <c r="E4" s="713"/>
      <c r="F4" s="713"/>
      <c r="G4" s="713"/>
      <c r="H4" s="1004"/>
      <c r="I4" s="713"/>
      <c r="J4" s="713"/>
      <c r="K4" s="713"/>
      <c r="L4" s="713"/>
      <c r="M4" s="713"/>
      <c r="N4" s="713"/>
      <c r="O4" s="1005"/>
      <c r="P4" s="719" t="s">
        <v>0</v>
      </c>
    </row>
    <row r="5" spans="1:250" s="1009" customFormat="1" ht="18" customHeight="1" thickBot="1">
      <c r="A5" s="1006"/>
      <c r="B5" s="1007" t="s">
        <v>1</v>
      </c>
      <c r="C5" s="1008" t="s">
        <v>3</v>
      </c>
      <c r="D5" s="1008" t="s">
        <v>2</v>
      </c>
      <c r="E5" s="1008" t="s">
        <v>4</v>
      </c>
      <c r="F5" s="1008" t="s">
        <v>5</v>
      </c>
      <c r="G5" s="1008" t="s">
        <v>15</v>
      </c>
      <c r="H5" s="1008" t="s">
        <v>16</v>
      </c>
      <c r="I5" s="1008" t="s">
        <v>17</v>
      </c>
      <c r="J5" s="1008" t="s">
        <v>34</v>
      </c>
      <c r="K5" s="1008" t="s">
        <v>30</v>
      </c>
      <c r="L5" s="1008" t="s">
        <v>23</v>
      </c>
      <c r="M5" s="1008" t="s">
        <v>35</v>
      </c>
      <c r="N5" s="1008" t="s">
        <v>36</v>
      </c>
      <c r="O5" s="1008" t="s">
        <v>151</v>
      </c>
      <c r="P5" s="1008" t="s">
        <v>152</v>
      </c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1006"/>
      <c r="AF5" s="1006"/>
      <c r="AG5" s="1006"/>
      <c r="AH5" s="1006"/>
      <c r="AI5" s="1006"/>
      <c r="AJ5" s="1006"/>
      <c r="AK5" s="1006"/>
      <c r="AL5" s="1006"/>
      <c r="AM5" s="1006"/>
      <c r="AN5" s="1006"/>
      <c r="AO5" s="1006"/>
      <c r="AP5" s="1006"/>
      <c r="AQ5" s="1006"/>
      <c r="AR5" s="1006"/>
      <c r="AS5" s="1006"/>
      <c r="AT5" s="1006"/>
      <c r="AU5" s="1006"/>
      <c r="AV5" s="1006"/>
      <c r="AW5" s="1006"/>
      <c r="AX5" s="1006"/>
      <c r="AY5" s="1006"/>
      <c r="AZ5" s="1006"/>
      <c r="BA5" s="1006"/>
      <c r="BB5" s="1006"/>
      <c r="BC5" s="1006"/>
      <c r="BD5" s="1006"/>
      <c r="BE5" s="1006"/>
      <c r="BF5" s="1006"/>
      <c r="BG5" s="1006"/>
      <c r="BH5" s="1006"/>
      <c r="BI5" s="1006"/>
      <c r="BJ5" s="1006"/>
      <c r="BK5" s="1006"/>
      <c r="BL5" s="1006"/>
      <c r="BM5" s="1006"/>
      <c r="BN5" s="1006"/>
      <c r="BO5" s="1006"/>
      <c r="BP5" s="1006"/>
      <c r="BQ5" s="1006"/>
      <c r="BR5" s="1006"/>
      <c r="BS5" s="1006"/>
      <c r="BT5" s="1006"/>
      <c r="BU5" s="1006"/>
      <c r="BV5" s="1006"/>
      <c r="BW5" s="1006"/>
      <c r="BX5" s="1006"/>
      <c r="BY5" s="1006"/>
      <c r="BZ5" s="1006"/>
      <c r="CA5" s="1006"/>
      <c r="CB5" s="1006"/>
      <c r="CC5" s="1006"/>
      <c r="CD5" s="1006"/>
      <c r="CE5" s="1006"/>
      <c r="CF5" s="1006"/>
      <c r="CG5" s="1006"/>
      <c r="CH5" s="1006"/>
      <c r="CI5" s="1006"/>
      <c r="CJ5" s="1006"/>
      <c r="CK5" s="1006"/>
      <c r="CL5" s="1006"/>
      <c r="CM5" s="1006"/>
      <c r="CN5" s="1006"/>
      <c r="CO5" s="1006"/>
      <c r="CP5" s="1006"/>
      <c r="CQ5" s="1006"/>
      <c r="CR5" s="1006"/>
      <c r="CS5" s="1006"/>
      <c r="CT5" s="1006"/>
      <c r="CU5" s="1006"/>
      <c r="CV5" s="1006"/>
      <c r="CW5" s="1006"/>
      <c r="CX5" s="1006"/>
      <c r="CY5" s="1006"/>
      <c r="CZ5" s="1006"/>
      <c r="DA5" s="1006"/>
      <c r="DB5" s="1006"/>
      <c r="DC5" s="1006"/>
      <c r="DD5" s="1006"/>
      <c r="DE5" s="1006"/>
      <c r="DF5" s="1006"/>
      <c r="DG5" s="1006"/>
      <c r="DH5" s="1006"/>
      <c r="DI5" s="1006"/>
      <c r="DJ5" s="1006"/>
      <c r="DK5" s="1006"/>
      <c r="DL5" s="1006"/>
      <c r="DM5" s="1006"/>
      <c r="DN5" s="1006"/>
      <c r="DO5" s="1006"/>
      <c r="DP5" s="1006"/>
      <c r="DQ5" s="1006"/>
      <c r="DR5" s="1006"/>
      <c r="DS5" s="1006"/>
      <c r="DT5" s="1006"/>
      <c r="DU5" s="1006"/>
      <c r="DV5" s="1006"/>
      <c r="DW5" s="1006"/>
      <c r="DX5" s="1006"/>
      <c r="DY5" s="1006"/>
      <c r="DZ5" s="1006"/>
      <c r="EA5" s="1006"/>
      <c r="EB5" s="1006"/>
      <c r="EC5" s="1006"/>
      <c r="ED5" s="1006"/>
      <c r="EE5" s="1006"/>
      <c r="EF5" s="1006"/>
      <c r="EG5" s="1006"/>
      <c r="EH5" s="1006"/>
      <c r="EI5" s="1006"/>
      <c r="EJ5" s="1006"/>
      <c r="EK5" s="1006"/>
      <c r="EL5" s="1006"/>
      <c r="EM5" s="1006"/>
      <c r="EN5" s="1006"/>
      <c r="EO5" s="1006"/>
      <c r="EP5" s="1006"/>
      <c r="EQ5" s="1006"/>
      <c r="ER5" s="1006"/>
      <c r="ES5" s="1006"/>
      <c r="ET5" s="1006"/>
      <c r="EU5" s="1006"/>
      <c r="EV5" s="1006"/>
      <c r="EW5" s="1006"/>
      <c r="EX5" s="1006"/>
      <c r="EY5" s="1006"/>
      <c r="EZ5" s="1006"/>
      <c r="FA5" s="1006"/>
      <c r="FB5" s="1006"/>
      <c r="FC5" s="1006"/>
      <c r="FD5" s="1006"/>
      <c r="FE5" s="1006"/>
      <c r="FF5" s="1006"/>
      <c r="FG5" s="1006"/>
      <c r="FH5" s="1006"/>
      <c r="FI5" s="1006"/>
      <c r="FJ5" s="1006"/>
      <c r="FK5" s="1006"/>
      <c r="FL5" s="1006"/>
      <c r="FM5" s="1006"/>
      <c r="FN5" s="1006"/>
      <c r="FO5" s="1006"/>
      <c r="FP5" s="1006"/>
      <c r="FQ5" s="1006"/>
      <c r="FR5" s="1006"/>
      <c r="FS5" s="1006"/>
      <c r="FT5" s="1006"/>
      <c r="FU5" s="1006"/>
      <c r="FV5" s="1006"/>
      <c r="FW5" s="1006"/>
      <c r="FX5" s="1006"/>
      <c r="FY5" s="1006"/>
      <c r="FZ5" s="1006"/>
      <c r="GA5" s="1006"/>
      <c r="GB5" s="1006"/>
      <c r="GC5" s="1006"/>
      <c r="GD5" s="1006"/>
      <c r="GE5" s="1006"/>
      <c r="GF5" s="1006"/>
      <c r="GG5" s="1006"/>
      <c r="GH5" s="1006"/>
      <c r="GI5" s="1006"/>
      <c r="GJ5" s="1006"/>
      <c r="GK5" s="1006"/>
      <c r="GL5" s="1006"/>
      <c r="GM5" s="1006"/>
      <c r="GN5" s="1006"/>
      <c r="GO5" s="1006"/>
      <c r="GP5" s="1006"/>
      <c r="GQ5" s="1006"/>
      <c r="GR5" s="1006"/>
      <c r="GS5" s="1006"/>
      <c r="GT5" s="1006"/>
      <c r="GU5" s="1006"/>
      <c r="GV5" s="1006"/>
      <c r="GW5" s="1006"/>
      <c r="GX5" s="1006"/>
      <c r="GY5" s="1006"/>
      <c r="GZ5" s="1006"/>
      <c r="HA5" s="1006"/>
      <c r="HB5" s="1006"/>
      <c r="HC5" s="1006"/>
      <c r="HD5" s="1006"/>
      <c r="HE5" s="1006"/>
      <c r="HF5" s="1006"/>
      <c r="HG5" s="1006"/>
      <c r="HH5" s="1006"/>
      <c r="HI5" s="1006"/>
      <c r="HJ5" s="1006"/>
      <c r="HK5" s="1006"/>
      <c r="HL5" s="1006"/>
      <c r="HM5" s="1006"/>
      <c r="HN5" s="1006"/>
      <c r="HO5" s="1006"/>
      <c r="HP5" s="1006"/>
      <c r="HQ5" s="1006"/>
      <c r="HR5" s="1006"/>
      <c r="HS5" s="1006"/>
      <c r="HT5" s="1006"/>
      <c r="HU5" s="1006"/>
      <c r="HV5" s="1006"/>
      <c r="HW5" s="1006"/>
      <c r="HX5" s="1006"/>
      <c r="HY5" s="1006"/>
      <c r="HZ5" s="1006"/>
      <c r="IA5" s="1006"/>
      <c r="IB5" s="1006"/>
      <c r="IC5" s="1006"/>
      <c r="ID5" s="1006"/>
      <c r="IE5" s="1006"/>
      <c r="IF5" s="1006"/>
      <c r="IG5" s="1006"/>
      <c r="IH5" s="1006"/>
      <c r="II5" s="1006"/>
      <c r="IJ5" s="1006"/>
      <c r="IK5" s="1006"/>
      <c r="IL5" s="1006"/>
      <c r="IM5" s="1006"/>
      <c r="IN5" s="1006"/>
      <c r="IO5" s="1006"/>
      <c r="IP5" s="1006"/>
    </row>
    <row r="6" spans="2:18" ht="22.5" customHeight="1">
      <c r="B6" s="1785" t="s">
        <v>18</v>
      </c>
      <c r="C6" s="1781" t="s">
        <v>19</v>
      </c>
      <c r="D6" s="1793" t="s">
        <v>6</v>
      </c>
      <c r="E6" s="1788" t="s">
        <v>491</v>
      </c>
      <c r="F6" s="1788" t="s">
        <v>747</v>
      </c>
      <c r="G6" s="1796" t="s">
        <v>748</v>
      </c>
      <c r="H6" s="1770" t="s">
        <v>20</v>
      </c>
      <c r="I6" s="1799" t="s">
        <v>663</v>
      </c>
      <c r="J6" s="1788"/>
      <c r="K6" s="1788"/>
      <c r="L6" s="1788"/>
      <c r="M6" s="1788"/>
      <c r="N6" s="1788"/>
      <c r="O6" s="1800"/>
      <c r="P6" s="1801" t="s">
        <v>746</v>
      </c>
      <c r="Q6" s="1784"/>
      <c r="R6" s="1784"/>
    </row>
    <row r="7" spans="2:16" ht="33" customHeight="1">
      <c r="B7" s="1786"/>
      <c r="C7" s="1782"/>
      <c r="D7" s="1794"/>
      <c r="E7" s="1789"/>
      <c r="F7" s="1789"/>
      <c r="G7" s="1797"/>
      <c r="H7" s="1771"/>
      <c r="I7" s="1804" t="s">
        <v>493</v>
      </c>
      <c r="J7" s="1805"/>
      <c r="K7" s="1806"/>
      <c r="L7" s="1806"/>
      <c r="M7" s="1807" t="s">
        <v>154</v>
      </c>
      <c r="N7" s="1807"/>
      <c r="O7" s="1808" t="s">
        <v>120</v>
      </c>
      <c r="P7" s="1802"/>
    </row>
    <row r="8" spans="2:16" ht="53.25" customHeight="1" thickBot="1">
      <c r="B8" s="1787"/>
      <c r="C8" s="1783"/>
      <c r="D8" s="1795"/>
      <c r="E8" s="1790"/>
      <c r="F8" s="1790"/>
      <c r="G8" s="1798"/>
      <c r="H8" s="1772"/>
      <c r="I8" s="1025" t="s">
        <v>38</v>
      </c>
      <c r="J8" s="761" t="s">
        <v>488</v>
      </c>
      <c r="K8" s="762" t="s">
        <v>40</v>
      </c>
      <c r="L8" s="762" t="s">
        <v>490</v>
      </c>
      <c r="M8" s="761" t="s">
        <v>220</v>
      </c>
      <c r="N8" s="761" t="s">
        <v>155</v>
      </c>
      <c r="O8" s="1809"/>
      <c r="P8" s="1803"/>
    </row>
    <row r="9" spans="1:256" s="765" customFormat="1" ht="22.5" customHeight="1">
      <c r="A9" s="778">
        <v>1</v>
      </c>
      <c r="B9" s="763">
        <v>18</v>
      </c>
      <c r="C9" s="774" t="s">
        <v>14</v>
      </c>
      <c r="D9" s="1015"/>
      <c r="E9" s="444"/>
      <c r="F9" s="442"/>
      <c r="G9" s="443"/>
      <c r="H9" s="1028"/>
      <c r="I9" s="1044"/>
      <c r="J9" s="1045"/>
      <c r="K9" s="1045"/>
      <c r="L9" s="1045"/>
      <c r="M9" s="1045"/>
      <c r="N9" s="1045"/>
      <c r="O9" s="1046"/>
      <c r="P9" s="766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  <c r="DU9" s="435"/>
      <c r="DV9" s="435"/>
      <c r="DW9" s="435"/>
      <c r="DX9" s="435"/>
      <c r="DY9" s="435"/>
      <c r="DZ9" s="435"/>
      <c r="EA9" s="435"/>
      <c r="EB9" s="435"/>
      <c r="EC9" s="435"/>
      <c r="ED9" s="435"/>
      <c r="EE9" s="435"/>
      <c r="EF9" s="435"/>
      <c r="EG9" s="435"/>
      <c r="EH9" s="435"/>
      <c r="EI9" s="435"/>
      <c r="EJ9" s="435"/>
      <c r="EK9" s="435"/>
      <c r="EL9" s="435"/>
      <c r="EM9" s="435"/>
      <c r="EN9" s="435"/>
      <c r="EO9" s="435"/>
      <c r="EP9" s="435"/>
      <c r="EQ9" s="435"/>
      <c r="ER9" s="435"/>
      <c r="ES9" s="435"/>
      <c r="ET9" s="435"/>
      <c r="EU9" s="435"/>
      <c r="EV9" s="435"/>
      <c r="EW9" s="435"/>
      <c r="EX9" s="435"/>
      <c r="EY9" s="435"/>
      <c r="EZ9" s="435"/>
      <c r="FA9" s="435"/>
      <c r="FB9" s="435"/>
      <c r="FC9" s="435"/>
      <c r="FD9" s="435"/>
      <c r="FE9" s="435"/>
      <c r="FF9" s="435"/>
      <c r="FG9" s="435"/>
      <c r="FH9" s="435"/>
      <c r="FI9" s="435"/>
      <c r="FJ9" s="435"/>
      <c r="FK9" s="435"/>
      <c r="FL9" s="435"/>
      <c r="FM9" s="435"/>
      <c r="FN9" s="435"/>
      <c r="FO9" s="435"/>
      <c r="FP9" s="435"/>
      <c r="FQ9" s="435"/>
      <c r="FR9" s="435"/>
      <c r="FS9" s="435"/>
      <c r="FT9" s="435"/>
      <c r="FU9" s="435"/>
      <c r="FV9" s="435"/>
      <c r="FW9" s="435"/>
      <c r="FX9" s="435"/>
      <c r="FY9" s="435"/>
      <c r="FZ9" s="435"/>
      <c r="GA9" s="435"/>
      <c r="GB9" s="435"/>
      <c r="GC9" s="435"/>
      <c r="GD9" s="435"/>
      <c r="GE9" s="435"/>
      <c r="GF9" s="435"/>
      <c r="GG9" s="435"/>
      <c r="GH9" s="435"/>
      <c r="GI9" s="435"/>
      <c r="GJ9" s="435"/>
      <c r="GK9" s="435"/>
      <c r="GL9" s="435"/>
      <c r="GM9" s="435"/>
      <c r="GN9" s="435"/>
      <c r="GO9" s="435"/>
      <c r="GP9" s="435"/>
      <c r="GQ9" s="435"/>
      <c r="GR9" s="435"/>
      <c r="GS9" s="435"/>
      <c r="GT9" s="435"/>
      <c r="GU9" s="435"/>
      <c r="GV9" s="435"/>
      <c r="GW9" s="435"/>
      <c r="GX9" s="435"/>
      <c r="GY9" s="435"/>
      <c r="GZ9" s="435"/>
      <c r="HA9" s="435"/>
      <c r="HB9" s="435"/>
      <c r="HC9" s="435"/>
      <c r="HD9" s="435"/>
      <c r="HE9" s="435"/>
      <c r="HF9" s="435"/>
      <c r="HG9" s="435"/>
      <c r="HH9" s="435"/>
      <c r="HI9" s="435"/>
      <c r="HJ9" s="435"/>
      <c r="HK9" s="435"/>
      <c r="HL9" s="435"/>
      <c r="HM9" s="435"/>
      <c r="HN9" s="435"/>
      <c r="HO9" s="435"/>
      <c r="HP9" s="435"/>
      <c r="HQ9" s="435"/>
      <c r="HR9" s="435"/>
      <c r="HS9" s="435"/>
      <c r="HT9" s="435"/>
      <c r="HU9" s="435"/>
      <c r="HV9" s="435"/>
      <c r="HW9" s="435"/>
      <c r="HX9" s="435"/>
      <c r="HY9" s="435"/>
      <c r="HZ9" s="435"/>
      <c r="IA9" s="435"/>
      <c r="IB9" s="435"/>
      <c r="IC9" s="435"/>
      <c r="ID9" s="435"/>
      <c r="IE9" s="435"/>
      <c r="IF9" s="435"/>
      <c r="IG9" s="435"/>
      <c r="IH9" s="435"/>
      <c r="II9" s="435"/>
      <c r="IJ9" s="435"/>
      <c r="IK9" s="435"/>
      <c r="IL9" s="435"/>
      <c r="IM9" s="435"/>
      <c r="IN9" s="435"/>
      <c r="IO9" s="435"/>
      <c r="IP9" s="435"/>
      <c r="IQ9" s="435"/>
      <c r="IR9" s="435"/>
      <c r="IS9" s="435"/>
      <c r="IT9" s="435"/>
      <c r="IU9" s="435"/>
      <c r="IV9" s="435"/>
    </row>
    <row r="10" spans="1:256" s="765" customFormat="1" ht="22.5" customHeight="1">
      <c r="A10" s="778">
        <v>2</v>
      </c>
      <c r="B10" s="772"/>
      <c r="C10" s="480">
        <v>1</v>
      </c>
      <c r="D10" s="775" t="s">
        <v>418</v>
      </c>
      <c r="E10" s="447"/>
      <c r="F10" s="768"/>
      <c r="G10" s="448"/>
      <c r="H10" s="1029" t="s">
        <v>24</v>
      </c>
      <c r="I10" s="1047"/>
      <c r="J10" s="1043"/>
      <c r="K10" s="1043"/>
      <c r="L10" s="1043"/>
      <c r="M10" s="1043"/>
      <c r="N10" s="1043"/>
      <c r="O10" s="1016"/>
      <c r="P10" s="769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5"/>
      <c r="CB10" s="435"/>
      <c r="CC10" s="435"/>
      <c r="CD10" s="435"/>
      <c r="CE10" s="435"/>
      <c r="CF10" s="435"/>
      <c r="CG10" s="435"/>
      <c r="CH10" s="435"/>
      <c r="CI10" s="435"/>
      <c r="CJ10" s="435"/>
      <c r="CK10" s="435"/>
      <c r="CL10" s="435"/>
      <c r="CM10" s="435"/>
      <c r="CN10" s="435"/>
      <c r="CO10" s="435"/>
      <c r="CP10" s="435"/>
      <c r="CQ10" s="435"/>
      <c r="CR10" s="435"/>
      <c r="CS10" s="435"/>
      <c r="CT10" s="435"/>
      <c r="CU10" s="435"/>
      <c r="CV10" s="435"/>
      <c r="CW10" s="435"/>
      <c r="CX10" s="435"/>
      <c r="CY10" s="435"/>
      <c r="CZ10" s="435"/>
      <c r="DA10" s="435"/>
      <c r="DB10" s="435"/>
      <c r="DC10" s="435"/>
      <c r="DD10" s="435"/>
      <c r="DE10" s="435"/>
      <c r="DF10" s="435"/>
      <c r="DG10" s="435"/>
      <c r="DH10" s="435"/>
      <c r="DI10" s="435"/>
      <c r="DJ10" s="435"/>
      <c r="DK10" s="435"/>
      <c r="DL10" s="435"/>
      <c r="DM10" s="435"/>
      <c r="DN10" s="435"/>
      <c r="DO10" s="435"/>
      <c r="DP10" s="435"/>
      <c r="DQ10" s="435"/>
      <c r="DR10" s="435"/>
      <c r="DS10" s="435"/>
      <c r="DT10" s="435"/>
      <c r="DU10" s="435"/>
      <c r="DV10" s="435"/>
      <c r="DW10" s="435"/>
      <c r="DX10" s="435"/>
      <c r="DY10" s="435"/>
      <c r="DZ10" s="435"/>
      <c r="EA10" s="435"/>
      <c r="EB10" s="435"/>
      <c r="EC10" s="435"/>
      <c r="ED10" s="435"/>
      <c r="EE10" s="435"/>
      <c r="EF10" s="435"/>
      <c r="EG10" s="435"/>
      <c r="EH10" s="435"/>
      <c r="EI10" s="435"/>
      <c r="EJ10" s="435"/>
      <c r="EK10" s="435"/>
      <c r="EL10" s="435"/>
      <c r="EM10" s="435"/>
      <c r="EN10" s="435"/>
      <c r="EO10" s="435"/>
      <c r="EP10" s="435"/>
      <c r="EQ10" s="435"/>
      <c r="ER10" s="435"/>
      <c r="ES10" s="435"/>
      <c r="ET10" s="435"/>
      <c r="EU10" s="435"/>
      <c r="EV10" s="435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  <c r="FG10" s="435"/>
      <c r="FH10" s="435"/>
      <c r="FI10" s="435"/>
      <c r="FJ10" s="435"/>
      <c r="FK10" s="435"/>
      <c r="FL10" s="435"/>
      <c r="FM10" s="435"/>
      <c r="FN10" s="435"/>
      <c r="FO10" s="435"/>
      <c r="FP10" s="435"/>
      <c r="FQ10" s="435"/>
      <c r="FR10" s="435"/>
      <c r="FS10" s="435"/>
      <c r="FT10" s="435"/>
      <c r="FU10" s="435"/>
      <c r="FV10" s="435"/>
      <c r="FW10" s="435"/>
      <c r="FX10" s="435"/>
      <c r="FY10" s="435"/>
      <c r="FZ10" s="435"/>
      <c r="GA10" s="435"/>
      <c r="GB10" s="435"/>
      <c r="GC10" s="435"/>
      <c r="GD10" s="435"/>
      <c r="GE10" s="435"/>
      <c r="GF10" s="435"/>
      <c r="GG10" s="435"/>
      <c r="GH10" s="435"/>
      <c r="GI10" s="435"/>
      <c r="GJ10" s="435"/>
      <c r="GK10" s="435"/>
      <c r="GL10" s="435"/>
      <c r="GM10" s="435"/>
      <c r="GN10" s="435"/>
      <c r="GO10" s="435"/>
      <c r="GP10" s="435"/>
      <c r="GQ10" s="435"/>
      <c r="GR10" s="435"/>
      <c r="GS10" s="435"/>
      <c r="GT10" s="435"/>
      <c r="GU10" s="435"/>
      <c r="GV10" s="435"/>
      <c r="GW10" s="435"/>
      <c r="GX10" s="435"/>
      <c r="GY10" s="435"/>
      <c r="GZ10" s="435"/>
      <c r="HA10" s="435"/>
      <c r="HB10" s="435"/>
      <c r="HC10" s="435"/>
      <c r="HD10" s="435"/>
      <c r="HE10" s="435"/>
      <c r="HF10" s="435"/>
      <c r="HG10" s="435"/>
      <c r="HH10" s="435"/>
      <c r="HI10" s="435"/>
      <c r="HJ10" s="435"/>
      <c r="HK10" s="435"/>
      <c r="HL10" s="435"/>
      <c r="HM10" s="435"/>
      <c r="HN10" s="435"/>
      <c r="HO10" s="435"/>
      <c r="HP10" s="435"/>
      <c r="HQ10" s="435"/>
      <c r="HR10" s="435"/>
      <c r="HS10" s="435"/>
      <c r="HT10" s="435"/>
      <c r="HU10" s="435"/>
      <c r="HV10" s="435"/>
      <c r="HW10" s="435"/>
      <c r="HX10" s="435"/>
      <c r="HY10" s="435"/>
      <c r="HZ10" s="435"/>
      <c r="IA10" s="435"/>
      <c r="IB10" s="435"/>
      <c r="IC10" s="435"/>
      <c r="ID10" s="435"/>
      <c r="IE10" s="435"/>
      <c r="IF10" s="435"/>
      <c r="IG10" s="435"/>
      <c r="IH10" s="435"/>
      <c r="II10" s="435"/>
      <c r="IJ10" s="435"/>
      <c r="IK10" s="435"/>
      <c r="IL10" s="435"/>
      <c r="IM10" s="435"/>
      <c r="IN10" s="435"/>
      <c r="IO10" s="435"/>
      <c r="IP10" s="435"/>
      <c r="IQ10" s="435"/>
      <c r="IR10" s="435"/>
      <c r="IS10" s="435"/>
      <c r="IT10" s="435"/>
      <c r="IU10" s="435"/>
      <c r="IV10" s="435"/>
    </row>
    <row r="11" spans="1:16" s="1023" customFormat="1" ht="18" customHeight="1">
      <c r="A11" s="778">
        <v>3</v>
      </c>
      <c r="B11" s="1017"/>
      <c r="C11" s="1018"/>
      <c r="D11" s="1019" t="s">
        <v>293</v>
      </c>
      <c r="E11" s="447">
        <f>F11+G11+O11+P11</f>
        <v>25975</v>
      </c>
      <c r="F11" s="768">
        <f>6208+6205+12386</f>
        <v>24799</v>
      </c>
      <c r="G11" s="448">
        <v>416</v>
      </c>
      <c r="H11" s="1029"/>
      <c r="I11" s="1027"/>
      <c r="J11" s="1021"/>
      <c r="K11" s="1021"/>
      <c r="L11" s="1021">
        <v>760</v>
      </c>
      <c r="M11" s="1021"/>
      <c r="N11" s="1021"/>
      <c r="O11" s="1016">
        <f>SUM(I11:N11)</f>
        <v>760</v>
      </c>
      <c r="P11" s="1022"/>
    </row>
    <row r="12" spans="1:256" s="765" customFormat="1" ht="36" customHeight="1">
      <c r="A12" s="778">
        <v>4</v>
      </c>
      <c r="B12" s="772"/>
      <c r="C12" s="437">
        <v>2</v>
      </c>
      <c r="D12" s="1050" t="s">
        <v>512</v>
      </c>
      <c r="E12" s="447"/>
      <c r="F12" s="768"/>
      <c r="G12" s="448"/>
      <c r="H12" s="1053" t="s">
        <v>24</v>
      </c>
      <c r="I12" s="1027"/>
      <c r="J12" s="1021"/>
      <c r="K12" s="1021"/>
      <c r="L12" s="1021"/>
      <c r="M12" s="1021"/>
      <c r="N12" s="1043"/>
      <c r="O12" s="1016"/>
      <c r="P12" s="769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435"/>
      <c r="DT12" s="435"/>
      <c r="DU12" s="435"/>
      <c r="DV12" s="435"/>
      <c r="DW12" s="435"/>
      <c r="DX12" s="435"/>
      <c r="DY12" s="435"/>
      <c r="DZ12" s="435"/>
      <c r="EA12" s="435"/>
      <c r="EB12" s="435"/>
      <c r="EC12" s="435"/>
      <c r="ED12" s="435"/>
      <c r="EE12" s="435"/>
      <c r="EF12" s="435"/>
      <c r="EG12" s="435"/>
      <c r="EH12" s="435"/>
      <c r="EI12" s="435"/>
      <c r="EJ12" s="435"/>
      <c r="EK12" s="435"/>
      <c r="EL12" s="435"/>
      <c r="EM12" s="435"/>
      <c r="EN12" s="435"/>
      <c r="EO12" s="435"/>
      <c r="EP12" s="435"/>
      <c r="EQ12" s="435"/>
      <c r="ER12" s="435"/>
      <c r="ES12" s="435"/>
      <c r="ET12" s="435"/>
      <c r="EU12" s="435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  <c r="FG12" s="435"/>
      <c r="FH12" s="435"/>
      <c r="FI12" s="435"/>
      <c r="FJ12" s="435"/>
      <c r="FK12" s="435"/>
      <c r="FL12" s="435"/>
      <c r="FM12" s="435"/>
      <c r="FN12" s="435"/>
      <c r="FO12" s="435"/>
      <c r="FP12" s="435"/>
      <c r="FQ12" s="435"/>
      <c r="FR12" s="435"/>
      <c r="FS12" s="435"/>
      <c r="FT12" s="435"/>
      <c r="FU12" s="435"/>
      <c r="FV12" s="435"/>
      <c r="FW12" s="435"/>
      <c r="FX12" s="435"/>
      <c r="FY12" s="435"/>
      <c r="FZ12" s="435"/>
      <c r="GA12" s="435"/>
      <c r="GB12" s="435"/>
      <c r="GC12" s="435"/>
      <c r="GD12" s="435"/>
      <c r="GE12" s="435"/>
      <c r="GF12" s="435"/>
      <c r="GG12" s="435"/>
      <c r="GH12" s="435"/>
      <c r="GI12" s="435"/>
      <c r="GJ12" s="435"/>
      <c r="GK12" s="435"/>
      <c r="GL12" s="435"/>
      <c r="GM12" s="435"/>
      <c r="GN12" s="435"/>
      <c r="GO12" s="435"/>
      <c r="GP12" s="435"/>
      <c r="GQ12" s="435"/>
      <c r="GR12" s="435"/>
      <c r="GS12" s="435"/>
      <c r="GT12" s="435"/>
      <c r="GU12" s="435"/>
      <c r="GV12" s="435"/>
      <c r="GW12" s="435"/>
      <c r="GX12" s="435"/>
      <c r="GY12" s="435"/>
      <c r="GZ12" s="435"/>
      <c r="HA12" s="435"/>
      <c r="HB12" s="435"/>
      <c r="HC12" s="435"/>
      <c r="HD12" s="435"/>
      <c r="HE12" s="435"/>
      <c r="HF12" s="435"/>
      <c r="HG12" s="435"/>
      <c r="HH12" s="435"/>
      <c r="HI12" s="435"/>
      <c r="HJ12" s="435"/>
      <c r="HK12" s="435"/>
      <c r="HL12" s="435"/>
      <c r="HM12" s="435"/>
      <c r="HN12" s="435"/>
      <c r="HO12" s="435"/>
      <c r="HP12" s="435"/>
      <c r="HQ12" s="435"/>
      <c r="HR12" s="435"/>
      <c r="HS12" s="435"/>
      <c r="HT12" s="435"/>
      <c r="HU12" s="435"/>
      <c r="HV12" s="435"/>
      <c r="HW12" s="435"/>
      <c r="HX12" s="435"/>
      <c r="HY12" s="435"/>
      <c r="HZ12" s="435"/>
      <c r="IA12" s="435"/>
      <c r="IB12" s="435"/>
      <c r="IC12" s="435"/>
      <c r="ID12" s="435"/>
      <c r="IE12" s="435"/>
      <c r="IF12" s="435"/>
      <c r="IG12" s="435"/>
      <c r="IH12" s="435"/>
      <c r="II12" s="435"/>
      <c r="IJ12" s="435"/>
      <c r="IK12" s="435"/>
      <c r="IL12" s="435"/>
      <c r="IM12" s="435"/>
      <c r="IN12" s="435"/>
      <c r="IO12" s="435"/>
      <c r="IP12" s="435"/>
      <c r="IQ12" s="435"/>
      <c r="IR12" s="435"/>
      <c r="IS12" s="435"/>
      <c r="IT12" s="435"/>
      <c r="IU12" s="435"/>
      <c r="IV12" s="435"/>
    </row>
    <row r="13" spans="1:16" s="1023" customFormat="1" ht="18" customHeight="1">
      <c r="A13" s="778">
        <v>5</v>
      </c>
      <c r="B13" s="1017"/>
      <c r="C13" s="1018"/>
      <c r="D13" s="1019" t="s">
        <v>293</v>
      </c>
      <c r="E13" s="447">
        <f>F13+G13+O13+P13</f>
        <v>319576</v>
      </c>
      <c r="F13" s="768">
        <v>6699</v>
      </c>
      <c r="G13" s="448"/>
      <c r="H13" s="1029"/>
      <c r="I13" s="1027"/>
      <c r="J13" s="1021"/>
      <c r="K13" s="1021">
        <v>278</v>
      </c>
      <c r="L13" s="1021"/>
      <c r="M13" s="1021">
        <v>312599</v>
      </c>
      <c r="N13" s="1021"/>
      <c r="O13" s="1016">
        <f>SUM(I13:N13)</f>
        <v>312877</v>
      </c>
      <c r="P13" s="1022"/>
    </row>
    <row r="14" spans="1:256" s="765" customFormat="1" ht="38.25" customHeight="1">
      <c r="A14" s="778">
        <v>6</v>
      </c>
      <c r="B14" s="772"/>
      <c r="C14" s="437">
        <v>3</v>
      </c>
      <c r="D14" s="439" t="s">
        <v>472</v>
      </c>
      <c r="E14" s="447"/>
      <c r="F14" s="447"/>
      <c r="G14" s="448"/>
      <c r="H14" s="1053" t="s">
        <v>24</v>
      </c>
      <c r="I14" s="1333"/>
      <c r="J14" s="1020"/>
      <c r="K14" s="1020"/>
      <c r="L14" s="1020"/>
      <c r="M14" s="1020"/>
      <c r="N14" s="1042"/>
      <c r="O14" s="1049"/>
      <c r="P14" s="769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435"/>
      <c r="CP14" s="435"/>
      <c r="CQ14" s="435"/>
      <c r="CR14" s="435"/>
      <c r="CS14" s="435"/>
      <c r="CT14" s="435"/>
      <c r="CU14" s="435"/>
      <c r="CV14" s="435"/>
      <c r="CW14" s="435"/>
      <c r="CX14" s="435"/>
      <c r="CY14" s="435"/>
      <c r="CZ14" s="435"/>
      <c r="DA14" s="435"/>
      <c r="DB14" s="435"/>
      <c r="DC14" s="435"/>
      <c r="DD14" s="435"/>
      <c r="DE14" s="435"/>
      <c r="DF14" s="435"/>
      <c r="DG14" s="435"/>
      <c r="DH14" s="435"/>
      <c r="DI14" s="435"/>
      <c r="DJ14" s="435"/>
      <c r="DK14" s="435"/>
      <c r="DL14" s="435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5"/>
      <c r="DX14" s="435"/>
      <c r="DY14" s="435"/>
      <c r="DZ14" s="435"/>
      <c r="EA14" s="435"/>
      <c r="EB14" s="435"/>
      <c r="EC14" s="435"/>
      <c r="ED14" s="435"/>
      <c r="EE14" s="435"/>
      <c r="EF14" s="435"/>
      <c r="EG14" s="435"/>
      <c r="EH14" s="435"/>
      <c r="EI14" s="435"/>
      <c r="EJ14" s="435"/>
      <c r="EK14" s="435"/>
      <c r="EL14" s="435"/>
      <c r="EM14" s="435"/>
      <c r="EN14" s="435"/>
      <c r="EO14" s="435"/>
      <c r="EP14" s="435"/>
      <c r="EQ14" s="435"/>
      <c r="ER14" s="435"/>
      <c r="ES14" s="435"/>
      <c r="ET14" s="435"/>
      <c r="EU14" s="435"/>
      <c r="EV14" s="435"/>
      <c r="EW14" s="435"/>
      <c r="EX14" s="435"/>
      <c r="EY14" s="435"/>
      <c r="EZ14" s="435"/>
      <c r="FA14" s="435"/>
      <c r="FB14" s="435"/>
      <c r="FC14" s="435"/>
      <c r="FD14" s="435"/>
      <c r="FE14" s="435"/>
      <c r="FF14" s="435"/>
      <c r="FG14" s="435"/>
      <c r="FH14" s="435"/>
      <c r="FI14" s="435"/>
      <c r="FJ14" s="435"/>
      <c r="FK14" s="435"/>
      <c r="FL14" s="435"/>
      <c r="FM14" s="435"/>
      <c r="FN14" s="435"/>
      <c r="FO14" s="435"/>
      <c r="FP14" s="435"/>
      <c r="FQ14" s="435"/>
      <c r="FR14" s="435"/>
      <c r="FS14" s="435"/>
      <c r="FT14" s="435"/>
      <c r="FU14" s="435"/>
      <c r="FV14" s="435"/>
      <c r="FW14" s="435"/>
      <c r="FX14" s="435"/>
      <c r="FY14" s="435"/>
      <c r="FZ14" s="435"/>
      <c r="GA14" s="435"/>
      <c r="GB14" s="435"/>
      <c r="GC14" s="435"/>
      <c r="GD14" s="435"/>
      <c r="GE14" s="435"/>
      <c r="GF14" s="435"/>
      <c r="GG14" s="435"/>
      <c r="GH14" s="435"/>
      <c r="GI14" s="435"/>
      <c r="GJ14" s="435"/>
      <c r="GK14" s="435"/>
      <c r="GL14" s="435"/>
      <c r="GM14" s="435"/>
      <c r="GN14" s="435"/>
      <c r="GO14" s="435"/>
      <c r="GP14" s="435"/>
      <c r="GQ14" s="435"/>
      <c r="GR14" s="435"/>
      <c r="GS14" s="435"/>
      <c r="GT14" s="435"/>
      <c r="GU14" s="435"/>
      <c r="GV14" s="435"/>
      <c r="GW14" s="435"/>
      <c r="GX14" s="435"/>
      <c r="GY14" s="435"/>
      <c r="GZ14" s="435"/>
      <c r="HA14" s="435"/>
      <c r="HB14" s="435"/>
      <c r="HC14" s="435"/>
      <c r="HD14" s="435"/>
      <c r="HE14" s="435"/>
      <c r="HF14" s="435"/>
      <c r="HG14" s="435"/>
      <c r="HH14" s="435"/>
      <c r="HI14" s="435"/>
      <c r="HJ14" s="435"/>
      <c r="HK14" s="435"/>
      <c r="HL14" s="435"/>
      <c r="HM14" s="435"/>
      <c r="HN14" s="435"/>
      <c r="HO14" s="435"/>
      <c r="HP14" s="435"/>
      <c r="HQ14" s="435"/>
      <c r="HR14" s="435"/>
      <c r="HS14" s="435"/>
      <c r="HT14" s="435"/>
      <c r="HU14" s="435"/>
      <c r="HV14" s="435"/>
      <c r="HW14" s="435"/>
      <c r="HX14" s="435"/>
      <c r="HY14" s="435"/>
      <c r="HZ14" s="435"/>
      <c r="IA14" s="435"/>
      <c r="IB14" s="435"/>
      <c r="IC14" s="435"/>
      <c r="ID14" s="435"/>
      <c r="IE14" s="435"/>
      <c r="IF14" s="435"/>
      <c r="IG14" s="435"/>
      <c r="IH14" s="435"/>
      <c r="II14" s="435"/>
      <c r="IJ14" s="435"/>
      <c r="IK14" s="435"/>
      <c r="IL14" s="435"/>
      <c r="IM14" s="435"/>
      <c r="IN14" s="435"/>
      <c r="IO14" s="435"/>
      <c r="IP14" s="435"/>
      <c r="IQ14" s="435"/>
      <c r="IR14" s="435"/>
      <c r="IS14" s="435"/>
      <c r="IT14" s="435"/>
      <c r="IU14" s="435"/>
      <c r="IV14" s="435"/>
    </row>
    <row r="15" spans="1:16" ht="18" customHeight="1">
      <c r="A15" s="778">
        <v>7</v>
      </c>
      <c r="B15" s="636"/>
      <c r="C15" s="480"/>
      <c r="D15" s="1024" t="s">
        <v>293</v>
      </c>
      <c r="E15" s="447">
        <f>F15+G15+O15+P15+3250</f>
        <v>163747</v>
      </c>
      <c r="F15" s="447">
        <v>6541</v>
      </c>
      <c r="G15" s="448">
        <v>40</v>
      </c>
      <c r="H15" s="1029"/>
      <c r="I15" s="1333"/>
      <c r="J15" s="1020"/>
      <c r="K15" s="1020">
        <v>342</v>
      </c>
      <c r="L15" s="1020"/>
      <c r="M15" s="1020">
        <v>153574</v>
      </c>
      <c r="N15" s="1042"/>
      <c r="O15" s="1016">
        <f>SUM(I15:N15)</f>
        <v>153916</v>
      </c>
      <c r="P15" s="769"/>
    </row>
    <row r="16" spans="1:16" ht="33">
      <c r="A16" s="778">
        <v>8</v>
      </c>
      <c r="B16" s="636"/>
      <c r="C16" s="437">
        <v>4</v>
      </c>
      <c r="D16" s="1014" t="s">
        <v>514</v>
      </c>
      <c r="E16" s="447"/>
      <c r="F16" s="447"/>
      <c r="G16" s="448"/>
      <c r="H16" s="1029" t="s">
        <v>24</v>
      </c>
      <c r="I16" s="1333"/>
      <c r="J16" s="1020"/>
      <c r="K16" s="1020"/>
      <c r="L16" s="1020"/>
      <c r="M16" s="1020"/>
      <c r="N16" s="1042"/>
      <c r="O16" s="1016"/>
      <c r="P16" s="769"/>
    </row>
    <row r="17" spans="1:16" ht="18" customHeight="1">
      <c r="A17" s="778">
        <v>9</v>
      </c>
      <c r="B17" s="636"/>
      <c r="C17" s="480"/>
      <c r="D17" s="1024" t="s">
        <v>293</v>
      </c>
      <c r="E17" s="447">
        <f>F17+G17+O17+P17</f>
        <v>64792</v>
      </c>
      <c r="F17" s="447">
        <v>1956</v>
      </c>
      <c r="G17" s="448"/>
      <c r="H17" s="1029"/>
      <c r="I17" s="1333"/>
      <c r="J17" s="1020"/>
      <c r="K17" s="1020">
        <v>270</v>
      </c>
      <c r="L17" s="1020"/>
      <c r="M17" s="1020">
        <v>62566</v>
      </c>
      <c r="N17" s="1042"/>
      <c r="O17" s="1016">
        <f>SUM(I17:N17)</f>
        <v>62836</v>
      </c>
      <c r="P17" s="769"/>
    </row>
    <row r="18" spans="1:16" ht="33">
      <c r="A18" s="778">
        <v>10</v>
      </c>
      <c r="B18" s="636"/>
      <c r="C18" s="437">
        <v>5</v>
      </c>
      <c r="D18" s="1013" t="s">
        <v>515</v>
      </c>
      <c r="E18" s="447"/>
      <c r="F18" s="447"/>
      <c r="G18" s="448"/>
      <c r="H18" s="1029" t="s">
        <v>24</v>
      </c>
      <c r="I18" s="1333"/>
      <c r="J18" s="1020"/>
      <c r="K18" s="1020"/>
      <c r="L18" s="1020"/>
      <c r="M18" s="1020"/>
      <c r="N18" s="1042"/>
      <c r="O18" s="1016"/>
      <c r="P18" s="769"/>
    </row>
    <row r="19" spans="1:16" ht="18" customHeight="1">
      <c r="A19" s="778">
        <v>11</v>
      </c>
      <c r="B19" s="636"/>
      <c r="C19" s="480"/>
      <c r="D19" s="1024" t="s">
        <v>293</v>
      </c>
      <c r="E19" s="447">
        <f>F19+G19+O19+P19</f>
        <v>79009</v>
      </c>
      <c r="F19" s="447">
        <v>2459</v>
      </c>
      <c r="G19" s="448">
        <v>100</v>
      </c>
      <c r="H19" s="1029"/>
      <c r="I19" s="1333"/>
      <c r="J19" s="1020"/>
      <c r="K19" s="1020">
        <v>170</v>
      </c>
      <c r="L19" s="1020"/>
      <c r="M19" s="1020">
        <v>76280</v>
      </c>
      <c r="N19" s="1042"/>
      <c r="O19" s="1016">
        <f>SUM(I19:N19)</f>
        <v>76450</v>
      </c>
      <c r="P19" s="769"/>
    </row>
    <row r="20" spans="1:256" s="765" customFormat="1" ht="54.75" customHeight="1">
      <c r="A20" s="778">
        <v>12</v>
      </c>
      <c r="B20" s="772"/>
      <c r="C20" s="437">
        <v>6</v>
      </c>
      <c r="D20" s="1012" t="s">
        <v>473</v>
      </c>
      <c r="E20" s="447"/>
      <c r="F20" s="768"/>
      <c r="G20" s="448"/>
      <c r="H20" s="1053" t="s">
        <v>24</v>
      </c>
      <c r="I20" s="1027"/>
      <c r="J20" s="1021"/>
      <c r="K20" s="1021"/>
      <c r="L20" s="1021"/>
      <c r="M20" s="1021"/>
      <c r="N20" s="1043"/>
      <c r="O20" s="1016"/>
      <c r="P20" s="769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435"/>
      <c r="DT20" s="435"/>
      <c r="DU20" s="435"/>
      <c r="DV20" s="435"/>
      <c r="DW20" s="435"/>
      <c r="DX20" s="435"/>
      <c r="DY20" s="435"/>
      <c r="DZ20" s="435"/>
      <c r="EA20" s="435"/>
      <c r="EB20" s="435"/>
      <c r="EC20" s="435"/>
      <c r="ED20" s="435"/>
      <c r="EE20" s="435"/>
      <c r="EF20" s="435"/>
      <c r="EG20" s="435"/>
      <c r="EH20" s="435"/>
      <c r="EI20" s="435"/>
      <c r="EJ20" s="435"/>
      <c r="EK20" s="435"/>
      <c r="EL20" s="435"/>
      <c r="EM20" s="435"/>
      <c r="EN20" s="435"/>
      <c r="EO20" s="435"/>
      <c r="EP20" s="435"/>
      <c r="EQ20" s="435"/>
      <c r="ER20" s="435"/>
      <c r="ES20" s="435"/>
      <c r="ET20" s="435"/>
      <c r="EU20" s="435"/>
      <c r="EV20" s="435"/>
      <c r="EW20" s="435"/>
      <c r="EX20" s="435"/>
      <c r="EY20" s="435"/>
      <c r="EZ20" s="435"/>
      <c r="FA20" s="435"/>
      <c r="FB20" s="435"/>
      <c r="FC20" s="435"/>
      <c r="FD20" s="435"/>
      <c r="FE20" s="435"/>
      <c r="FF20" s="435"/>
      <c r="FG20" s="435"/>
      <c r="FH20" s="435"/>
      <c r="FI20" s="435"/>
      <c r="FJ20" s="435"/>
      <c r="FK20" s="435"/>
      <c r="FL20" s="435"/>
      <c r="FM20" s="435"/>
      <c r="FN20" s="435"/>
      <c r="FO20" s="435"/>
      <c r="FP20" s="435"/>
      <c r="FQ20" s="435"/>
      <c r="FR20" s="435"/>
      <c r="FS20" s="435"/>
      <c r="FT20" s="435"/>
      <c r="FU20" s="435"/>
      <c r="FV20" s="435"/>
      <c r="FW20" s="435"/>
      <c r="FX20" s="435"/>
      <c r="FY20" s="435"/>
      <c r="FZ20" s="435"/>
      <c r="GA20" s="435"/>
      <c r="GB20" s="435"/>
      <c r="GC20" s="435"/>
      <c r="GD20" s="435"/>
      <c r="GE20" s="435"/>
      <c r="GF20" s="435"/>
      <c r="GG20" s="435"/>
      <c r="GH20" s="435"/>
      <c r="GI20" s="435"/>
      <c r="GJ20" s="435"/>
      <c r="GK20" s="435"/>
      <c r="GL20" s="435"/>
      <c r="GM20" s="435"/>
      <c r="GN20" s="435"/>
      <c r="GO20" s="435"/>
      <c r="GP20" s="435"/>
      <c r="GQ20" s="435"/>
      <c r="GR20" s="435"/>
      <c r="GS20" s="435"/>
      <c r="GT20" s="435"/>
      <c r="GU20" s="435"/>
      <c r="GV20" s="435"/>
      <c r="GW20" s="435"/>
      <c r="GX20" s="435"/>
      <c r="GY20" s="435"/>
      <c r="GZ20" s="435"/>
      <c r="HA20" s="435"/>
      <c r="HB20" s="435"/>
      <c r="HC20" s="435"/>
      <c r="HD20" s="435"/>
      <c r="HE20" s="435"/>
      <c r="HF20" s="435"/>
      <c r="HG20" s="435"/>
      <c r="HH20" s="435"/>
      <c r="HI20" s="435"/>
      <c r="HJ20" s="435"/>
      <c r="HK20" s="435"/>
      <c r="HL20" s="435"/>
      <c r="HM20" s="435"/>
      <c r="HN20" s="435"/>
      <c r="HO20" s="435"/>
      <c r="HP20" s="435"/>
      <c r="HQ20" s="435"/>
      <c r="HR20" s="435"/>
      <c r="HS20" s="435"/>
      <c r="HT20" s="435"/>
      <c r="HU20" s="435"/>
      <c r="HV20" s="435"/>
      <c r="HW20" s="435"/>
      <c r="HX20" s="435"/>
      <c r="HY20" s="435"/>
      <c r="HZ20" s="435"/>
      <c r="IA20" s="435"/>
      <c r="IB20" s="435"/>
      <c r="IC20" s="435"/>
      <c r="ID20" s="435"/>
      <c r="IE20" s="435"/>
      <c r="IF20" s="435"/>
      <c r="IG20" s="435"/>
      <c r="IH20" s="435"/>
      <c r="II20" s="435"/>
      <c r="IJ20" s="435"/>
      <c r="IK20" s="435"/>
      <c r="IL20" s="435"/>
      <c r="IM20" s="435"/>
      <c r="IN20" s="435"/>
      <c r="IO20" s="435"/>
      <c r="IP20" s="435"/>
      <c r="IQ20" s="435"/>
      <c r="IR20" s="435"/>
      <c r="IS20" s="435"/>
      <c r="IT20" s="435"/>
      <c r="IU20" s="435"/>
      <c r="IV20" s="435"/>
    </row>
    <row r="21" spans="1:16" ht="18" customHeight="1">
      <c r="A21" s="778">
        <v>13</v>
      </c>
      <c r="B21" s="636"/>
      <c r="C21" s="480"/>
      <c r="D21" s="1024" t="s">
        <v>293</v>
      </c>
      <c r="E21" s="447">
        <f>F21+G21+O21+P21</f>
        <v>307836</v>
      </c>
      <c r="F21" s="768">
        <f>1024+40</f>
        <v>1064</v>
      </c>
      <c r="G21" s="448">
        <v>908</v>
      </c>
      <c r="H21" s="1029"/>
      <c r="I21" s="1027"/>
      <c r="J21" s="1021"/>
      <c r="K21" s="1021">
        <v>474</v>
      </c>
      <c r="L21" s="1021"/>
      <c r="M21" s="1021">
        <v>305390</v>
      </c>
      <c r="N21" s="1043"/>
      <c r="O21" s="1016">
        <f>SUM(I21:N21)</f>
        <v>305864</v>
      </c>
      <c r="P21" s="769"/>
    </row>
    <row r="22" spans="1:256" s="765" customFormat="1" ht="33">
      <c r="A22" s="778">
        <v>14</v>
      </c>
      <c r="B22" s="772"/>
      <c r="C22" s="437">
        <v>7</v>
      </c>
      <c r="D22" s="439" t="s">
        <v>513</v>
      </c>
      <c r="E22" s="447"/>
      <c r="F22" s="768"/>
      <c r="G22" s="448"/>
      <c r="H22" s="1053" t="s">
        <v>24</v>
      </c>
      <c r="I22" s="1027"/>
      <c r="J22" s="1021"/>
      <c r="K22" s="1021"/>
      <c r="L22" s="1021"/>
      <c r="M22" s="1021"/>
      <c r="N22" s="1043"/>
      <c r="O22" s="1016"/>
      <c r="P22" s="769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5"/>
      <c r="CJ22" s="435"/>
      <c r="CK22" s="435"/>
      <c r="CL22" s="435"/>
      <c r="CM22" s="435"/>
      <c r="CN22" s="435"/>
      <c r="CO22" s="435"/>
      <c r="CP22" s="435"/>
      <c r="CQ22" s="435"/>
      <c r="CR22" s="435"/>
      <c r="CS22" s="435"/>
      <c r="CT22" s="435"/>
      <c r="CU22" s="435"/>
      <c r="CV22" s="435"/>
      <c r="CW22" s="435"/>
      <c r="CX22" s="435"/>
      <c r="CY22" s="435"/>
      <c r="CZ22" s="435"/>
      <c r="DA22" s="435"/>
      <c r="DB22" s="435"/>
      <c r="DC22" s="435"/>
      <c r="DD22" s="435"/>
      <c r="DE22" s="435"/>
      <c r="DF22" s="435"/>
      <c r="DG22" s="435"/>
      <c r="DH22" s="435"/>
      <c r="DI22" s="435"/>
      <c r="DJ22" s="435"/>
      <c r="DK22" s="435"/>
      <c r="DL22" s="435"/>
      <c r="DM22" s="435"/>
      <c r="DN22" s="435"/>
      <c r="DO22" s="435"/>
      <c r="DP22" s="435"/>
      <c r="DQ22" s="435"/>
      <c r="DR22" s="435"/>
      <c r="DS22" s="435"/>
      <c r="DT22" s="435"/>
      <c r="DU22" s="435"/>
      <c r="DV22" s="435"/>
      <c r="DW22" s="435"/>
      <c r="DX22" s="435"/>
      <c r="DY22" s="435"/>
      <c r="DZ22" s="435"/>
      <c r="EA22" s="435"/>
      <c r="EB22" s="435"/>
      <c r="EC22" s="435"/>
      <c r="ED22" s="435"/>
      <c r="EE22" s="435"/>
      <c r="EF22" s="435"/>
      <c r="EG22" s="435"/>
      <c r="EH22" s="435"/>
      <c r="EI22" s="435"/>
      <c r="EJ22" s="435"/>
      <c r="EK22" s="435"/>
      <c r="EL22" s="435"/>
      <c r="EM22" s="435"/>
      <c r="EN22" s="435"/>
      <c r="EO22" s="435"/>
      <c r="EP22" s="435"/>
      <c r="EQ22" s="435"/>
      <c r="ER22" s="435"/>
      <c r="ES22" s="435"/>
      <c r="ET22" s="435"/>
      <c r="EU22" s="435"/>
      <c r="EV22" s="435"/>
      <c r="EW22" s="435"/>
      <c r="EX22" s="435"/>
      <c r="EY22" s="435"/>
      <c r="EZ22" s="435"/>
      <c r="FA22" s="435"/>
      <c r="FB22" s="435"/>
      <c r="FC22" s="435"/>
      <c r="FD22" s="435"/>
      <c r="FE22" s="435"/>
      <c r="FF22" s="435"/>
      <c r="FG22" s="435"/>
      <c r="FH22" s="435"/>
      <c r="FI22" s="435"/>
      <c r="FJ22" s="435"/>
      <c r="FK22" s="435"/>
      <c r="FL22" s="435"/>
      <c r="FM22" s="435"/>
      <c r="FN22" s="435"/>
      <c r="FO22" s="435"/>
      <c r="FP22" s="435"/>
      <c r="FQ22" s="435"/>
      <c r="FR22" s="435"/>
      <c r="FS22" s="435"/>
      <c r="FT22" s="435"/>
      <c r="FU22" s="435"/>
      <c r="FV22" s="435"/>
      <c r="FW22" s="435"/>
      <c r="FX22" s="435"/>
      <c r="FY22" s="435"/>
      <c r="FZ22" s="435"/>
      <c r="GA22" s="435"/>
      <c r="GB22" s="435"/>
      <c r="GC22" s="435"/>
      <c r="GD22" s="435"/>
      <c r="GE22" s="435"/>
      <c r="GF22" s="435"/>
      <c r="GG22" s="435"/>
      <c r="GH22" s="435"/>
      <c r="GI22" s="435"/>
      <c r="GJ22" s="435"/>
      <c r="GK22" s="435"/>
      <c r="GL22" s="435"/>
      <c r="GM22" s="435"/>
      <c r="GN22" s="435"/>
      <c r="GO22" s="435"/>
      <c r="GP22" s="435"/>
      <c r="GQ22" s="435"/>
      <c r="GR22" s="435"/>
      <c r="GS22" s="435"/>
      <c r="GT22" s="435"/>
      <c r="GU22" s="435"/>
      <c r="GV22" s="435"/>
      <c r="GW22" s="435"/>
      <c r="GX22" s="435"/>
      <c r="GY22" s="435"/>
      <c r="GZ22" s="435"/>
      <c r="HA22" s="435"/>
      <c r="HB22" s="435"/>
      <c r="HC22" s="435"/>
      <c r="HD22" s="435"/>
      <c r="HE22" s="435"/>
      <c r="HF22" s="435"/>
      <c r="HG22" s="435"/>
      <c r="HH22" s="435"/>
      <c r="HI22" s="435"/>
      <c r="HJ22" s="435"/>
      <c r="HK22" s="435"/>
      <c r="HL22" s="435"/>
      <c r="HM22" s="435"/>
      <c r="HN22" s="435"/>
      <c r="HO22" s="435"/>
      <c r="HP22" s="435"/>
      <c r="HQ22" s="435"/>
      <c r="HR22" s="435"/>
      <c r="HS22" s="435"/>
      <c r="HT22" s="435"/>
      <c r="HU22" s="435"/>
      <c r="HV22" s="435"/>
      <c r="HW22" s="435"/>
      <c r="HX22" s="435"/>
      <c r="HY22" s="435"/>
      <c r="HZ22" s="435"/>
      <c r="IA22" s="435"/>
      <c r="IB22" s="435"/>
      <c r="IC22" s="435"/>
      <c r="ID22" s="435"/>
      <c r="IE22" s="435"/>
      <c r="IF22" s="435"/>
      <c r="IG22" s="435"/>
      <c r="IH22" s="435"/>
      <c r="II22" s="435"/>
      <c r="IJ22" s="435"/>
      <c r="IK22" s="435"/>
      <c r="IL22" s="435"/>
      <c r="IM22" s="435"/>
      <c r="IN22" s="435"/>
      <c r="IO22" s="435"/>
      <c r="IP22" s="435"/>
      <c r="IQ22" s="435"/>
      <c r="IR22" s="435"/>
      <c r="IS22" s="435"/>
      <c r="IT22" s="435"/>
      <c r="IU22" s="435"/>
      <c r="IV22" s="435"/>
    </row>
    <row r="23" spans="1:16" ht="18" customHeight="1">
      <c r="A23" s="778">
        <v>15</v>
      </c>
      <c r="B23" s="636"/>
      <c r="C23" s="480"/>
      <c r="D23" s="1024" t="s">
        <v>293</v>
      </c>
      <c r="E23" s="447">
        <f>F23+G23+O23+P23</f>
        <v>302981</v>
      </c>
      <c r="F23" s="768">
        <f>6401+100</f>
        <v>6501</v>
      </c>
      <c r="G23" s="448">
        <v>128</v>
      </c>
      <c r="H23" s="1029"/>
      <c r="I23" s="1027"/>
      <c r="J23" s="1021"/>
      <c r="K23" s="1021">
        <v>150</v>
      </c>
      <c r="L23" s="1021"/>
      <c r="M23" s="1021">
        <v>296202</v>
      </c>
      <c r="N23" s="1043"/>
      <c r="O23" s="1016">
        <f>SUM(I23:N23)</f>
        <v>296352</v>
      </c>
      <c r="P23" s="769"/>
    </row>
    <row r="24" spans="1:16" ht="33">
      <c r="A24" s="778">
        <v>16</v>
      </c>
      <c r="B24" s="636"/>
      <c r="C24" s="437">
        <v>8</v>
      </c>
      <c r="D24" s="439" t="s">
        <v>516</v>
      </c>
      <c r="E24" s="447"/>
      <c r="F24" s="768"/>
      <c r="G24" s="448"/>
      <c r="H24" s="1029" t="s">
        <v>24</v>
      </c>
      <c r="I24" s="1027"/>
      <c r="J24" s="1021"/>
      <c r="K24" s="1021"/>
      <c r="L24" s="1021"/>
      <c r="M24" s="1021"/>
      <c r="N24" s="1043"/>
      <c r="O24" s="1016"/>
      <c r="P24" s="769"/>
    </row>
    <row r="25" spans="1:256" s="765" customFormat="1" ht="18" customHeight="1">
      <c r="A25" s="778">
        <v>17</v>
      </c>
      <c r="B25" s="772"/>
      <c r="C25" s="437"/>
      <c r="D25" s="1024" t="s">
        <v>293</v>
      </c>
      <c r="E25" s="447">
        <f>F25+G25+O25+P25</f>
        <v>3597000</v>
      </c>
      <c r="F25" s="768">
        <f>450951+1231269</f>
        <v>1682220</v>
      </c>
      <c r="G25" s="448">
        <v>1173643</v>
      </c>
      <c r="H25" s="1029"/>
      <c r="I25" s="1027"/>
      <c r="J25" s="1021"/>
      <c r="K25" s="1021">
        <v>712</v>
      </c>
      <c r="L25" s="1021"/>
      <c r="M25" s="1021">
        <v>740425</v>
      </c>
      <c r="N25" s="1043"/>
      <c r="O25" s="1016">
        <f>SUM(I25:N25)</f>
        <v>741137</v>
      </c>
      <c r="P25" s="769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5"/>
      <c r="DE25" s="435"/>
      <c r="DF25" s="435"/>
      <c r="DG25" s="435"/>
      <c r="DH25" s="435"/>
      <c r="DI25" s="435"/>
      <c r="DJ25" s="435"/>
      <c r="DK25" s="435"/>
      <c r="DL25" s="435"/>
      <c r="DM25" s="435"/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5"/>
      <c r="EW25" s="435"/>
      <c r="EX25" s="435"/>
      <c r="EY25" s="435"/>
      <c r="EZ25" s="435"/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435"/>
      <c r="FL25" s="435"/>
      <c r="FM25" s="435"/>
      <c r="FN25" s="435"/>
      <c r="FO25" s="435"/>
      <c r="FP25" s="435"/>
      <c r="FQ25" s="435"/>
      <c r="FR25" s="435"/>
      <c r="FS25" s="435"/>
      <c r="FT25" s="435"/>
      <c r="FU25" s="435"/>
      <c r="FV25" s="435"/>
      <c r="FW25" s="435"/>
      <c r="FX25" s="435"/>
      <c r="FY25" s="435"/>
      <c r="FZ25" s="435"/>
      <c r="GA25" s="435"/>
      <c r="GB25" s="435"/>
      <c r="GC25" s="435"/>
      <c r="GD25" s="435"/>
      <c r="GE25" s="435"/>
      <c r="GF25" s="435"/>
      <c r="GG25" s="435"/>
      <c r="GH25" s="435"/>
      <c r="GI25" s="435"/>
      <c r="GJ25" s="435"/>
      <c r="GK25" s="435"/>
      <c r="GL25" s="435"/>
      <c r="GM25" s="435"/>
      <c r="GN25" s="435"/>
      <c r="GO25" s="435"/>
      <c r="GP25" s="435"/>
      <c r="GQ25" s="435"/>
      <c r="GR25" s="435"/>
      <c r="GS25" s="435"/>
      <c r="GT25" s="435"/>
      <c r="GU25" s="435"/>
      <c r="GV25" s="435"/>
      <c r="GW25" s="435"/>
      <c r="GX25" s="435"/>
      <c r="GY25" s="435"/>
      <c r="GZ25" s="435"/>
      <c r="HA25" s="435"/>
      <c r="HB25" s="435"/>
      <c r="HC25" s="435"/>
      <c r="HD25" s="435"/>
      <c r="HE25" s="435"/>
      <c r="HF25" s="435"/>
      <c r="HG25" s="435"/>
      <c r="HH25" s="435"/>
      <c r="HI25" s="435"/>
      <c r="HJ25" s="435"/>
      <c r="HK25" s="435"/>
      <c r="HL25" s="435"/>
      <c r="HM25" s="435"/>
      <c r="HN25" s="435"/>
      <c r="HO25" s="435"/>
      <c r="HP25" s="435"/>
      <c r="HQ25" s="435"/>
      <c r="HR25" s="435"/>
      <c r="HS25" s="435"/>
      <c r="HT25" s="435"/>
      <c r="HU25" s="435"/>
      <c r="HV25" s="435"/>
      <c r="HW25" s="435"/>
      <c r="HX25" s="435"/>
      <c r="HY25" s="435"/>
      <c r="HZ25" s="435"/>
      <c r="IA25" s="435"/>
      <c r="IB25" s="435"/>
      <c r="IC25" s="435"/>
      <c r="ID25" s="435"/>
      <c r="IE25" s="435"/>
      <c r="IF25" s="435"/>
      <c r="IG25" s="435"/>
      <c r="IH25" s="435"/>
      <c r="II25" s="435"/>
      <c r="IJ25" s="435"/>
      <c r="IK25" s="435"/>
      <c r="IL25" s="435"/>
      <c r="IM25" s="435"/>
      <c r="IN25" s="435"/>
      <c r="IO25" s="435"/>
      <c r="IP25" s="435"/>
      <c r="IQ25" s="435"/>
      <c r="IR25" s="435"/>
      <c r="IS25" s="435"/>
      <c r="IT25" s="435"/>
      <c r="IU25" s="435"/>
      <c r="IV25" s="435"/>
    </row>
    <row r="26" spans="1:16" ht="33">
      <c r="A26" s="778">
        <v>18</v>
      </c>
      <c r="B26" s="636"/>
      <c r="C26" s="437">
        <v>9</v>
      </c>
      <c r="D26" s="439" t="s">
        <v>749</v>
      </c>
      <c r="E26" s="447"/>
      <c r="F26" s="768"/>
      <c r="G26" s="448"/>
      <c r="H26" s="1029" t="s">
        <v>24</v>
      </c>
      <c r="I26" s="1027"/>
      <c r="J26" s="1021"/>
      <c r="K26" s="1021"/>
      <c r="L26" s="1021"/>
      <c r="M26" s="1021"/>
      <c r="N26" s="1043"/>
      <c r="O26" s="1016"/>
      <c r="P26" s="769"/>
    </row>
    <row r="27" spans="1:256" s="765" customFormat="1" ht="18" customHeight="1">
      <c r="A27" s="778">
        <v>19</v>
      </c>
      <c r="B27" s="772"/>
      <c r="C27" s="480"/>
      <c r="D27" s="1024" t="s">
        <v>293</v>
      </c>
      <c r="E27" s="447">
        <f>F27+G27+O27+P27+6000</f>
        <v>240183</v>
      </c>
      <c r="F27" s="768">
        <f>9749+3835</f>
        <v>13584</v>
      </c>
      <c r="G27" s="448">
        <v>1005</v>
      </c>
      <c r="H27" s="1029"/>
      <c r="I27" s="1027"/>
      <c r="J27" s="1021"/>
      <c r="K27" s="1021">
        <v>2010</v>
      </c>
      <c r="L27" s="1021"/>
      <c r="M27" s="1021">
        <v>217584</v>
      </c>
      <c r="N27" s="1043"/>
      <c r="O27" s="1016">
        <f>SUM(I27:N27)</f>
        <v>219594</v>
      </c>
      <c r="P27" s="769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5"/>
      <c r="CC27" s="435"/>
      <c r="CD27" s="435"/>
      <c r="CE27" s="435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5"/>
      <c r="DD27" s="435"/>
      <c r="DE27" s="435"/>
      <c r="DF27" s="435"/>
      <c r="DG27" s="435"/>
      <c r="DH27" s="435"/>
      <c r="DI27" s="435"/>
      <c r="DJ27" s="435"/>
      <c r="DK27" s="435"/>
      <c r="DL27" s="435"/>
      <c r="DM27" s="435"/>
      <c r="DN27" s="435"/>
      <c r="DO27" s="435"/>
      <c r="DP27" s="435"/>
      <c r="DQ27" s="435"/>
      <c r="DR27" s="435"/>
      <c r="DS27" s="435"/>
      <c r="DT27" s="435"/>
      <c r="DU27" s="435"/>
      <c r="DV27" s="435"/>
      <c r="DW27" s="435"/>
      <c r="DX27" s="435"/>
      <c r="DY27" s="435"/>
      <c r="DZ27" s="435"/>
      <c r="EA27" s="435"/>
      <c r="EB27" s="435"/>
      <c r="EC27" s="435"/>
      <c r="ED27" s="435"/>
      <c r="EE27" s="435"/>
      <c r="EF27" s="435"/>
      <c r="EG27" s="435"/>
      <c r="EH27" s="435"/>
      <c r="EI27" s="435"/>
      <c r="EJ27" s="435"/>
      <c r="EK27" s="435"/>
      <c r="EL27" s="435"/>
      <c r="EM27" s="435"/>
      <c r="EN27" s="435"/>
      <c r="EO27" s="435"/>
      <c r="EP27" s="435"/>
      <c r="EQ27" s="435"/>
      <c r="ER27" s="435"/>
      <c r="ES27" s="435"/>
      <c r="ET27" s="435"/>
      <c r="EU27" s="435"/>
      <c r="EV27" s="435"/>
      <c r="EW27" s="435"/>
      <c r="EX27" s="435"/>
      <c r="EY27" s="435"/>
      <c r="EZ27" s="435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435"/>
      <c r="FL27" s="435"/>
      <c r="FM27" s="435"/>
      <c r="FN27" s="435"/>
      <c r="FO27" s="435"/>
      <c r="FP27" s="435"/>
      <c r="FQ27" s="435"/>
      <c r="FR27" s="435"/>
      <c r="FS27" s="435"/>
      <c r="FT27" s="435"/>
      <c r="FU27" s="435"/>
      <c r="FV27" s="435"/>
      <c r="FW27" s="435"/>
      <c r="FX27" s="435"/>
      <c r="FY27" s="435"/>
      <c r="FZ27" s="435"/>
      <c r="GA27" s="435"/>
      <c r="GB27" s="435"/>
      <c r="GC27" s="435"/>
      <c r="GD27" s="435"/>
      <c r="GE27" s="435"/>
      <c r="GF27" s="435"/>
      <c r="GG27" s="435"/>
      <c r="GH27" s="435"/>
      <c r="GI27" s="435"/>
      <c r="GJ27" s="435"/>
      <c r="GK27" s="435"/>
      <c r="GL27" s="435"/>
      <c r="GM27" s="435"/>
      <c r="GN27" s="435"/>
      <c r="GO27" s="435"/>
      <c r="GP27" s="435"/>
      <c r="GQ27" s="435"/>
      <c r="GR27" s="435"/>
      <c r="GS27" s="435"/>
      <c r="GT27" s="435"/>
      <c r="GU27" s="435"/>
      <c r="GV27" s="435"/>
      <c r="GW27" s="435"/>
      <c r="GX27" s="435"/>
      <c r="GY27" s="435"/>
      <c r="GZ27" s="435"/>
      <c r="HA27" s="435"/>
      <c r="HB27" s="435"/>
      <c r="HC27" s="435"/>
      <c r="HD27" s="435"/>
      <c r="HE27" s="435"/>
      <c r="HF27" s="435"/>
      <c r="HG27" s="435"/>
      <c r="HH27" s="435"/>
      <c r="HI27" s="435"/>
      <c r="HJ27" s="435"/>
      <c r="HK27" s="435"/>
      <c r="HL27" s="435"/>
      <c r="HM27" s="435"/>
      <c r="HN27" s="435"/>
      <c r="HO27" s="435"/>
      <c r="HP27" s="435"/>
      <c r="HQ27" s="435"/>
      <c r="HR27" s="435"/>
      <c r="HS27" s="435"/>
      <c r="HT27" s="435"/>
      <c r="HU27" s="435"/>
      <c r="HV27" s="435"/>
      <c r="HW27" s="435"/>
      <c r="HX27" s="435"/>
      <c r="HY27" s="435"/>
      <c r="HZ27" s="435"/>
      <c r="IA27" s="435"/>
      <c r="IB27" s="435"/>
      <c r="IC27" s="435"/>
      <c r="ID27" s="435"/>
      <c r="IE27" s="435"/>
      <c r="IF27" s="435"/>
      <c r="IG27" s="435"/>
      <c r="IH27" s="435"/>
      <c r="II27" s="435"/>
      <c r="IJ27" s="435"/>
      <c r="IK27" s="435"/>
      <c r="IL27" s="435"/>
      <c r="IM27" s="435"/>
      <c r="IN27" s="435"/>
      <c r="IO27" s="435"/>
      <c r="IP27" s="435"/>
      <c r="IQ27" s="435"/>
      <c r="IR27" s="435"/>
      <c r="IS27" s="435"/>
      <c r="IT27" s="435"/>
      <c r="IU27" s="435"/>
      <c r="IV27" s="435"/>
    </row>
    <row r="28" spans="1:16" ht="33">
      <c r="A28" s="778">
        <v>20</v>
      </c>
      <c r="B28" s="636"/>
      <c r="C28" s="437">
        <v>10</v>
      </c>
      <c r="D28" s="439" t="s">
        <v>517</v>
      </c>
      <c r="E28" s="447"/>
      <c r="F28" s="768"/>
      <c r="G28" s="448"/>
      <c r="H28" s="1029" t="s">
        <v>24</v>
      </c>
      <c r="I28" s="1027"/>
      <c r="J28" s="1021"/>
      <c r="K28" s="1021"/>
      <c r="L28" s="1021"/>
      <c r="M28" s="1021"/>
      <c r="N28" s="1043"/>
      <c r="O28" s="1016"/>
      <c r="P28" s="769"/>
    </row>
    <row r="29" spans="1:256" s="765" customFormat="1" ht="18" customHeight="1">
      <c r="A29" s="778">
        <v>21</v>
      </c>
      <c r="B29" s="772"/>
      <c r="C29" s="437"/>
      <c r="D29" s="1024" t="s">
        <v>293</v>
      </c>
      <c r="E29" s="447">
        <f>F29+G29+O29+P29+12000</f>
        <v>501600</v>
      </c>
      <c r="F29" s="768">
        <f>326+17127</f>
        <v>17453</v>
      </c>
      <c r="G29" s="448">
        <v>3982</v>
      </c>
      <c r="H29" s="1029"/>
      <c r="I29" s="1027"/>
      <c r="J29" s="1021"/>
      <c r="K29" s="1021">
        <v>8311</v>
      </c>
      <c r="L29" s="1021"/>
      <c r="M29" s="1021">
        <v>459854</v>
      </c>
      <c r="N29" s="1043"/>
      <c r="O29" s="1016">
        <f>SUM(I29:N29)</f>
        <v>468165</v>
      </c>
      <c r="P29" s="769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5"/>
      <c r="DE29" s="435"/>
      <c r="DF29" s="435"/>
      <c r="DG29" s="435"/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435"/>
      <c r="DT29" s="435"/>
      <c r="DU29" s="435"/>
      <c r="DV29" s="435"/>
      <c r="DW29" s="435"/>
      <c r="DX29" s="435"/>
      <c r="DY29" s="435"/>
      <c r="DZ29" s="435"/>
      <c r="EA29" s="435"/>
      <c r="EB29" s="435"/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5"/>
      <c r="EW29" s="435"/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5"/>
      <c r="FK29" s="435"/>
      <c r="FL29" s="435"/>
      <c r="FM29" s="435"/>
      <c r="FN29" s="435"/>
      <c r="FO29" s="435"/>
      <c r="FP29" s="435"/>
      <c r="FQ29" s="435"/>
      <c r="FR29" s="435"/>
      <c r="FS29" s="435"/>
      <c r="FT29" s="435"/>
      <c r="FU29" s="435"/>
      <c r="FV29" s="435"/>
      <c r="FW29" s="435"/>
      <c r="FX29" s="435"/>
      <c r="FY29" s="435"/>
      <c r="FZ29" s="435"/>
      <c r="GA29" s="435"/>
      <c r="GB29" s="435"/>
      <c r="GC29" s="435"/>
      <c r="GD29" s="435"/>
      <c r="GE29" s="435"/>
      <c r="GF29" s="435"/>
      <c r="GG29" s="435"/>
      <c r="GH29" s="435"/>
      <c r="GI29" s="435"/>
      <c r="GJ29" s="435"/>
      <c r="GK29" s="435"/>
      <c r="GL29" s="435"/>
      <c r="GM29" s="435"/>
      <c r="GN29" s="435"/>
      <c r="GO29" s="435"/>
      <c r="GP29" s="435"/>
      <c r="GQ29" s="435"/>
      <c r="GR29" s="435"/>
      <c r="GS29" s="435"/>
      <c r="GT29" s="435"/>
      <c r="GU29" s="435"/>
      <c r="GV29" s="435"/>
      <c r="GW29" s="435"/>
      <c r="GX29" s="435"/>
      <c r="GY29" s="435"/>
      <c r="GZ29" s="435"/>
      <c r="HA29" s="435"/>
      <c r="HB29" s="435"/>
      <c r="HC29" s="435"/>
      <c r="HD29" s="435"/>
      <c r="HE29" s="435"/>
      <c r="HF29" s="435"/>
      <c r="HG29" s="435"/>
      <c r="HH29" s="435"/>
      <c r="HI29" s="435"/>
      <c r="HJ29" s="435"/>
      <c r="HK29" s="435"/>
      <c r="HL29" s="435"/>
      <c r="HM29" s="435"/>
      <c r="HN29" s="435"/>
      <c r="HO29" s="435"/>
      <c r="HP29" s="435"/>
      <c r="HQ29" s="435"/>
      <c r="HR29" s="435"/>
      <c r="HS29" s="435"/>
      <c r="HT29" s="435"/>
      <c r="HU29" s="435"/>
      <c r="HV29" s="435"/>
      <c r="HW29" s="435"/>
      <c r="HX29" s="435"/>
      <c r="HY29" s="435"/>
      <c r="HZ29" s="435"/>
      <c r="IA29" s="435"/>
      <c r="IB29" s="435"/>
      <c r="IC29" s="435"/>
      <c r="ID29" s="435"/>
      <c r="IE29" s="435"/>
      <c r="IF29" s="435"/>
      <c r="IG29" s="435"/>
      <c r="IH29" s="435"/>
      <c r="II29" s="435"/>
      <c r="IJ29" s="435"/>
      <c r="IK29" s="435"/>
      <c r="IL29" s="435"/>
      <c r="IM29" s="435"/>
      <c r="IN29" s="435"/>
      <c r="IO29" s="435"/>
      <c r="IP29" s="435"/>
      <c r="IQ29" s="435"/>
      <c r="IR29" s="435"/>
      <c r="IS29" s="435"/>
      <c r="IT29" s="435"/>
      <c r="IU29" s="435"/>
      <c r="IV29" s="435"/>
    </row>
    <row r="30" spans="1:256" s="765" customFormat="1" ht="34.5" customHeight="1">
      <c r="A30" s="778">
        <v>22</v>
      </c>
      <c r="B30" s="772"/>
      <c r="C30" s="437">
        <v>11</v>
      </c>
      <c r="D30" s="439" t="s">
        <v>750</v>
      </c>
      <c r="E30" s="447"/>
      <c r="F30" s="768"/>
      <c r="G30" s="448"/>
      <c r="H30" s="1029"/>
      <c r="I30" s="1027"/>
      <c r="J30" s="1021"/>
      <c r="K30" s="1021"/>
      <c r="L30" s="1021"/>
      <c r="M30" s="1021"/>
      <c r="N30" s="1043"/>
      <c r="O30" s="1016"/>
      <c r="P30" s="769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435"/>
      <c r="DW30" s="435"/>
      <c r="DX30" s="435"/>
      <c r="DY30" s="435"/>
      <c r="DZ30" s="435"/>
      <c r="EA30" s="435"/>
      <c r="EB30" s="435"/>
      <c r="EC30" s="435"/>
      <c r="ED30" s="435"/>
      <c r="EE30" s="435"/>
      <c r="EF30" s="435"/>
      <c r="EG30" s="435"/>
      <c r="EH30" s="435"/>
      <c r="EI30" s="435"/>
      <c r="EJ30" s="435"/>
      <c r="EK30" s="435"/>
      <c r="EL30" s="435"/>
      <c r="EM30" s="435"/>
      <c r="EN30" s="435"/>
      <c r="EO30" s="435"/>
      <c r="EP30" s="435"/>
      <c r="EQ30" s="435"/>
      <c r="ER30" s="435"/>
      <c r="ES30" s="435"/>
      <c r="ET30" s="435"/>
      <c r="EU30" s="435"/>
      <c r="EV30" s="435"/>
      <c r="EW30" s="435"/>
      <c r="EX30" s="435"/>
      <c r="EY30" s="435"/>
      <c r="EZ30" s="435"/>
      <c r="FA30" s="435"/>
      <c r="FB30" s="435"/>
      <c r="FC30" s="435"/>
      <c r="FD30" s="435"/>
      <c r="FE30" s="435"/>
      <c r="FF30" s="435"/>
      <c r="FG30" s="435"/>
      <c r="FH30" s="435"/>
      <c r="FI30" s="435"/>
      <c r="FJ30" s="435"/>
      <c r="FK30" s="435"/>
      <c r="FL30" s="435"/>
      <c r="FM30" s="435"/>
      <c r="FN30" s="435"/>
      <c r="FO30" s="435"/>
      <c r="FP30" s="435"/>
      <c r="FQ30" s="435"/>
      <c r="FR30" s="435"/>
      <c r="FS30" s="435"/>
      <c r="FT30" s="435"/>
      <c r="FU30" s="435"/>
      <c r="FV30" s="435"/>
      <c r="FW30" s="435"/>
      <c r="FX30" s="435"/>
      <c r="FY30" s="435"/>
      <c r="FZ30" s="435"/>
      <c r="GA30" s="435"/>
      <c r="GB30" s="435"/>
      <c r="GC30" s="435"/>
      <c r="GD30" s="435"/>
      <c r="GE30" s="435"/>
      <c r="GF30" s="435"/>
      <c r="GG30" s="435"/>
      <c r="GH30" s="435"/>
      <c r="GI30" s="435"/>
      <c r="GJ30" s="435"/>
      <c r="GK30" s="435"/>
      <c r="GL30" s="435"/>
      <c r="GM30" s="435"/>
      <c r="GN30" s="435"/>
      <c r="GO30" s="435"/>
      <c r="GP30" s="435"/>
      <c r="GQ30" s="435"/>
      <c r="GR30" s="435"/>
      <c r="GS30" s="435"/>
      <c r="GT30" s="435"/>
      <c r="GU30" s="435"/>
      <c r="GV30" s="435"/>
      <c r="GW30" s="435"/>
      <c r="GX30" s="435"/>
      <c r="GY30" s="435"/>
      <c r="GZ30" s="435"/>
      <c r="HA30" s="435"/>
      <c r="HB30" s="435"/>
      <c r="HC30" s="435"/>
      <c r="HD30" s="435"/>
      <c r="HE30" s="435"/>
      <c r="HF30" s="435"/>
      <c r="HG30" s="435"/>
      <c r="HH30" s="435"/>
      <c r="HI30" s="435"/>
      <c r="HJ30" s="435"/>
      <c r="HK30" s="435"/>
      <c r="HL30" s="435"/>
      <c r="HM30" s="435"/>
      <c r="HN30" s="435"/>
      <c r="HO30" s="435"/>
      <c r="HP30" s="435"/>
      <c r="HQ30" s="435"/>
      <c r="HR30" s="435"/>
      <c r="HS30" s="435"/>
      <c r="HT30" s="435"/>
      <c r="HU30" s="435"/>
      <c r="HV30" s="435"/>
      <c r="HW30" s="435"/>
      <c r="HX30" s="435"/>
      <c r="HY30" s="435"/>
      <c r="HZ30" s="435"/>
      <c r="IA30" s="435"/>
      <c r="IB30" s="435"/>
      <c r="IC30" s="435"/>
      <c r="ID30" s="435"/>
      <c r="IE30" s="435"/>
      <c r="IF30" s="435"/>
      <c r="IG30" s="435"/>
      <c r="IH30" s="435"/>
      <c r="II30" s="435"/>
      <c r="IJ30" s="435"/>
      <c r="IK30" s="435"/>
      <c r="IL30" s="435"/>
      <c r="IM30" s="435"/>
      <c r="IN30" s="435"/>
      <c r="IO30" s="435"/>
      <c r="IP30" s="435"/>
      <c r="IQ30" s="435"/>
      <c r="IR30" s="435"/>
      <c r="IS30" s="435"/>
      <c r="IT30" s="435"/>
      <c r="IU30" s="435"/>
      <c r="IV30" s="435"/>
    </row>
    <row r="31" spans="1:256" s="765" customFormat="1" ht="18" customHeight="1">
      <c r="A31" s="778">
        <v>23</v>
      </c>
      <c r="B31" s="772"/>
      <c r="C31" s="437"/>
      <c r="D31" s="1024" t="s">
        <v>293</v>
      </c>
      <c r="E31" s="447">
        <f>F31+G31+O31+P31+22650</f>
        <v>906000</v>
      </c>
      <c r="F31" s="768"/>
      <c r="G31" s="448">
        <v>5906</v>
      </c>
      <c r="H31" s="1029"/>
      <c r="I31" s="1027"/>
      <c r="J31" s="1021"/>
      <c r="K31" s="1021">
        <v>19333</v>
      </c>
      <c r="L31" s="1021"/>
      <c r="M31" s="1021">
        <v>858111</v>
      </c>
      <c r="N31" s="1043"/>
      <c r="O31" s="1016">
        <f>SUM(I31:N31)</f>
        <v>877444</v>
      </c>
      <c r="P31" s="769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5"/>
      <c r="EG31" s="435"/>
      <c r="EH31" s="435"/>
      <c r="EI31" s="435"/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5"/>
      <c r="EW31" s="435"/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435"/>
      <c r="FL31" s="435"/>
      <c r="FM31" s="435"/>
      <c r="FN31" s="435"/>
      <c r="FO31" s="435"/>
      <c r="FP31" s="435"/>
      <c r="FQ31" s="435"/>
      <c r="FR31" s="435"/>
      <c r="FS31" s="435"/>
      <c r="FT31" s="435"/>
      <c r="FU31" s="435"/>
      <c r="FV31" s="435"/>
      <c r="FW31" s="435"/>
      <c r="FX31" s="435"/>
      <c r="FY31" s="435"/>
      <c r="FZ31" s="435"/>
      <c r="GA31" s="435"/>
      <c r="GB31" s="435"/>
      <c r="GC31" s="435"/>
      <c r="GD31" s="435"/>
      <c r="GE31" s="435"/>
      <c r="GF31" s="435"/>
      <c r="GG31" s="435"/>
      <c r="GH31" s="435"/>
      <c r="GI31" s="435"/>
      <c r="GJ31" s="435"/>
      <c r="GK31" s="435"/>
      <c r="GL31" s="435"/>
      <c r="GM31" s="435"/>
      <c r="GN31" s="435"/>
      <c r="GO31" s="435"/>
      <c r="GP31" s="435"/>
      <c r="GQ31" s="435"/>
      <c r="GR31" s="435"/>
      <c r="GS31" s="435"/>
      <c r="GT31" s="435"/>
      <c r="GU31" s="435"/>
      <c r="GV31" s="435"/>
      <c r="GW31" s="435"/>
      <c r="GX31" s="435"/>
      <c r="GY31" s="435"/>
      <c r="GZ31" s="435"/>
      <c r="HA31" s="435"/>
      <c r="HB31" s="435"/>
      <c r="HC31" s="435"/>
      <c r="HD31" s="435"/>
      <c r="HE31" s="435"/>
      <c r="HF31" s="435"/>
      <c r="HG31" s="435"/>
      <c r="HH31" s="435"/>
      <c r="HI31" s="435"/>
      <c r="HJ31" s="435"/>
      <c r="HK31" s="435"/>
      <c r="HL31" s="435"/>
      <c r="HM31" s="435"/>
      <c r="HN31" s="435"/>
      <c r="HO31" s="435"/>
      <c r="HP31" s="435"/>
      <c r="HQ31" s="435"/>
      <c r="HR31" s="435"/>
      <c r="HS31" s="435"/>
      <c r="HT31" s="435"/>
      <c r="HU31" s="435"/>
      <c r="HV31" s="435"/>
      <c r="HW31" s="435"/>
      <c r="HX31" s="435"/>
      <c r="HY31" s="435"/>
      <c r="HZ31" s="435"/>
      <c r="IA31" s="435"/>
      <c r="IB31" s="435"/>
      <c r="IC31" s="435"/>
      <c r="ID31" s="435"/>
      <c r="IE31" s="435"/>
      <c r="IF31" s="435"/>
      <c r="IG31" s="435"/>
      <c r="IH31" s="435"/>
      <c r="II31" s="435"/>
      <c r="IJ31" s="435"/>
      <c r="IK31" s="435"/>
      <c r="IL31" s="435"/>
      <c r="IM31" s="435"/>
      <c r="IN31" s="435"/>
      <c r="IO31" s="435"/>
      <c r="IP31" s="435"/>
      <c r="IQ31" s="435"/>
      <c r="IR31" s="435"/>
      <c r="IS31" s="435"/>
      <c r="IT31" s="435"/>
      <c r="IU31" s="435"/>
      <c r="IV31" s="435"/>
    </row>
    <row r="32" spans="1:256" s="765" customFormat="1" ht="49.5">
      <c r="A32" s="778">
        <v>24</v>
      </c>
      <c r="B32" s="772"/>
      <c r="C32" s="437">
        <v>12</v>
      </c>
      <c r="D32" s="439" t="s">
        <v>396</v>
      </c>
      <c r="E32" s="447"/>
      <c r="F32" s="768"/>
      <c r="G32" s="448"/>
      <c r="H32" s="1053" t="s">
        <v>24</v>
      </c>
      <c r="I32" s="1027"/>
      <c r="J32" s="1021"/>
      <c r="K32" s="1021"/>
      <c r="L32" s="1021"/>
      <c r="M32" s="1021"/>
      <c r="N32" s="1043"/>
      <c r="O32" s="1016"/>
      <c r="P32" s="769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5"/>
      <c r="EB32" s="435"/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5"/>
      <c r="EN32" s="435"/>
      <c r="EO32" s="435"/>
      <c r="EP32" s="435"/>
      <c r="EQ32" s="435"/>
      <c r="ER32" s="435"/>
      <c r="ES32" s="435"/>
      <c r="ET32" s="435"/>
      <c r="EU32" s="435"/>
      <c r="EV32" s="435"/>
      <c r="EW32" s="435"/>
      <c r="EX32" s="435"/>
      <c r="EY32" s="435"/>
      <c r="EZ32" s="435"/>
      <c r="FA32" s="435"/>
      <c r="FB32" s="435"/>
      <c r="FC32" s="435"/>
      <c r="FD32" s="435"/>
      <c r="FE32" s="435"/>
      <c r="FF32" s="435"/>
      <c r="FG32" s="435"/>
      <c r="FH32" s="435"/>
      <c r="FI32" s="435"/>
      <c r="FJ32" s="435"/>
      <c r="FK32" s="435"/>
      <c r="FL32" s="435"/>
      <c r="FM32" s="435"/>
      <c r="FN32" s="435"/>
      <c r="FO32" s="435"/>
      <c r="FP32" s="435"/>
      <c r="FQ32" s="435"/>
      <c r="FR32" s="435"/>
      <c r="FS32" s="435"/>
      <c r="FT32" s="435"/>
      <c r="FU32" s="435"/>
      <c r="FV32" s="435"/>
      <c r="FW32" s="435"/>
      <c r="FX32" s="435"/>
      <c r="FY32" s="435"/>
      <c r="FZ32" s="435"/>
      <c r="GA32" s="435"/>
      <c r="GB32" s="435"/>
      <c r="GC32" s="435"/>
      <c r="GD32" s="435"/>
      <c r="GE32" s="435"/>
      <c r="GF32" s="435"/>
      <c r="GG32" s="435"/>
      <c r="GH32" s="435"/>
      <c r="GI32" s="435"/>
      <c r="GJ32" s="435"/>
      <c r="GK32" s="435"/>
      <c r="GL32" s="435"/>
      <c r="GM32" s="435"/>
      <c r="GN32" s="435"/>
      <c r="GO32" s="435"/>
      <c r="GP32" s="435"/>
      <c r="GQ32" s="435"/>
      <c r="GR32" s="435"/>
      <c r="GS32" s="435"/>
      <c r="GT32" s="435"/>
      <c r="GU32" s="435"/>
      <c r="GV32" s="435"/>
      <c r="GW32" s="435"/>
      <c r="GX32" s="435"/>
      <c r="GY32" s="435"/>
      <c r="GZ32" s="435"/>
      <c r="HA32" s="435"/>
      <c r="HB32" s="435"/>
      <c r="HC32" s="435"/>
      <c r="HD32" s="435"/>
      <c r="HE32" s="435"/>
      <c r="HF32" s="435"/>
      <c r="HG32" s="435"/>
      <c r="HH32" s="435"/>
      <c r="HI32" s="435"/>
      <c r="HJ32" s="435"/>
      <c r="HK32" s="435"/>
      <c r="HL32" s="435"/>
      <c r="HM32" s="435"/>
      <c r="HN32" s="435"/>
      <c r="HO32" s="435"/>
      <c r="HP32" s="435"/>
      <c r="HQ32" s="435"/>
      <c r="HR32" s="435"/>
      <c r="HS32" s="435"/>
      <c r="HT32" s="435"/>
      <c r="HU32" s="435"/>
      <c r="HV32" s="435"/>
      <c r="HW32" s="435"/>
      <c r="HX32" s="435"/>
      <c r="HY32" s="435"/>
      <c r="HZ32" s="435"/>
      <c r="IA32" s="435"/>
      <c r="IB32" s="435"/>
      <c r="IC32" s="435"/>
      <c r="ID32" s="435"/>
      <c r="IE32" s="435"/>
      <c r="IF32" s="435"/>
      <c r="IG32" s="435"/>
      <c r="IH32" s="435"/>
      <c r="II32" s="435"/>
      <c r="IJ32" s="435"/>
      <c r="IK32" s="435"/>
      <c r="IL32" s="435"/>
      <c r="IM32" s="435"/>
      <c r="IN32" s="435"/>
      <c r="IO32" s="435"/>
      <c r="IP32" s="435"/>
      <c r="IQ32" s="435"/>
      <c r="IR32" s="435"/>
      <c r="IS32" s="435"/>
      <c r="IT32" s="435"/>
      <c r="IU32" s="435"/>
      <c r="IV32" s="435"/>
    </row>
    <row r="33" spans="1:256" s="765" customFormat="1" ht="18" customHeight="1">
      <c r="A33" s="778">
        <v>25</v>
      </c>
      <c r="B33" s="772"/>
      <c r="C33" s="437"/>
      <c r="D33" s="1024" t="s">
        <v>293</v>
      </c>
      <c r="E33" s="447">
        <f>F33+G33+O33+P33</f>
        <v>1147594</v>
      </c>
      <c r="F33" s="768">
        <f>25062+32060+393153+688437</f>
        <v>1138712</v>
      </c>
      <c r="G33" s="448">
        <v>260</v>
      </c>
      <c r="H33" s="1029"/>
      <c r="I33" s="1027"/>
      <c r="J33" s="1021"/>
      <c r="K33" s="1021">
        <v>8622</v>
      </c>
      <c r="L33" s="1021"/>
      <c r="M33" s="1021"/>
      <c r="N33" s="1043"/>
      <c r="O33" s="1016">
        <f>SUM(I33:N33)</f>
        <v>8622</v>
      </c>
      <c r="P33" s="769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5"/>
      <c r="CK33" s="435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5"/>
      <c r="DQ33" s="435"/>
      <c r="DR33" s="435"/>
      <c r="DS33" s="435"/>
      <c r="DT33" s="435"/>
      <c r="DU33" s="435"/>
      <c r="DV33" s="435"/>
      <c r="DW33" s="435"/>
      <c r="DX33" s="435"/>
      <c r="DY33" s="435"/>
      <c r="DZ33" s="435"/>
      <c r="EA33" s="435"/>
      <c r="EB33" s="435"/>
      <c r="EC33" s="435"/>
      <c r="ED33" s="435"/>
      <c r="EE33" s="435"/>
      <c r="EF33" s="435"/>
      <c r="EG33" s="435"/>
      <c r="EH33" s="435"/>
      <c r="EI33" s="435"/>
      <c r="EJ33" s="435"/>
      <c r="EK33" s="435"/>
      <c r="EL33" s="435"/>
      <c r="EM33" s="435"/>
      <c r="EN33" s="435"/>
      <c r="EO33" s="435"/>
      <c r="EP33" s="435"/>
      <c r="EQ33" s="435"/>
      <c r="ER33" s="435"/>
      <c r="ES33" s="435"/>
      <c r="ET33" s="435"/>
      <c r="EU33" s="435"/>
      <c r="EV33" s="435"/>
      <c r="EW33" s="435"/>
      <c r="EX33" s="435"/>
      <c r="EY33" s="435"/>
      <c r="EZ33" s="435"/>
      <c r="FA33" s="435"/>
      <c r="FB33" s="435"/>
      <c r="FC33" s="435"/>
      <c r="FD33" s="435"/>
      <c r="FE33" s="435"/>
      <c r="FF33" s="435"/>
      <c r="FG33" s="435"/>
      <c r="FH33" s="435"/>
      <c r="FI33" s="435"/>
      <c r="FJ33" s="435"/>
      <c r="FK33" s="435"/>
      <c r="FL33" s="435"/>
      <c r="FM33" s="435"/>
      <c r="FN33" s="435"/>
      <c r="FO33" s="435"/>
      <c r="FP33" s="435"/>
      <c r="FQ33" s="435"/>
      <c r="FR33" s="435"/>
      <c r="FS33" s="435"/>
      <c r="FT33" s="435"/>
      <c r="FU33" s="435"/>
      <c r="FV33" s="435"/>
      <c r="FW33" s="435"/>
      <c r="FX33" s="435"/>
      <c r="FY33" s="435"/>
      <c r="FZ33" s="435"/>
      <c r="GA33" s="435"/>
      <c r="GB33" s="435"/>
      <c r="GC33" s="435"/>
      <c r="GD33" s="435"/>
      <c r="GE33" s="435"/>
      <c r="GF33" s="435"/>
      <c r="GG33" s="435"/>
      <c r="GH33" s="435"/>
      <c r="GI33" s="435"/>
      <c r="GJ33" s="435"/>
      <c r="GK33" s="435"/>
      <c r="GL33" s="435"/>
      <c r="GM33" s="435"/>
      <c r="GN33" s="435"/>
      <c r="GO33" s="435"/>
      <c r="GP33" s="435"/>
      <c r="GQ33" s="435"/>
      <c r="GR33" s="435"/>
      <c r="GS33" s="435"/>
      <c r="GT33" s="435"/>
      <c r="GU33" s="435"/>
      <c r="GV33" s="435"/>
      <c r="GW33" s="435"/>
      <c r="GX33" s="435"/>
      <c r="GY33" s="435"/>
      <c r="GZ33" s="435"/>
      <c r="HA33" s="435"/>
      <c r="HB33" s="435"/>
      <c r="HC33" s="435"/>
      <c r="HD33" s="435"/>
      <c r="HE33" s="435"/>
      <c r="HF33" s="435"/>
      <c r="HG33" s="435"/>
      <c r="HH33" s="435"/>
      <c r="HI33" s="435"/>
      <c r="HJ33" s="435"/>
      <c r="HK33" s="435"/>
      <c r="HL33" s="435"/>
      <c r="HM33" s="435"/>
      <c r="HN33" s="435"/>
      <c r="HO33" s="435"/>
      <c r="HP33" s="435"/>
      <c r="HQ33" s="435"/>
      <c r="HR33" s="435"/>
      <c r="HS33" s="435"/>
      <c r="HT33" s="435"/>
      <c r="HU33" s="435"/>
      <c r="HV33" s="435"/>
      <c r="HW33" s="435"/>
      <c r="HX33" s="435"/>
      <c r="HY33" s="435"/>
      <c r="HZ33" s="435"/>
      <c r="IA33" s="435"/>
      <c r="IB33" s="435"/>
      <c r="IC33" s="435"/>
      <c r="ID33" s="435"/>
      <c r="IE33" s="435"/>
      <c r="IF33" s="435"/>
      <c r="IG33" s="435"/>
      <c r="IH33" s="435"/>
      <c r="II33" s="435"/>
      <c r="IJ33" s="435"/>
      <c r="IK33" s="435"/>
      <c r="IL33" s="435"/>
      <c r="IM33" s="435"/>
      <c r="IN33" s="435"/>
      <c r="IO33" s="435"/>
      <c r="IP33" s="435"/>
      <c r="IQ33" s="435"/>
      <c r="IR33" s="435"/>
      <c r="IS33" s="435"/>
      <c r="IT33" s="435"/>
      <c r="IU33" s="435"/>
      <c r="IV33" s="435"/>
    </row>
    <row r="34" spans="1:16" ht="33">
      <c r="A34" s="778">
        <v>26</v>
      </c>
      <c r="B34" s="636"/>
      <c r="C34" s="437">
        <v>13</v>
      </c>
      <c r="D34" s="439" t="s">
        <v>417</v>
      </c>
      <c r="E34" s="447"/>
      <c r="F34" s="768"/>
      <c r="G34" s="448"/>
      <c r="H34" s="1029" t="s">
        <v>24</v>
      </c>
      <c r="I34" s="1027"/>
      <c r="J34" s="1021"/>
      <c r="K34" s="1021"/>
      <c r="L34" s="1021"/>
      <c r="M34" s="1021"/>
      <c r="N34" s="1043"/>
      <c r="O34" s="1016"/>
      <c r="P34" s="769"/>
    </row>
    <row r="35" spans="1:256" s="765" customFormat="1" ht="18" customHeight="1">
      <c r="A35" s="778">
        <v>27</v>
      </c>
      <c r="B35" s="772"/>
      <c r="C35" s="437"/>
      <c r="D35" s="1024" t="s">
        <v>293</v>
      </c>
      <c r="E35" s="447">
        <f>F35+G35+O35+P35+5962</f>
        <v>300876</v>
      </c>
      <c r="F35" s="768">
        <f>4460+267453</f>
        <v>271913</v>
      </c>
      <c r="G35" s="448">
        <v>0</v>
      </c>
      <c r="H35" s="1029"/>
      <c r="I35" s="1027"/>
      <c r="J35" s="1021"/>
      <c r="K35" s="1021">
        <v>1087</v>
      </c>
      <c r="L35" s="1021"/>
      <c r="M35" s="1021">
        <v>21914</v>
      </c>
      <c r="N35" s="1043"/>
      <c r="O35" s="1016">
        <f>SUM(I35:N35)</f>
        <v>23001</v>
      </c>
      <c r="P35" s="769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5"/>
      <c r="DQ35" s="435"/>
      <c r="DR35" s="435"/>
      <c r="DS35" s="435"/>
      <c r="DT35" s="435"/>
      <c r="DU35" s="435"/>
      <c r="DV35" s="435"/>
      <c r="DW35" s="435"/>
      <c r="DX35" s="435"/>
      <c r="DY35" s="435"/>
      <c r="DZ35" s="435"/>
      <c r="EA35" s="435"/>
      <c r="EB35" s="435"/>
      <c r="EC35" s="435"/>
      <c r="ED35" s="435"/>
      <c r="EE35" s="435"/>
      <c r="EF35" s="435"/>
      <c r="EG35" s="435"/>
      <c r="EH35" s="435"/>
      <c r="EI35" s="435"/>
      <c r="EJ35" s="435"/>
      <c r="EK35" s="435"/>
      <c r="EL35" s="435"/>
      <c r="EM35" s="435"/>
      <c r="EN35" s="435"/>
      <c r="EO35" s="435"/>
      <c r="EP35" s="435"/>
      <c r="EQ35" s="435"/>
      <c r="ER35" s="435"/>
      <c r="ES35" s="435"/>
      <c r="ET35" s="435"/>
      <c r="EU35" s="435"/>
      <c r="EV35" s="435"/>
      <c r="EW35" s="435"/>
      <c r="EX35" s="435"/>
      <c r="EY35" s="435"/>
      <c r="EZ35" s="435"/>
      <c r="FA35" s="435"/>
      <c r="FB35" s="435"/>
      <c r="FC35" s="435"/>
      <c r="FD35" s="435"/>
      <c r="FE35" s="435"/>
      <c r="FF35" s="435"/>
      <c r="FG35" s="435"/>
      <c r="FH35" s="435"/>
      <c r="FI35" s="435"/>
      <c r="FJ35" s="435"/>
      <c r="FK35" s="435"/>
      <c r="FL35" s="435"/>
      <c r="FM35" s="435"/>
      <c r="FN35" s="435"/>
      <c r="FO35" s="435"/>
      <c r="FP35" s="435"/>
      <c r="FQ35" s="435"/>
      <c r="FR35" s="435"/>
      <c r="FS35" s="435"/>
      <c r="FT35" s="435"/>
      <c r="FU35" s="435"/>
      <c r="FV35" s="435"/>
      <c r="FW35" s="435"/>
      <c r="FX35" s="435"/>
      <c r="FY35" s="435"/>
      <c r="FZ35" s="435"/>
      <c r="GA35" s="435"/>
      <c r="GB35" s="435"/>
      <c r="GC35" s="435"/>
      <c r="GD35" s="435"/>
      <c r="GE35" s="435"/>
      <c r="GF35" s="435"/>
      <c r="GG35" s="435"/>
      <c r="GH35" s="435"/>
      <c r="GI35" s="435"/>
      <c r="GJ35" s="435"/>
      <c r="GK35" s="435"/>
      <c r="GL35" s="435"/>
      <c r="GM35" s="435"/>
      <c r="GN35" s="435"/>
      <c r="GO35" s="435"/>
      <c r="GP35" s="435"/>
      <c r="GQ35" s="435"/>
      <c r="GR35" s="435"/>
      <c r="GS35" s="435"/>
      <c r="GT35" s="435"/>
      <c r="GU35" s="435"/>
      <c r="GV35" s="435"/>
      <c r="GW35" s="435"/>
      <c r="GX35" s="435"/>
      <c r="GY35" s="435"/>
      <c r="GZ35" s="435"/>
      <c r="HA35" s="435"/>
      <c r="HB35" s="435"/>
      <c r="HC35" s="435"/>
      <c r="HD35" s="435"/>
      <c r="HE35" s="435"/>
      <c r="HF35" s="435"/>
      <c r="HG35" s="435"/>
      <c r="HH35" s="435"/>
      <c r="HI35" s="435"/>
      <c r="HJ35" s="435"/>
      <c r="HK35" s="435"/>
      <c r="HL35" s="435"/>
      <c r="HM35" s="435"/>
      <c r="HN35" s="435"/>
      <c r="HO35" s="435"/>
      <c r="HP35" s="435"/>
      <c r="HQ35" s="435"/>
      <c r="HR35" s="435"/>
      <c r="HS35" s="435"/>
      <c r="HT35" s="435"/>
      <c r="HU35" s="435"/>
      <c r="HV35" s="435"/>
      <c r="HW35" s="435"/>
      <c r="HX35" s="435"/>
      <c r="HY35" s="435"/>
      <c r="HZ35" s="435"/>
      <c r="IA35" s="435"/>
      <c r="IB35" s="435"/>
      <c r="IC35" s="435"/>
      <c r="ID35" s="435"/>
      <c r="IE35" s="435"/>
      <c r="IF35" s="435"/>
      <c r="IG35" s="435"/>
      <c r="IH35" s="435"/>
      <c r="II35" s="435"/>
      <c r="IJ35" s="435"/>
      <c r="IK35" s="435"/>
      <c r="IL35" s="435"/>
      <c r="IM35" s="435"/>
      <c r="IN35" s="435"/>
      <c r="IO35" s="435"/>
      <c r="IP35" s="435"/>
      <c r="IQ35" s="435"/>
      <c r="IR35" s="435"/>
      <c r="IS35" s="435"/>
      <c r="IT35" s="435"/>
      <c r="IU35" s="435"/>
      <c r="IV35" s="435"/>
    </row>
    <row r="36" spans="1:16" ht="22.5" customHeight="1">
      <c r="A36" s="778">
        <v>28</v>
      </c>
      <c r="B36" s="636"/>
      <c r="C36" s="480">
        <v>14</v>
      </c>
      <c r="D36" s="775" t="s">
        <v>751</v>
      </c>
      <c r="E36" s="447"/>
      <c r="F36" s="768"/>
      <c r="G36" s="448"/>
      <c r="H36" s="1029" t="s">
        <v>24</v>
      </c>
      <c r="I36" s="1027"/>
      <c r="J36" s="1021"/>
      <c r="K36" s="1021"/>
      <c r="L36" s="1021"/>
      <c r="M36" s="1021"/>
      <c r="N36" s="1043"/>
      <c r="O36" s="1016"/>
      <c r="P36" s="769"/>
    </row>
    <row r="37" spans="1:256" s="765" customFormat="1" ht="18" customHeight="1">
      <c r="A37" s="778">
        <v>29</v>
      </c>
      <c r="B37" s="772"/>
      <c r="C37" s="480"/>
      <c r="D37" s="1024" t="s">
        <v>293</v>
      </c>
      <c r="E37" s="447">
        <f>F37+G37+O37+P37+39749</f>
        <v>2906300</v>
      </c>
      <c r="F37" s="768"/>
      <c r="G37" s="448">
        <f>75-75</f>
        <v>0</v>
      </c>
      <c r="H37" s="1029"/>
      <c r="I37" s="1027"/>
      <c r="J37" s="1021"/>
      <c r="K37" s="1021">
        <v>57535</v>
      </c>
      <c r="L37" s="1021"/>
      <c r="M37" s="1021">
        <v>2690078</v>
      </c>
      <c r="N37" s="1043"/>
      <c r="O37" s="1016">
        <f>SUM(I37:N37)</f>
        <v>2747613</v>
      </c>
      <c r="P37" s="769">
        <v>118938</v>
      </c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5"/>
      <c r="CL37" s="435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5"/>
      <c r="DE37" s="435"/>
      <c r="DF37" s="435"/>
      <c r="DG37" s="435"/>
      <c r="DH37" s="435"/>
      <c r="DI37" s="435"/>
      <c r="DJ37" s="435"/>
      <c r="DK37" s="435"/>
      <c r="DL37" s="435"/>
      <c r="DM37" s="435"/>
      <c r="DN37" s="435"/>
      <c r="DO37" s="435"/>
      <c r="DP37" s="435"/>
      <c r="DQ37" s="435"/>
      <c r="DR37" s="435"/>
      <c r="DS37" s="435"/>
      <c r="DT37" s="435"/>
      <c r="DU37" s="435"/>
      <c r="DV37" s="435"/>
      <c r="DW37" s="435"/>
      <c r="DX37" s="435"/>
      <c r="DY37" s="435"/>
      <c r="DZ37" s="435"/>
      <c r="EA37" s="435"/>
      <c r="EB37" s="435"/>
      <c r="EC37" s="435"/>
      <c r="ED37" s="435"/>
      <c r="EE37" s="435"/>
      <c r="EF37" s="435"/>
      <c r="EG37" s="435"/>
      <c r="EH37" s="435"/>
      <c r="EI37" s="435"/>
      <c r="EJ37" s="435"/>
      <c r="EK37" s="435"/>
      <c r="EL37" s="435"/>
      <c r="EM37" s="435"/>
      <c r="EN37" s="435"/>
      <c r="EO37" s="435"/>
      <c r="EP37" s="435"/>
      <c r="EQ37" s="435"/>
      <c r="ER37" s="435"/>
      <c r="ES37" s="435"/>
      <c r="ET37" s="435"/>
      <c r="EU37" s="435"/>
      <c r="EV37" s="435"/>
      <c r="EW37" s="435"/>
      <c r="EX37" s="435"/>
      <c r="EY37" s="435"/>
      <c r="EZ37" s="435"/>
      <c r="FA37" s="435"/>
      <c r="FB37" s="435"/>
      <c r="FC37" s="435"/>
      <c r="FD37" s="435"/>
      <c r="FE37" s="435"/>
      <c r="FF37" s="435"/>
      <c r="FG37" s="435"/>
      <c r="FH37" s="435"/>
      <c r="FI37" s="435"/>
      <c r="FJ37" s="435"/>
      <c r="FK37" s="435"/>
      <c r="FL37" s="435"/>
      <c r="FM37" s="435"/>
      <c r="FN37" s="435"/>
      <c r="FO37" s="435"/>
      <c r="FP37" s="435"/>
      <c r="FQ37" s="435"/>
      <c r="FR37" s="435"/>
      <c r="FS37" s="435"/>
      <c r="FT37" s="435"/>
      <c r="FU37" s="435"/>
      <c r="FV37" s="435"/>
      <c r="FW37" s="435"/>
      <c r="FX37" s="435"/>
      <c r="FY37" s="435"/>
      <c r="FZ37" s="435"/>
      <c r="GA37" s="435"/>
      <c r="GB37" s="435"/>
      <c r="GC37" s="435"/>
      <c r="GD37" s="435"/>
      <c r="GE37" s="435"/>
      <c r="GF37" s="435"/>
      <c r="GG37" s="435"/>
      <c r="GH37" s="435"/>
      <c r="GI37" s="435"/>
      <c r="GJ37" s="435"/>
      <c r="GK37" s="435"/>
      <c r="GL37" s="435"/>
      <c r="GM37" s="435"/>
      <c r="GN37" s="435"/>
      <c r="GO37" s="435"/>
      <c r="GP37" s="435"/>
      <c r="GQ37" s="435"/>
      <c r="GR37" s="435"/>
      <c r="GS37" s="435"/>
      <c r="GT37" s="435"/>
      <c r="GU37" s="435"/>
      <c r="GV37" s="435"/>
      <c r="GW37" s="435"/>
      <c r="GX37" s="435"/>
      <c r="GY37" s="435"/>
      <c r="GZ37" s="435"/>
      <c r="HA37" s="435"/>
      <c r="HB37" s="435"/>
      <c r="HC37" s="435"/>
      <c r="HD37" s="435"/>
      <c r="HE37" s="435"/>
      <c r="HF37" s="435"/>
      <c r="HG37" s="435"/>
      <c r="HH37" s="435"/>
      <c r="HI37" s="435"/>
      <c r="HJ37" s="435"/>
      <c r="HK37" s="435"/>
      <c r="HL37" s="435"/>
      <c r="HM37" s="435"/>
      <c r="HN37" s="435"/>
      <c r="HO37" s="435"/>
      <c r="HP37" s="435"/>
      <c r="HQ37" s="435"/>
      <c r="HR37" s="435"/>
      <c r="HS37" s="435"/>
      <c r="HT37" s="435"/>
      <c r="HU37" s="435"/>
      <c r="HV37" s="435"/>
      <c r="HW37" s="435"/>
      <c r="HX37" s="435"/>
      <c r="HY37" s="435"/>
      <c r="HZ37" s="435"/>
      <c r="IA37" s="435"/>
      <c r="IB37" s="435"/>
      <c r="IC37" s="435"/>
      <c r="ID37" s="435"/>
      <c r="IE37" s="435"/>
      <c r="IF37" s="435"/>
      <c r="IG37" s="435"/>
      <c r="IH37" s="435"/>
      <c r="II37" s="435"/>
      <c r="IJ37" s="435"/>
      <c r="IK37" s="435"/>
      <c r="IL37" s="435"/>
      <c r="IM37" s="435"/>
      <c r="IN37" s="435"/>
      <c r="IO37" s="435"/>
      <c r="IP37" s="435"/>
      <c r="IQ37" s="435"/>
      <c r="IR37" s="435"/>
      <c r="IS37" s="435"/>
      <c r="IT37" s="435"/>
      <c r="IU37" s="435"/>
      <c r="IV37" s="435"/>
    </row>
    <row r="38" spans="1:16" ht="33">
      <c r="A38" s="778">
        <v>30</v>
      </c>
      <c r="B38" s="636"/>
      <c r="C38" s="437">
        <v>15</v>
      </c>
      <c r="D38" s="439" t="s">
        <v>453</v>
      </c>
      <c r="E38" s="447"/>
      <c r="F38" s="768"/>
      <c r="G38" s="448"/>
      <c r="H38" s="1029" t="s">
        <v>24</v>
      </c>
      <c r="I38" s="1027"/>
      <c r="J38" s="1021"/>
      <c r="K38" s="1021"/>
      <c r="L38" s="1021"/>
      <c r="M38" s="1021"/>
      <c r="N38" s="1043"/>
      <c r="O38" s="1016"/>
      <c r="P38" s="769"/>
    </row>
    <row r="39" spans="1:256" s="765" customFormat="1" ht="18" customHeight="1">
      <c r="A39" s="778">
        <v>31</v>
      </c>
      <c r="B39" s="772"/>
      <c r="C39" s="437"/>
      <c r="D39" s="1024" t="s">
        <v>293</v>
      </c>
      <c r="E39" s="447">
        <f>F39+G39+O39+P39</f>
        <v>1629330</v>
      </c>
      <c r="F39" s="768">
        <f>28000+26441</f>
        <v>54441</v>
      </c>
      <c r="G39" s="448">
        <v>46228</v>
      </c>
      <c r="H39" s="1029"/>
      <c r="I39" s="1027"/>
      <c r="J39" s="1021"/>
      <c r="K39" s="1021">
        <v>12196</v>
      </c>
      <c r="L39" s="1021"/>
      <c r="M39" s="1021">
        <v>1516465</v>
      </c>
      <c r="N39" s="1043"/>
      <c r="O39" s="1016">
        <f>SUM(I39:N39)</f>
        <v>1528661</v>
      </c>
      <c r="P39" s="769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5"/>
      <c r="DL39" s="435"/>
      <c r="DM39" s="435"/>
      <c r="DN39" s="435"/>
      <c r="DO39" s="435"/>
      <c r="DP39" s="435"/>
      <c r="DQ39" s="435"/>
      <c r="DR39" s="435"/>
      <c r="DS39" s="435"/>
      <c r="DT39" s="435"/>
      <c r="DU39" s="435"/>
      <c r="DV39" s="435"/>
      <c r="DW39" s="435"/>
      <c r="DX39" s="435"/>
      <c r="DY39" s="435"/>
      <c r="DZ39" s="435"/>
      <c r="EA39" s="435"/>
      <c r="EB39" s="435"/>
      <c r="EC39" s="435"/>
      <c r="ED39" s="435"/>
      <c r="EE39" s="435"/>
      <c r="EF39" s="435"/>
      <c r="EG39" s="435"/>
      <c r="EH39" s="435"/>
      <c r="EI39" s="435"/>
      <c r="EJ39" s="435"/>
      <c r="EK39" s="435"/>
      <c r="EL39" s="435"/>
      <c r="EM39" s="435"/>
      <c r="EN39" s="435"/>
      <c r="EO39" s="435"/>
      <c r="EP39" s="435"/>
      <c r="EQ39" s="435"/>
      <c r="ER39" s="435"/>
      <c r="ES39" s="435"/>
      <c r="ET39" s="435"/>
      <c r="EU39" s="435"/>
      <c r="EV39" s="435"/>
      <c r="EW39" s="435"/>
      <c r="EX39" s="435"/>
      <c r="EY39" s="435"/>
      <c r="EZ39" s="435"/>
      <c r="FA39" s="435"/>
      <c r="FB39" s="435"/>
      <c r="FC39" s="435"/>
      <c r="FD39" s="435"/>
      <c r="FE39" s="435"/>
      <c r="FF39" s="435"/>
      <c r="FG39" s="435"/>
      <c r="FH39" s="435"/>
      <c r="FI39" s="435"/>
      <c r="FJ39" s="435"/>
      <c r="FK39" s="435"/>
      <c r="FL39" s="435"/>
      <c r="FM39" s="435"/>
      <c r="FN39" s="435"/>
      <c r="FO39" s="435"/>
      <c r="FP39" s="435"/>
      <c r="FQ39" s="435"/>
      <c r="FR39" s="435"/>
      <c r="FS39" s="435"/>
      <c r="FT39" s="435"/>
      <c r="FU39" s="435"/>
      <c r="FV39" s="435"/>
      <c r="FW39" s="435"/>
      <c r="FX39" s="435"/>
      <c r="FY39" s="435"/>
      <c r="FZ39" s="435"/>
      <c r="GA39" s="435"/>
      <c r="GB39" s="435"/>
      <c r="GC39" s="435"/>
      <c r="GD39" s="435"/>
      <c r="GE39" s="435"/>
      <c r="GF39" s="435"/>
      <c r="GG39" s="435"/>
      <c r="GH39" s="435"/>
      <c r="GI39" s="435"/>
      <c r="GJ39" s="435"/>
      <c r="GK39" s="435"/>
      <c r="GL39" s="435"/>
      <c r="GM39" s="435"/>
      <c r="GN39" s="435"/>
      <c r="GO39" s="435"/>
      <c r="GP39" s="435"/>
      <c r="GQ39" s="435"/>
      <c r="GR39" s="435"/>
      <c r="GS39" s="435"/>
      <c r="GT39" s="435"/>
      <c r="GU39" s="435"/>
      <c r="GV39" s="435"/>
      <c r="GW39" s="435"/>
      <c r="GX39" s="435"/>
      <c r="GY39" s="435"/>
      <c r="GZ39" s="435"/>
      <c r="HA39" s="435"/>
      <c r="HB39" s="435"/>
      <c r="HC39" s="435"/>
      <c r="HD39" s="435"/>
      <c r="HE39" s="435"/>
      <c r="HF39" s="435"/>
      <c r="HG39" s="435"/>
      <c r="HH39" s="435"/>
      <c r="HI39" s="435"/>
      <c r="HJ39" s="435"/>
      <c r="HK39" s="435"/>
      <c r="HL39" s="435"/>
      <c r="HM39" s="435"/>
      <c r="HN39" s="435"/>
      <c r="HO39" s="435"/>
      <c r="HP39" s="435"/>
      <c r="HQ39" s="435"/>
      <c r="HR39" s="435"/>
      <c r="HS39" s="435"/>
      <c r="HT39" s="435"/>
      <c r="HU39" s="435"/>
      <c r="HV39" s="435"/>
      <c r="HW39" s="435"/>
      <c r="HX39" s="435"/>
      <c r="HY39" s="435"/>
      <c r="HZ39" s="435"/>
      <c r="IA39" s="435"/>
      <c r="IB39" s="435"/>
      <c r="IC39" s="435"/>
      <c r="ID39" s="435"/>
      <c r="IE39" s="435"/>
      <c r="IF39" s="435"/>
      <c r="IG39" s="435"/>
      <c r="IH39" s="435"/>
      <c r="II39" s="435"/>
      <c r="IJ39" s="435"/>
      <c r="IK39" s="435"/>
      <c r="IL39" s="435"/>
      <c r="IM39" s="435"/>
      <c r="IN39" s="435"/>
      <c r="IO39" s="435"/>
      <c r="IP39" s="435"/>
      <c r="IQ39" s="435"/>
      <c r="IR39" s="435"/>
      <c r="IS39" s="435"/>
      <c r="IT39" s="435"/>
      <c r="IU39" s="435"/>
      <c r="IV39" s="435"/>
    </row>
    <row r="40" spans="1:16" ht="54" customHeight="1">
      <c r="A40" s="778">
        <v>32</v>
      </c>
      <c r="B40" s="636"/>
      <c r="C40" s="437">
        <v>16</v>
      </c>
      <c r="D40" s="439" t="s">
        <v>519</v>
      </c>
      <c r="E40" s="447"/>
      <c r="F40" s="768"/>
      <c r="G40" s="448"/>
      <c r="H40" s="1029" t="s">
        <v>24</v>
      </c>
      <c r="I40" s="1027"/>
      <c r="J40" s="1021"/>
      <c r="K40" s="1021"/>
      <c r="L40" s="1021"/>
      <c r="M40" s="1021"/>
      <c r="N40" s="1043"/>
      <c r="O40" s="1016"/>
      <c r="P40" s="769"/>
    </row>
    <row r="41" spans="1:256" s="765" customFormat="1" ht="18" customHeight="1">
      <c r="A41" s="778">
        <v>33</v>
      </c>
      <c r="B41" s="772"/>
      <c r="C41" s="480"/>
      <c r="D41" s="1024" t="s">
        <v>293</v>
      </c>
      <c r="E41" s="447">
        <f>F41+G41+O41+P41</f>
        <v>555126</v>
      </c>
      <c r="F41" s="768">
        <f>4379+12827</f>
        <v>17206</v>
      </c>
      <c r="G41" s="448">
        <v>0</v>
      </c>
      <c r="H41" s="1029"/>
      <c r="I41" s="1027"/>
      <c r="J41" s="1021"/>
      <c r="K41" s="1021">
        <v>3667</v>
      </c>
      <c r="L41" s="1021"/>
      <c r="M41" s="1021">
        <v>534253</v>
      </c>
      <c r="N41" s="1043"/>
      <c r="O41" s="1016">
        <f>SUM(I41:N41)</f>
        <v>537920</v>
      </c>
      <c r="P41" s="769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435"/>
      <c r="CA41" s="435"/>
      <c r="CB41" s="435"/>
      <c r="CC41" s="435"/>
      <c r="CD41" s="435"/>
      <c r="CE41" s="435"/>
      <c r="CF41" s="435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  <c r="FG41" s="435"/>
      <c r="FH41" s="435"/>
      <c r="FI41" s="435"/>
      <c r="FJ41" s="435"/>
      <c r="FK41" s="435"/>
      <c r="FL41" s="435"/>
      <c r="FM41" s="435"/>
      <c r="FN41" s="435"/>
      <c r="FO41" s="435"/>
      <c r="FP41" s="435"/>
      <c r="FQ41" s="435"/>
      <c r="FR41" s="435"/>
      <c r="FS41" s="435"/>
      <c r="FT41" s="435"/>
      <c r="FU41" s="435"/>
      <c r="FV41" s="435"/>
      <c r="FW41" s="435"/>
      <c r="FX41" s="435"/>
      <c r="FY41" s="435"/>
      <c r="FZ41" s="435"/>
      <c r="GA41" s="435"/>
      <c r="GB41" s="435"/>
      <c r="GC41" s="435"/>
      <c r="GD41" s="435"/>
      <c r="GE41" s="435"/>
      <c r="GF41" s="435"/>
      <c r="GG41" s="435"/>
      <c r="GH41" s="435"/>
      <c r="GI41" s="435"/>
      <c r="GJ41" s="435"/>
      <c r="GK41" s="435"/>
      <c r="GL41" s="435"/>
      <c r="GM41" s="435"/>
      <c r="GN41" s="435"/>
      <c r="GO41" s="435"/>
      <c r="GP41" s="435"/>
      <c r="GQ41" s="435"/>
      <c r="GR41" s="435"/>
      <c r="GS41" s="435"/>
      <c r="GT41" s="435"/>
      <c r="GU41" s="435"/>
      <c r="GV41" s="435"/>
      <c r="GW41" s="435"/>
      <c r="GX41" s="435"/>
      <c r="GY41" s="435"/>
      <c r="GZ41" s="435"/>
      <c r="HA41" s="435"/>
      <c r="HB41" s="435"/>
      <c r="HC41" s="435"/>
      <c r="HD41" s="435"/>
      <c r="HE41" s="435"/>
      <c r="HF41" s="435"/>
      <c r="HG41" s="435"/>
      <c r="HH41" s="435"/>
      <c r="HI41" s="435"/>
      <c r="HJ41" s="435"/>
      <c r="HK41" s="435"/>
      <c r="HL41" s="435"/>
      <c r="HM41" s="435"/>
      <c r="HN41" s="435"/>
      <c r="HO41" s="435"/>
      <c r="HP41" s="435"/>
      <c r="HQ41" s="435"/>
      <c r="HR41" s="435"/>
      <c r="HS41" s="435"/>
      <c r="HT41" s="435"/>
      <c r="HU41" s="435"/>
      <c r="HV41" s="435"/>
      <c r="HW41" s="435"/>
      <c r="HX41" s="435"/>
      <c r="HY41" s="435"/>
      <c r="HZ41" s="435"/>
      <c r="IA41" s="435"/>
      <c r="IB41" s="435"/>
      <c r="IC41" s="435"/>
      <c r="ID41" s="435"/>
      <c r="IE41" s="435"/>
      <c r="IF41" s="435"/>
      <c r="IG41" s="435"/>
      <c r="IH41" s="435"/>
      <c r="II41" s="435"/>
      <c r="IJ41" s="435"/>
      <c r="IK41" s="435"/>
      <c r="IL41" s="435"/>
      <c r="IM41" s="435"/>
      <c r="IN41" s="435"/>
      <c r="IO41" s="435"/>
      <c r="IP41" s="435"/>
      <c r="IQ41" s="435"/>
      <c r="IR41" s="435"/>
      <c r="IS41" s="435"/>
      <c r="IT41" s="435"/>
      <c r="IU41" s="435"/>
      <c r="IV41" s="435"/>
    </row>
    <row r="42" spans="1:16" ht="36.75" customHeight="1">
      <c r="A42" s="778">
        <v>34</v>
      </c>
      <c r="B42" s="636"/>
      <c r="C42" s="437">
        <v>17</v>
      </c>
      <c r="D42" s="439" t="s">
        <v>597</v>
      </c>
      <c r="E42" s="447"/>
      <c r="F42" s="768"/>
      <c r="G42" s="448"/>
      <c r="H42" s="1029" t="s">
        <v>24</v>
      </c>
      <c r="I42" s="1027"/>
      <c r="J42" s="1021"/>
      <c r="K42" s="1021"/>
      <c r="L42" s="1021"/>
      <c r="M42" s="1021"/>
      <c r="N42" s="1043"/>
      <c r="O42" s="1016"/>
      <c r="P42" s="769"/>
    </row>
    <row r="43" spans="1:256" s="765" customFormat="1" ht="18" customHeight="1">
      <c r="A43" s="778">
        <v>35</v>
      </c>
      <c r="B43" s="772"/>
      <c r="C43" s="437"/>
      <c r="D43" s="1024" t="s">
        <v>293</v>
      </c>
      <c r="E43" s="447">
        <f>F43+G43+O43+P43+75640+49690</f>
        <v>184000</v>
      </c>
      <c r="F43" s="768">
        <f>9200+10675</f>
        <v>19875</v>
      </c>
      <c r="G43" s="448">
        <v>19540</v>
      </c>
      <c r="H43" s="1029"/>
      <c r="I43" s="1027"/>
      <c r="J43" s="1021"/>
      <c r="K43" s="1021">
        <v>19255</v>
      </c>
      <c r="L43" s="1021"/>
      <c r="M43" s="1021"/>
      <c r="N43" s="1043"/>
      <c r="O43" s="1016">
        <f>SUM(I43:N43)</f>
        <v>19255</v>
      </c>
      <c r="P43" s="769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5"/>
      <c r="BC43" s="435"/>
      <c r="BD43" s="435"/>
      <c r="BE43" s="435"/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5"/>
      <c r="BQ43" s="435"/>
      <c r="BR43" s="435"/>
      <c r="BS43" s="435"/>
      <c r="BT43" s="435"/>
      <c r="BU43" s="435"/>
      <c r="BV43" s="435"/>
      <c r="BW43" s="435"/>
      <c r="BX43" s="435"/>
      <c r="BY43" s="435"/>
      <c r="BZ43" s="435"/>
      <c r="CA43" s="435"/>
      <c r="CB43" s="435"/>
      <c r="CC43" s="435"/>
      <c r="CD43" s="435"/>
      <c r="CE43" s="435"/>
      <c r="CF43" s="435"/>
      <c r="CG43" s="435"/>
      <c r="CH43" s="435"/>
      <c r="CI43" s="435"/>
      <c r="CJ43" s="435"/>
      <c r="CK43" s="435"/>
      <c r="CL43" s="435"/>
      <c r="CM43" s="435"/>
      <c r="CN43" s="435"/>
      <c r="CO43" s="435"/>
      <c r="CP43" s="435"/>
      <c r="CQ43" s="435"/>
      <c r="CR43" s="435"/>
      <c r="CS43" s="435"/>
      <c r="CT43" s="435"/>
      <c r="CU43" s="435"/>
      <c r="CV43" s="435"/>
      <c r="CW43" s="435"/>
      <c r="CX43" s="435"/>
      <c r="CY43" s="435"/>
      <c r="CZ43" s="435"/>
      <c r="DA43" s="435"/>
      <c r="DB43" s="435"/>
      <c r="DC43" s="435"/>
      <c r="DD43" s="435"/>
      <c r="DE43" s="435"/>
      <c r="DF43" s="435"/>
      <c r="DG43" s="435"/>
      <c r="DH43" s="435"/>
      <c r="DI43" s="435"/>
      <c r="DJ43" s="435"/>
      <c r="DK43" s="435"/>
      <c r="DL43" s="435"/>
      <c r="DM43" s="435"/>
      <c r="DN43" s="435"/>
      <c r="DO43" s="435"/>
      <c r="DP43" s="435"/>
      <c r="DQ43" s="435"/>
      <c r="DR43" s="435"/>
      <c r="DS43" s="435"/>
      <c r="DT43" s="435"/>
      <c r="DU43" s="435"/>
      <c r="DV43" s="435"/>
      <c r="DW43" s="435"/>
      <c r="DX43" s="435"/>
      <c r="DY43" s="435"/>
      <c r="DZ43" s="435"/>
      <c r="EA43" s="435"/>
      <c r="EB43" s="435"/>
      <c r="EC43" s="435"/>
      <c r="ED43" s="435"/>
      <c r="EE43" s="435"/>
      <c r="EF43" s="435"/>
      <c r="EG43" s="435"/>
      <c r="EH43" s="435"/>
      <c r="EI43" s="435"/>
      <c r="EJ43" s="435"/>
      <c r="EK43" s="435"/>
      <c r="EL43" s="435"/>
      <c r="EM43" s="435"/>
      <c r="EN43" s="435"/>
      <c r="EO43" s="435"/>
      <c r="EP43" s="435"/>
      <c r="EQ43" s="435"/>
      <c r="ER43" s="435"/>
      <c r="ES43" s="435"/>
      <c r="ET43" s="435"/>
      <c r="EU43" s="435"/>
      <c r="EV43" s="435"/>
      <c r="EW43" s="435"/>
      <c r="EX43" s="435"/>
      <c r="EY43" s="435"/>
      <c r="EZ43" s="435"/>
      <c r="FA43" s="435"/>
      <c r="FB43" s="435"/>
      <c r="FC43" s="435"/>
      <c r="FD43" s="435"/>
      <c r="FE43" s="435"/>
      <c r="FF43" s="435"/>
      <c r="FG43" s="435"/>
      <c r="FH43" s="435"/>
      <c r="FI43" s="435"/>
      <c r="FJ43" s="435"/>
      <c r="FK43" s="435"/>
      <c r="FL43" s="435"/>
      <c r="FM43" s="435"/>
      <c r="FN43" s="435"/>
      <c r="FO43" s="435"/>
      <c r="FP43" s="435"/>
      <c r="FQ43" s="435"/>
      <c r="FR43" s="435"/>
      <c r="FS43" s="435"/>
      <c r="FT43" s="435"/>
      <c r="FU43" s="435"/>
      <c r="FV43" s="435"/>
      <c r="FW43" s="435"/>
      <c r="FX43" s="435"/>
      <c r="FY43" s="435"/>
      <c r="FZ43" s="435"/>
      <c r="GA43" s="435"/>
      <c r="GB43" s="435"/>
      <c r="GC43" s="435"/>
      <c r="GD43" s="435"/>
      <c r="GE43" s="435"/>
      <c r="GF43" s="435"/>
      <c r="GG43" s="435"/>
      <c r="GH43" s="435"/>
      <c r="GI43" s="435"/>
      <c r="GJ43" s="435"/>
      <c r="GK43" s="435"/>
      <c r="GL43" s="435"/>
      <c r="GM43" s="435"/>
      <c r="GN43" s="435"/>
      <c r="GO43" s="435"/>
      <c r="GP43" s="435"/>
      <c r="GQ43" s="435"/>
      <c r="GR43" s="435"/>
      <c r="GS43" s="435"/>
      <c r="GT43" s="435"/>
      <c r="GU43" s="435"/>
      <c r="GV43" s="435"/>
      <c r="GW43" s="435"/>
      <c r="GX43" s="435"/>
      <c r="GY43" s="435"/>
      <c r="GZ43" s="435"/>
      <c r="HA43" s="435"/>
      <c r="HB43" s="435"/>
      <c r="HC43" s="435"/>
      <c r="HD43" s="435"/>
      <c r="HE43" s="435"/>
      <c r="HF43" s="435"/>
      <c r="HG43" s="435"/>
      <c r="HH43" s="435"/>
      <c r="HI43" s="435"/>
      <c r="HJ43" s="435"/>
      <c r="HK43" s="435"/>
      <c r="HL43" s="435"/>
      <c r="HM43" s="435"/>
      <c r="HN43" s="435"/>
      <c r="HO43" s="435"/>
      <c r="HP43" s="435"/>
      <c r="HQ43" s="435"/>
      <c r="HR43" s="435"/>
      <c r="HS43" s="435"/>
      <c r="HT43" s="435"/>
      <c r="HU43" s="435"/>
      <c r="HV43" s="435"/>
      <c r="HW43" s="435"/>
      <c r="HX43" s="435"/>
      <c r="HY43" s="435"/>
      <c r="HZ43" s="435"/>
      <c r="IA43" s="435"/>
      <c r="IB43" s="435"/>
      <c r="IC43" s="435"/>
      <c r="ID43" s="435"/>
      <c r="IE43" s="435"/>
      <c r="IF43" s="435"/>
      <c r="IG43" s="435"/>
      <c r="IH43" s="435"/>
      <c r="II43" s="435"/>
      <c r="IJ43" s="435"/>
      <c r="IK43" s="435"/>
      <c r="IL43" s="435"/>
      <c r="IM43" s="435"/>
      <c r="IN43" s="435"/>
      <c r="IO43" s="435"/>
      <c r="IP43" s="435"/>
      <c r="IQ43" s="435"/>
      <c r="IR43" s="435"/>
      <c r="IS43" s="435"/>
      <c r="IT43" s="435"/>
      <c r="IU43" s="435"/>
      <c r="IV43" s="435"/>
    </row>
    <row r="44" spans="1:16" ht="36" customHeight="1">
      <c r="A44" s="778">
        <v>36</v>
      </c>
      <c r="B44" s="636"/>
      <c r="C44" s="437">
        <v>18</v>
      </c>
      <c r="D44" s="439" t="s">
        <v>434</v>
      </c>
      <c r="E44" s="447"/>
      <c r="F44" s="768"/>
      <c r="G44" s="448"/>
      <c r="H44" s="1029" t="s">
        <v>24</v>
      </c>
      <c r="I44" s="1027"/>
      <c r="J44" s="1021"/>
      <c r="K44" s="1021"/>
      <c r="L44" s="1021"/>
      <c r="M44" s="1021"/>
      <c r="N44" s="1043"/>
      <c r="O44" s="1016"/>
      <c r="P44" s="769"/>
    </row>
    <row r="45" spans="1:256" s="765" customFormat="1" ht="18" customHeight="1">
      <c r="A45" s="778">
        <v>37</v>
      </c>
      <c r="B45" s="772"/>
      <c r="C45" s="437"/>
      <c r="D45" s="1024" t="s">
        <v>293</v>
      </c>
      <c r="E45" s="447">
        <f>F45+G45+O45+P45</f>
        <v>51055</v>
      </c>
      <c r="F45" s="768">
        <f>1176+23808</f>
        <v>24984</v>
      </c>
      <c r="G45" s="448">
        <v>8922</v>
      </c>
      <c r="H45" s="1029"/>
      <c r="I45" s="1027"/>
      <c r="J45" s="1021"/>
      <c r="K45" s="1021"/>
      <c r="L45" s="1021">
        <v>17149</v>
      </c>
      <c r="M45" s="1021"/>
      <c r="N45" s="1043"/>
      <c r="O45" s="1016">
        <f>SUM(I45:N45)</f>
        <v>17149</v>
      </c>
      <c r="P45" s="769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5"/>
      <c r="BH45" s="435"/>
      <c r="BI45" s="435"/>
      <c r="BJ45" s="435"/>
      <c r="BK45" s="435"/>
      <c r="BL45" s="435"/>
      <c r="BM45" s="435"/>
      <c r="BN45" s="435"/>
      <c r="BO45" s="435"/>
      <c r="BP45" s="435"/>
      <c r="BQ45" s="435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5"/>
      <c r="CQ45" s="435"/>
      <c r="CR45" s="435"/>
      <c r="CS45" s="435"/>
      <c r="CT45" s="435"/>
      <c r="CU45" s="435"/>
      <c r="CV45" s="435"/>
      <c r="CW45" s="435"/>
      <c r="CX45" s="435"/>
      <c r="CY45" s="435"/>
      <c r="CZ45" s="435"/>
      <c r="DA45" s="435"/>
      <c r="DB45" s="435"/>
      <c r="DC45" s="435"/>
      <c r="DD45" s="435"/>
      <c r="DE45" s="435"/>
      <c r="DF45" s="435"/>
      <c r="DG45" s="435"/>
      <c r="DH45" s="435"/>
      <c r="DI45" s="435"/>
      <c r="DJ45" s="435"/>
      <c r="DK45" s="435"/>
      <c r="DL45" s="435"/>
      <c r="DM45" s="435"/>
      <c r="DN45" s="435"/>
      <c r="DO45" s="435"/>
      <c r="DP45" s="435"/>
      <c r="DQ45" s="435"/>
      <c r="DR45" s="435"/>
      <c r="DS45" s="435"/>
      <c r="DT45" s="435"/>
      <c r="DU45" s="435"/>
      <c r="DV45" s="435"/>
      <c r="DW45" s="435"/>
      <c r="DX45" s="435"/>
      <c r="DY45" s="435"/>
      <c r="DZ45" s="435"/>
      <c r="EA45" s="435"/>
      <c r="EB45" s="435"/>
      <c r="EC45" s="435"/>
      <c r="ED45" s="435"/>
      <c r="EE45" s="435"/>
      <c r="EF45" s="435"/>
      <c r="EG45" s="435"/>
      <c r="EH45" s="435"/>
      <c r="EI45" s="435"/>
      <c r="EJ45" s="435"/>
      <c r="EK45" s="435"/>
      <c r="EL45" s="435"/>
      <c r="EM45" s="435"/>
      <c r="EN45" s="435"/>
      <c r="EO45" s="435"/>
      <c r="EP45" s="435"/>
      <c r="EQ45" s="435"/>
      <c r="ER45" s="435"/>
      <c r="ES45" s="435"/>
      <c r="ET45" s="435"/>
      <c r="EU45" s="435"/>
      <c r="EV45" s="435"/>
      <c r="EW45" s="435"/>
      <c r="EX45" s="435"/>
      <c r="EY45" s="435"/>
      <c r="EZ45" s="435"/>
      <c r="FA45" s="435"/>
      <c r="FB45" s="435"/>
      <c r="FC45" s="435"/>
      <c r="FD45" s="435"/>
      <c r="FE45" s="435"/>
      <c r="FF45" s="435"/>
      <c r="FG45" s="435"/>
      <c r="FH45" s="435"/>
      <c r="FI45" s="435"/>
      <c r="FJ45" s="435"/>
      <c r="FK45" s="435"/>
      <c r="FL45" s="435"/>
      <c r="FM45" s="435"/>
      <c r="FN45" s="435"/>
      <c r="FO45" s="435"/>
      <c r="FP45" s="435"/>
      <c r="FQ45" s="435"/>
      <c r="FR45" s="435"/>
      <c r="FS45" s="435"/>
      <c r="FT45" s="435"/>
      <c r="FU45" s="435"/>
      <c r="FV45" s="435"/>
      <c r="FW45" s="435"/>
      <c r="FX45" s="435"/>
      <c r="FY45" s="435"/>
      <c r="FZ45" s="435"/>
      <c r="GA45" s="435"/>
      <c r="GB45" s="435"/>
      <c r="GC45" s="435"/>
      <c r="GD45" s="435"/>
      <c r="GE45" s="435"/>
      <c r="GF45" s="435"/>
      <c r="GG45" s="435"/>
      <c r="GH45" s="435"/>
      <c r="GI45" s="435"/>
      <c r="GJ45" s="435"/>
      <c r="GK45" s="435"/>
      <c r="GL45" s="435"/>
      <c r="GM45" s="435"/>
      <c r="GN45" s="435"/>
      <c r="GO45" s="435"/>
      <c r="GP45" s="435"/>
      <c r="GQ45" s="435"/>
      <c r="GR45" s="435"/>
      <c r="GS45" s="435"/>
      <c r="GT45" s="435"/>
      <c r="GU45" s="435"/>
      <c r="GV45" s="435"/>
      <c r="GW45" s="435"/>
      <c r="GX45" s="435"/>
      <c r="GY45" s="435"/>
      <c r="GZ45" s="435"/>
      <c r="HA45" s="435"/>
      <c r="HB45" s="435"/>
      <c r="HC45" s="435"/>
      <c r="HD45" s="435"/>
      <c r="HE45" s="435"/>
      <c r="HF45" s="435"/>
      <c r="HG45" s="435"/>
      <c r="HH45" s="435"/>
      <c r="HI45" s="435"/>
      <c r="HJ45" s="435"/>
      <c r="HK45" s="435"/>
      <c r="HL45" s="435"/>
      <c r="HM45" s="435"/>
      <c r="HN45" s="435"/>
      <c r="HO45" s="435"/>
      <c r="HP45" s="435"/>
      <c r="HQ45" s="435"/>
      <c r="HR45" s="435"/>
      <c r="HS45" s="435"/>
      <c r="HT45" s="435"/>
      <c r="HU45" s="435"/>
      <c r="HV45" s="435"/>
      <c r="HW45" s="435"/>
      <c r="HX45" s="435"/>
      <c r="HY45" s="435"/>
      <c r="HZ45" s="435"/>
      <c r="IA45" s="435"/>
      <c r="IB45" s="435"/>
      <c r="IC45" s="435"/>
      <c r="ID45" s="435"/>
      <c r="IE45" s="435"/>
      <c r="IF45" s="435"/>
      <c r="IG45" s="435"/>
      <c r="IH45" s="435"/>
      <c r="II45" s="435"/>
      <c r="IJ45" s="435"/>
      <c r="IK45" s="435"/>
      <c r="IL45" s="435"/>
      <c r="IM45" s="435"/>
      <c r="IN45" s="435"/>
      <c r="IO45" s="435"/>
      <c r="IP45" s="435"/>
      <c r="IQ45" s="435"/>
      <c r="IR45" s="435"/>
      <c r="IS45" s="435"/>
      <c r="IT45" s="435"/>
      <c r="IU45" s="435"/>
      <c r="IV45" s="435"/>
    </row>
    <row r="46" spans="1:16" ht="22.5" customHeight="1">
      <c r="A46" s="778">
        <v>38</v>
      </c>
      <c r="B46" s="636"/>
      <c r="C46" s="480">
        <v>19</v>
      </c>
      <c r="D46" s="775" t="s">
        <v>520</v>
      </c>
      <c r="E46" s="447"/>
      <c r="F46" s="447"/>
      <c r="G46" s="448"/>
      <c r="H46" s="1029" t="s">
        <v>24</v>
      </c>
      <c r="I46" s="1333"/>
      <c r="J46" s="1020"/>
      <c r="K46" s="1020"/>
      <c r="L46" s="1020"/>
      <c r="M46" s="1020"/>
      <c r="N46" s="1042"/>
      <c r="O46" s="1049"/>
      <c r="P46" s="769"/>
    </row>
    <row r="47" spans="1:16" ht="18" customHeight="1">
      <c r="A47" s="778">
        <v>39</v>
      </c>
      <c r="B47" s="636"/>
      <c r="C47" s="480"/>
      <c r="D47" s="1024" t="s">
        <v>293</v>
      </c>
      <c r="E47" s="447">
        <f>F47+G47+O47+P47+76</f>
        <v>28307</v>
      </c>
      <c r="F47" s="447">
        <v>8399</v>
      </c>
      <c r="G47" s="448">
        <v>10474</v>
      </c>
      <c r="H47" s="1029"/>
      <c r="I47" s="1333"/>
      <c r="J47" s="1020">
        <v>46</v>
      </c>
      <c r="K47" s="1020">
        <v>9312</v>
      </c>
      <c r="L47" s="1020"/>
      <c r="M47" s="1020"/>
      <c r="N47" s="1042"/>
      <c r="O47" s="1016">
        <f>SUM(I47:N47)</f>
        <v>9358</v>
      </c>
      <c r="P47" s="769"/>
    </row>
    <row r="48" spans="1:16" ht="22.5" customHeight="1">
      <c r="A48" s="778">
        <v>40</v>
      </c>
      <c r="B48" s="636"/>
      <c r="C48" s="480">
        <v>20</v>
      </c>
      <c r="D48" s="775" t="s">
        <v>521</v>
      </c>
      <c r="E48" s="447"/>
      <c r="F48" s="447"/>
      <c r="G48" s="448"/>
      <c r="H48" s="1029" t="s">
        <v>24</v>
      </c>
      <c r="I48" s="1333"/>
      <c r="J48" s="1020"/>
      <c r="K48" s="1020"/>
      <c r="L48" s="1020"/>
      <c r="M48" s="1020"/>
      <c r="N48" s="1042"/>
      <c r="O48" s="1049"/>
      <c r="P48" s="769"/>
    </row>
    <row r="49" spans="1:16" ht="18" customHeight="1">
      <c r="A49" s="778">
        <v>41</v>
      </c>
      <c r="B49" s="636"/>
      <c r="C49" s="480"/>
      <c r="D49" s="1024" t="s">
        <v>293</v>
      </c>
      <c r="E49" s="447">
        <f>F49+G49+O49+P49</f>
        <v>3071</v>
      </c>
      <c r="F49" s="447"/>
      <c r="G49" s="448"/>
      <c r="H49" s="1029"/>
      <c r="I49" s="1333"/>
      <c r="J49" s="1020"/>
      <c r="K49" s="1020">
        <v>3071</v>
      </c>
      <c r="L49" s="1020"/>
      <c r="M49" s="1020"/>
      <c r="N49" s="1042"/>
      <c r="O49" s="1016">
        <f>SUM(I49:N49)</f>
        <v>3071</v>
      </c>
      <c r="P49" s="769"/>
    </row>
    <row r="50" spans="1:16" ht="22.5" customHeight="1">
      <c r="A50" s="778">
        <v>42</v>
      </c>
      <c r="B50" s="636"/>
      <c r="C50" s="480">
        <v>21</v>
      </c>
      <c r="D50" s="775" t="s">
        <v>522</v>
      </c>
      <c r="E50" s="447"/>
      <c r="F50" s="447"/>
      <c r="G50" s="448"/>
      <c r="H50" s="1029" t="s">
        <v>24</v>
      </c>
      <c r="I50" s="1333"/>
      <c r="J50" s="1020"/>
      <c r="K50" s="1020"/>
      <c r="L50" s="1020"/>
      <c r="M50" s="1020"/>
      <c r="N50" s="1042"/>
      <c r="O50" s="1049"/>
      <c r="P50" s="769"/>
    </row>
    <row r="51" spans="1:16" ht="18" customHeight="1">
      <c r="A51" s="778">
        <v>43</v>
      </c>
      <c r="B51" s="636"/>
      <c r="C51" s="480"/>
      <c r="D51" s="1024" t="s">
        <v>293</v>
      </c>
      <c r="E51" s="447">
        <f>F51+G51+O51+P51+625</f>
        <v>35920</v>
      </c>
      <c r="F51" s="447"/>
      <c r="G51" s="448">
        <f>118+2475</f>
        <v>2593</v>
      </c>
      <c r="H51" s="1029"/>
      <c r="I51" s="1333"/>
      <c r="J51" s="1020"/>
      <c r="K51" s="1020">
        <v>21926</v>
      </c>
      <c r="L51" s="1020"/>
      <c r="M51" s="1020"/>
      <c r="N51" s="1042"/>
      <c r="O51" s="1016">
        <f>SUM(I51:N51)</f>
        <v>21926</v>
      </c>
      <c r="P51" s="769">
        <v>10776</v>
      </c>
    </row>
    <row r="52" spans="1:16" ht="22.5" customHeight="1">
      <c r="A52" s="778">
        <v>44</v>
      </c>
      <c r="B52" s="636"/>
      <c r="C52" s="480">
        <v>22</v>
      </c>
      <c r="D52" s="775" t="s">
        <v>523</v>
      </c>
      <c r="E52" s="447"/>
      <c r="F52" s="447"/>
      <c r="G52" s="448"/>
      <c r="H52" s="1029" t="s">
        <v>24</v>
      </c>
      <c r="I52" s="1333"/>
      <c r="J52" s="1020"/>
      <c r="K52" s="1020"/>
      <c r="L52" s="1020"/>
      <c r="M52" s="1020"/>
      <c r="N52" s="1042"/>
      <c r="O52" s="1049"/>
      <c r="P52" s="769"/>
    </row>
    <row r="53" spans="1:16" ht="18" customHeight="1">
      <c r="A53" s="778">
        <v>45</v>
      </c>
      <c r="B53" s="636"/>
      <c r="C53" s="480"/>
      <c r="D53" s="1024" t="s">
        <v>293</v>
      </c>
      <c r="E53" s="447">
        <f>F53+G53+O53+P53</f>
        <v>55000</v>
      </c>
      <c r="F53" s="447"/>
      <c r="G53" s="448">
        <v>1680</v>
      </c>
      <c r="H53" s="1029"/>
      <c r="I53" s="1333"/>
      <c r="J53" s="1020"/>
      <c r="K53" s="1020">
        <v>295</v>
      </c>
      <c r="L53" s="1020"/>
      <c r="M53" s="1020">
        <v>53025</v>
      </c>
      <c r="N53" s="1042"/>
      <c r="O53" s="1016">
        <f>SUM(I53:N53)</f>
        <v>53320</v>
      </c>
      <c r="P53" s="769"/>
    </row>
    <row r="54" spans="1:16" ht="53.25" customHeight="1">
      <c r="A54" s="778">
        <v>46</v>
      </c>
      <c r="B54" s="636"/>
      <c r="C54" s="437">
        <v>23</v>
      </c>
      <c r="D54" s="1051" t="s">
        <v>524</v>
      </c>
      <c r="E54" s="447"/>
      <c r="F54" s="447"/>
      <c r="G54" s="448"/>
      <c r="H54" s="1029" t="s">
        <v>24</v>
      </c>
      <c r="I54" s="1333"/>
      <c r="J54" s="1020"/>
      <c r="K54" s="1020"/>
      <c r="L54" s="1020"/>
      <c r="M54" s="1020"/>
      <c r="N54" s="1042"/>
      <c r="O54" s="1049"/>
      <c r="P54" s="769"/>
    </row>
    <row r="55" spans="1:16" ht="18" customHeight="1">
      <c r="A55" s="778">
        <v>47</v>
      </c>
      <c r="B55" s="636"/>
      <c r="C55" s="480"/>
      <c r="D55" s="1024" t="s">
        <v>293</v>
      </c>
      <c r="E55" s="447">
        <f>F55+G55+O55+P55</f>
        <v>19985</v>
      </c>
      <c r="F55" s="447"/>
      <c r="G55" s="448"/>
      <c r="H55" s="1029"/>
      <c r="I55" s="1333"/>
      <c r="J55" s="1020"/>
      <c r="K55" s="1020">
        <v>19985</v>
      </c>
      <c r="L55" s="1020"/>
      <c r="M55" s="1020"/>
      <c r="N55" s="1042"/>
      <c r="O55" s="1016">
        <f>SUM(I55:N55)</f>
        <v>19985</v>
      </c>
      <c r="P55" s="769"/>
    </row>
    <row r="56" spans="1:16" ht="22.5" customHeight="1">
      <c r="A56" s="778">
        <v>48</v>
      </c>
      <c r="B56" s="636"/>
      <c r="C56" s="480">
        <v>24</v>
      </c>
      <c r="D56" s="438" t="s">
        <v>525</v>
      </c>
      <c r="E56" s="447"/>
      <c r="F56" s="447"/>
      <c r="G56" s="448"/>
      <c r="H56" s="1029" t="s">
        <v>24</v>
      </c>
      <c r="I56" s="1333"/>
      <c r="J56" s="1020"/>
      <c r="K56" s="1020"/>
      <c r="L56" s="1020"/>
      <c r="M56" s="1020"/>
      <c r="N56" s="1042"/>
      <c r="O56" s="1049"/>
      <c r="P56" s="769"/>
    </row>
    <row r="57" spans="1:16" ht="18" customHeight="1">
      <c r="A57" s="778">
        <v>49</v>
      </c>
      <c r="B57" s="636"/>
      <c r="C57" s="480"/>
      <c r="D57" s="1024" t="s">
        <v>293</v>
      </c>
      <c r="E57" s="447">
        <f>F57+G57+O57+P57</f>
        <v>555</v>
      </c>
      <c r="F57" s="447"/>
      <c r="G57" s="448"/>
      <c r="H57" s="1029"/>
      <c r="I57" s="1333"/>
      <c r="J57" s="1020"/>
      <c r="K57" s="1020">
        <v>155</v>
      </c>
      <c r="L57" s="1020">
        <v>400</v>
      </c>
      <c r="M57" s="1020"/>
      <c r="N57" s="1042"/>
      <c r="O57" s="1016">
        <f>SUM(I57:N57)</f>
        <v>555</v>
      </c>
      <c r="P57" s="769"/>
    </row>
    <row r="58" spans="1:16" ht="53.25" customHeight="1">
      <c r="A58" s="778">
        <v>50</v>
      </c>
      <c r="B58" s="636"/>
      <c r="C58" s="437">
        <v>25</v>
      </c>
      <c r="D58" s="438" t="s">
        <v>752</v>
      </c>
      <c r="E58" s="447"/>
      <c r="F58" s="447"/>
      <c r="G58" s="448"/>
      <c r="H58" s="1029" t="s">
        <v>24</v>
      </c>
      <c r="I58" s="1333"/>
      <c r="J58" s="1020"/>
      <c r="K58" s="1020"/>
      <c r="L58" s="1020"/>
      <c r="M58" s="1020"/>
      <c r="N58" s="1042"/>
      <c r="O58" s="1049"/>
      <c r="P58" s="769"/>
    </row>
    <row r="59" spans="1:256" s="765" customFormat="1" ht="18" customHeight="1" thickBot="1">
      <c r="A59" s="778">
        <v>51</v>
      </c>
      <c r="B59" s="772"/>
      <c r="C59" s="437"/>
      <c r="D59" s="1024" t="s">
        <v>293</v>
      </c>
      <c r="E59" s="447">
        <f>F59+G59+O59+P59</f>
        <v>1500</v>
      </c>
      <c r="F59" s="447"/>
      <c r="G59" s="448"/>
      <c r="H59" s="1029"/>
      <c r="I59" s="1333"/>
      <c r="J59" s="1020"/>
      <c r="K59" s="1020">
        <v>1500</v>
      </c>
      <c r="L59" s="1020"/>
      <c r="M59" s="1020"/>
      <c r="N59" s="1042"/>
      <c r="O59" s="1016">
        <f>SUM(I59:N59)</f>
        <v>1500</v>
      </c>
      <c r="P59" s="769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35"/>
      <c r="CO59" s="435"/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5"/>
      <c r="DA59" s="435"/>
      <c r="DB59" s="435"/>
      <c r="DC59" s="435"/>
      <c r="DD59" s="435"/>
      <c r="DE59" s="435"/>
      <c r="DF59" s="435"/>
      <c r="DG59" s="435"/>
      <c r="DH59" s="435"/>
      <c r="DI59" s="435"/>
      <c r="DJ59" s="435"/>
      <c r="DK59" s="435"/>
      <c r="DL59" s="435"/>
      <c r="DM59" s="435"/>
      <c r="DN59" s="435"/>
      <c r="DO59" s="435"/>
      <c r="DP59" s="435"/>
      <c r="DQ59" s="435"/>
      <c r="DR59" s="435"/>
      <c r="DS59" s="435"/>
      <c r="DT59" s="435"/>
      <c r="DU59" s="435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5"/>
      <c r="EG59" s="435"/>
      <c r="EH59" s="435"/>
      <c r="EI59" s="435"/>
      <c r="EJ59" s="435"/>
      <c r="EK59" s="435"/>
      <c r="EL59" s="435"/>
      <c r="EM59" s="435"/>
      <c r="EN59" s="435"/>
      <c r="EO59" s="435"/>
      <c r="EP59" s="435"/>
      <c r="EQ59" s="435"/>
      <c r="ER59" s="435"/>
      <c r="ES59" s="435"/>
      <c r="ET59" s="435"/>
      <c r="EU59" s="435"/>
      <c r="EV59" s="435"/>
      <c r="EW59" s="435"/>
      <c r="EX59" s="435"/>
      <c r="EY59" s="435"/>
      <c r="EZ59" s="435"/>
      <c r="FA59" s="435"/>
      <c r="FB59" s="435"/>
      <c r="FC59" s="435"/>
      <c r="FD59" s="435"/>
      <c r="FE59" s="435"/>
      <c r="FF59" s="435"/>
      <c r="FG59" s="435"/>
      <c r="FH59" s="435"/>
      <c r="FI59" s="435"/>
      <c r="FJ59" s="435"/>
      <c r="FK59" s="435"/>
      <c r="FL59" s="435"/>
      <c r="FM59" s="435"/>
      <c r="FN59" s="435"/>
      <c r="FO59" s="435"/>
      <c r="FP59" s="435"/>
      <c r="FQ59" s="435"/>
      <c r="FR59" s="435"/>
      <c r="FS59" s="435"/>
      <c r="FT59" s="435"/>
      <c r="FU59" s="435"/>
      <c r="FV59" s="435"/>
      <c r="FW59" s="435"/>
      <c r="FX59" s="435"/>
      <c r="FY59" s="435"/>
      <c r="FZ59" s="435"/>
      <c r="GA59" s="435"/>
      <c r="GB59" s="435"/>
      <c r="GC59" s="435"/>
      <c r="GD59" s="435"/>
      <c r="GE59" s="435"/>
      <c r="GF59" s="435"/>
      <c r="GG59" s="435"/>
      <c r="GH59" s="435"/>
      <c r="GI59" s="435"/>
      <c r="GJ59" s="435"/>
      <c r="GK59" s="435"/>
      <c r="GL59" s="435"/>
      <c r="GM59" s="435"/>
      <c r="GN59" s="435"/>
      <c r="GO59" s="435"/>
      <c r="GP59" s="435"/>
      <c r="GQ59" s="435"/>
      <c r="GR59" s="435"/>
      <c r="GS59" s="435"/>
      <c r="GT59" s="435"/>
      <c r="GU59" s="435"/>
      <c r="GV59" s="435"/>
      <c r="GW59" s="435"/>
      <c r="GX59" s="435"/>
      <c r="GY59" s="435"/>
      <c r="GZ59" s="435"/>
      <c r="HA59" s="435"/>
      <c r="HB59" s="435"/>
      <c r="HC59" s="435"/>
      <c r="HD59" s="435"/>
      <c r="HE59" s="435"/>
      <c r="HF59" s="435"/>
      <c r="HG59" s="435"/>
      <c r="HH59" s="435"/>
      <c r="HI59" s="435"/>
      <c r="HJ59" s="435"/>
      <c r="HK59" s="435"/>
      <c r="HL59" s="435"/>
      <c r="HM59" s="435"/>
      <c r="HN59" s="435"/>
      <c r="HO59" s="435"/>
      <c r="HP59" s="435"/>
      <c r="HQ59" s="435"/>
      <c r="HR59" s="435"/>
      <c r="HS59" s="435"/>
      <c r="HT59" s="435"/>
      <c r="HU59" s="435"/>
      <c r="HV59" s="435"/>
      <c r="HW59" s="435"/>
      <c r="HX59" s="435"/>
      <c r="HY59" s="435"/>
      <c r="HZ59" s="435"/>
      <c r="IA59" s="435"/>
      <c r="IB59" s="435"/>
      <c r="IC59" s="435"/>
      <c r="ID59" s="435"/>
      <c r="IE59" s="435"/>
      <c r="IF59" s="435"/>
      <c r="IG59" s="435"/>
      <c r="IH59" s="435"/>
      <c r="II59" s="435"/>
      <c r="IJ59" s="435"/>
      <c r="IK59" s="435"/>
      <c r="IL59" s="435"/>
      <c r="IM59" s="435"/>
      <c r="IN59" s="435"/>
      <c r="IO59" s="435"/>
      <c r="IP59" s="435"/>
      <c r="IQ59" s="435"/>
      <c r="IR59" s="435"/>
      <c r="IS59" s="435"/>
      <c r="IT59" s="435"/>
      <c r="IU59" s="435"/>
      <c r="IV59" s="435"/>
    </row>
    <row r="60" spans="1:16" s="440" customFormat="1" ht="36" customHeight="1" thickBot="1">
      <c r="A60" s="778">
        <v>52</v>
      </c>
      <c r="B60" s="1778" t="s">
        <v>13</v>
      </c>
      <c r="C60" s="1779"/>
      <c r="D60" s="1779"/>
      <c r="E60" s="1779"/>
      <c r="F60" s="1779"/>
      <c r="G60" s="1780"/>
      <c r="H60" s="782"/>
      <c r="I60" s="1075">
        <f>I57+I55+I53+I51+I49+I47+I45+I43+I41+I39+I37+I35+I29+I27+I25+I23+I21+I19+I17+I15+I13+I11+I59+I33+I31</f>
        <v>0</v>
      </c>
      <c r="J60" s="1075">
        <f aca="true" t="shared" si="0" ref="J60:O60">J57+J55+J53+J51+J49+J47+J45+J43+J41+J39+J37+J35+J29+J27+J25+J23+J21+J19+J17+J15+J13+J11+J59+J33+J31</f>
        <v>46</v>
      </c>
      <c r="K60" s="1075">
        <f t="shared" si="0"/>
        <v>190656</v>
      </c>
      <c r="L60" s="1075">
        <f t="shared" si="0"/>
        <v>18309</v>
      </c>
      <c r="M60" s="1075">
        <f t="shared" si="0"/>
        <v>8298320</v>
      </c>
      <c r="N60" s="1075">
        <f t="shared" si="0"/>
        <v>0</v>
      </c>
      <c r="O60" s="1075">
        <f t="shared" si="0"/>
        <v>8507331</v>
      </c>
      <c r="P60" s="1076">
        <f>SUM(P9:P59)</f>
        <v>129714</v>
      </c>
    </row>
    <row r="61" spans="2:15" ht="18" customHeight="1">
      <c r="B61" s="770" t="s">
        <v>27</v>
      </c>
      <c r="C61" s="771"/>
      <c r="D61" s="770"/>
      <c r="E61" s="449"/>
      <c r="F61" s="450"/>
      <c r="G61" s="449"/>
      <c r="H61" s="758"/>
      <c r="I61" s="449"/>
      <c r="J61" s="449"/>
      <c r="K61" s="449"/>
      <c r="L61" s="449"/>
      <c r="M61" s="449"/>
      <c r="N61" s="449"/>
      <c r="O61" s="780"/>
    </row>
    <row r="62" spans="2:15" ht="18" customHeight="1">
      <c r="B62" s="770" t="s">
        <v>28</v>
      </c>
      <c r="C62" s="771"/>
      <c r="D62" s="770"/>
      <c r="E62" s="642"/>
      <c r="F62" s="450"/>
      <c r="G62" s="449"/>
      <c r="H62" s="758"/>
      <c r="I62" s="449"/>
      <c r="J62" s="449"/>
      <c r="K62" s="449"/>
      <c r="L62" s="449"/>
      <c r="M62" s="449"/>
      <c r="N62" s="449"/>
      <c r="O62" s="780"/>
    </row>
    <row r="63" spans="2:15" ht="18" customHeight="1">
      <c r="B63" s="770" t="s">
        <v>29</v>
      </c>
      <c r="C63" s="771"/>
      <c r="D63" s="770"/>
      <c r="E63" s="642"/>
      <c r="F63" s="450"/>
      <c r="G63" s="449"/>
      <c r="H63" s="758"/>
      <c r="I63" s="449"/>
      <c r="J63" s="449"/>
      <c r="K63" s="449"/>
      <c r="L63" s="449"/>
      <c r="M63" s="449"/>
      <c r="N63" s="449"/>
      <c r="O63" s="780"/>
    </row>
    <row r="64" spans="2:3" ht="17.25">
      <c r="B64" s="446" t="s">
        <v>492</v>
      </c>
      <c r="C64" s="446"/>
    </row>
  </sheetData>
  <sheetProtection/>
  <mergeCells count="18">
    <mergeCell ref="M7:N7"/>
    <mergeCell ref="O7:O8"/>
    <mergeCell ref="B60:G60"/>
    <mergeCell ref="C6:C8"/>
    <mergeCell ref="H6:H8"/>
    <mergeCell ref="Q6:R6"/>
    <mergeCell ref="I1:P1"/>
    <mergeCell ref="B6:B8"/>
    <mergeCell ref="E6:E8"/>
    <mergeCell ref="A1:D1"/>
    <mergeCell ref="A2:P2"/>
    <mergeCell ref="A3:P3"/>
    <mergeCell ref="D6:D8"/>
    <mergeCell ref="F6:F8"/>
    <mergeCell ref="G6:G8"/>
    <mergeCell ref="I6:O6"/>
    <mergeCell ref="P6:P8"/>
    <mergeCell ref="I7:L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7" r:id="rId3"/>
  <headerFooter>
    <oddFooter>&amp;C- &amp;P -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="88" zoomScaleSheetLayoutView="88" zoomScalePageLayoutView="0" workbookViewId="0" topLeftCell="A1">
      <selection activeCell="J33" sqref="J33"/>
    </sheetView>
  </sheetViews>
  <sheetFormatPr defaultColWidth="9.00390625" defaultRowHeight="12.75"/>
  <cols>
    <col min="1" max="1" width="3.75390625" style="757" customWidth="1"/>
    <col min="2" max="3" width="5.75390625" style="932" customWidth="1"/>
    <col min="4" max="4" width="62.75390625" style="435" customWidth="1"/>
    <col min="5" max="5" width="12.75390625" style="931" customWidth="1"/>
    <col min="6" max="7" width="10.75390625" style="931" customWidth="1"/>
    <col min="8" max="8" width="6.75390625" style="760" customWidth="1"/>
    <col min="9" max="14" width="14.875" style="931" customWidth="1"/>
    <col min="15" max="15" width="15.75390625" style="779" customWidth="1"/>
    <col min="16" max="16" width="13.875" style="931" customWidth="1"/>
    <col min="17" max="16384" width="9.125" style="435" customWidth="1"/>
  </cols>
  <sheetData>
    <row r="1" spans="1:250" ht="18" customHeight="1">
      <c r="A1" s="1791" t="s">
        <v>651</v>
      </c>
      <c r="B1" s="1791"/>
      <c r="C1" s="1791"/>
      <c r="D1" s="1791"/>
      <c r="E1" s="642"/>
      <c r="F1" s="642"/>
      <c r="G1" s="642"/>
      <c r="H1" s="758"/>
      <c r="I1" s="1746"/>
      <c r="J1" s="1746"/>
      <c r="K1" s="1746"/>
      <c r="L1" s="1746"/>
      <c r="M1" s="1746"/>
      <c r="N1" s="1746"/>
      <c r="O1" s="1746"/>
      <c r="P1" s="1746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759"/>
      <c r="AC1" s="759"/>
      <c r="AD1" s="759"/>
      <c r="AE1" s="759"/>
      <c r="AF1" s="759"/>
      <c r="AG1" s="759"/>
      <c r="AH1" s="759"/>
      <c r="AI1" s="759"/>
      <c r="AJ1" s="759"/>
      <c r="AK1" s="759"/>
      <c r="AL1" s="759"/>
      <c r="AM1" s="759"/>
      <c r="AN1" s="759"/>
      <c r="AO1" s="759"/>
      <c r="AP1" s="759"/>
      <c r="AQ1" s="759"/>
      <c r="AR1" s="759"/>
      <c r="AS1" s="759"/>
      <c r="AT1" s="759"/>
      <c r="AU1" s="759"/>
      <c r="AV1" s="759"/>
      <c r="AW1" s="759"/>
      <c r="AX1" s="759"/>
      <c r="AY1" s="759"/>
      <c r="AZ1" s="759"/>
      <c r="BA1" s="759"/>
      <c r="BB1" s="759"/>
      <c r="BC1" s="759"/>
      <c r="BD1" s="759"/>
      <c r="BE1" s="759"/>
      <c r="BF1" s="759"/>
      <c r="BG1" s="759"/>
      <c r="BH1" s="759"/>
      <c r="BI1" s="759"/>
      <c r="BJ1" s="759"/>
      <c r="BK1" s="759"/>
      <c r="BL1" s="759"/>
      <c r="BM1" s="759"/>
      <c r="BN1" s="759"/>
      <c r="BO1" s="759"/>
      <c r="BP1" s="759"/>
      <c r="BQ1" s="759"/>
      <c r="BR1" s="759"/>
      <c r="BS1" s="759"/>
      <c r="BT1" s="759"/>
      <c r="BU1" s="759"/>
      <c r="BV1" s="759"/>
      <c r="BW1" s="759"/>
      <c r="BX1" s="759"/>
      <c r="BY1" s="759"/>
      <c r="BZ1" s="759"/>
      <c r="CA1" s="759"/>
      <c r="CB1" s="759"/>
      <c r="CC1" s="759"/>
      <c r="CD1" s="759"/>
      <c r="CE1" s="759"/>
      <c r="CF1" s="759"/>
      <c r="CG1" s="759"/>
      <c r="CH1" s="759"/>
      <c r="CI1" s="759"/>
      <c r="CJ1" s="759"/>
      <c r="CK1" s="759"/>
      <c r="CL1" s="759"/>
      <c r="CM1" s="759"/>
      <c r="CN1" s="759"/>
      <c r="CO1" s="759"/>
      <c r="CP1" s="759"/>
      <c r="CQ1" s="759"/>
      <c r="CR1" s="759"/>
      <c r="CS1" s="759"/>
      <c r="CT1" s="759"/>
      <c r="CU1" s="759"/>
      <c r="CV1" s="759"/>
      <c r="CW1" s="759"/>
      <c r="CX1" s="759"/>
      <c r="CY1" s="759"/>
      <c r="CZ1" s="759"/>
      <c r="DA1" s="759"/>
      <c r="DB1" s="759"/>
      <c r="DC1" s="759"/>
      <c r="DD1" s="759"/>
      <c r="DE1" s="759"/>
      <c r="DF1" s="759"/>
      <c r="DG1" s="759"/>
      <c r="DH1" s="759"/>
      <c r="DI1" s="759"/>
      <c r="DJ1" s="759"/>
      <c r="DK1" s="759"/>
      <c r="DL1" s="759"/>
      <c r="DM1" s="759"/>
      <c r="DN1" s="759"/>
      <c r="DO1" s="759"/>
      <c r="DP1" s="759"/>
      <c r="DQ1" s="759"/>
      <c r="DR1" s="759"/>
      <c r="DS1" s="759"/>
      <c r="DT1" s="759"/>
      <c r="DU1" s="759"/>
      <c r="DV1" s="759"/>
      <c r="DW1" s="759"/>
      <c r="DX1" s="759"/>
      <c r="DY1" s="759"/>
      <c r="DZ1" s="759"/>
      <c r="EA1" s="759"/>
      <c r="EB1" s="759"/>
      <c r="EC1" s="759"/>
      <c r="ED1" s="759"/>
      <c r="EE1" s="759"/>
      <c r="EF1" s="759"/>
      <c r="EG1" s="759"/>
      <c r="EH1" s="759"/>
      <c r="EI1" s="759"/>
      <c r="EJ1" s="759"/>
      <c r="EK1" s="759"/>
      <c r="EL1" s="759"/>
      <c r="EM1" s="759"/>
      <c r="EN1" s="759"/>
      <c r="EO1" s="759"/>
      <c r="EP1" s="759"/>
      <c r="EQ1" s="759"/>
      <c r="ER1" s="759"/>
      <c r="ES1" s="759"/>
      <c r="ET1" s="759"/>
      <c r="EU1" s="759"/>
      <c r="EV1" s="759"/>
      <c r="EW1" s="759"/>
      <c r="EX1" s="759"/>
      <c r="EY1" s="759"/>
      <c r="EZ1" s="759"/>
      <c r="FA1" s="759"/>
      <c r="FB1" s="759"/>
      <c r="FC1" s="759"/>
      <c r="FD1" s="759"/>
      <c r="FE1" s="759"/>
      <c r="FF1" s="759"/>
      <c r="FG1" s="759"/>
      <c r="FH1" s="759"/>
      <c r="FI1" s="759"/>
      <c r="FJ1" s="759"/>
      <c r="FK1" s="759"/>
      <c r="FL1" s="759"/>
      <c r="FM1" s="759"/>
      <c r="FN1" s="759"/>
      <c r="FO1" s="759"/>
      <c r="FP1" s="759"/>
      <c r="FQ1" s="759"/>
      <c r="FR1" s="759"/>
      <c r="FS1" s="759"/>
      <c r="FT1" s="759"/>
      <c r="FU1" s="759"/>
      <c r="FV1" s="759"/>
      <c r="FW1" s="759"/>
      <c r="FX1" s="759"/>
      <c r="FY1" s="759"/>
      <c r="FZ1" s="759"/>
      <c r="GA1" s="759"/>
      <c r="GB1" s="759"/>
      <c r="GC1" s="759"/>
      <c r="GD1" s="759"/>
      <c r="GE1" s="759"/>
      <c r="GF1" s="759"/>
      <c r="GG1" s="759"/>
      <c r="GH1" s="759"/>
      <c r="GI1" s="759"/>
      <c r="GJ1" s="759"/>
      <c r="GK1" s="759"/>
      <c r="GL1" s="759"/>
      <c r="GM1" s="759"/>
      <c r="GN1" s="759"/>
      <c r="GO1" s="759"/>
      <c r="GP1" s="759"/>
      <c r="GQ1" s="759"/>
      <c r="GR1" s="759"/>
      <c r="GS1" s="759"/>
      <c r="GT1" s="759"/>
      <c r="GU1" s="759"/>
      <c r="GV1" s="759"/>
      <c r="GW1" s="759"/>
      <c r="GX1" s="759"/>
      <c r="GY1" s="759"/>
      <c r="GZ1" s="759"/>
      <c r="HA1" s="759"/>
      <c r="HB1" s="759"/>
      <c r="HC1" s="759"/>
      <c r="HD1" s="759"/>
      <c r="HE1" s="759"/>
      <c r="HF1" s="759"/>
      <c r="HG1" s="759"/>
      <c r="HH1" s="759"/>
      <c r="HI1" s="759"/>
      <c r="HJ1" s="759"/>
      <c r="HK1" s="759"/>
      <c r="HL1" s="759"/>
      <c r="HM1" s="759"/>
      <c r="HN1" s="759"/>
      <c r="HO1" s="759"/>
      <c r="HP1" s="759"/>
      <c r="HQ1" s="759"/>
      <c r="HR1" s="759"/>
      <c r="HS1" s="759"/>
      <c r="HT1" s="759"/>
      <c r="HU1" s="759"/>
      <c r="HV1" s="759"/>
      <c r="HW1" s="759"/>
      <c r="HX1" s="759"/>
      <c r="HY1" s="759"/>
      <c r="HZ1" s="759"/>
      <c r="IA1" s="759"/>
      <c r="IB1" s="759"/>
      <c r="IC1" s="759"/>
      <c r="ID1" s="759"/>
      <c r="IE1" s="759"/>
      <c r="IF1" s="759"/>
      <c r="IG1" s="759"/>
      <c r="IH1" s="759"/>
      <c r="II1" s="759"/>
      <c r="IJ1" s="759"/>
      <c r="IK1" s="759"/>
      <c r="IL1" s="759"/>
      <c r="IM1" s="759"/>
      <c r="IN1" s="759"/>
      <c r="IO1" s="759"/>
      <c r="IP1" s="759"/>
    </row>
    <row r="2" spans="1:16" ht="24.75" customHeight="1">
      <c r="A2" s="1747" t="s">
        <v>14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</row>
    <row r="3" spans="1:16" ht="24.75" customHeight="1">
      <c r="A3" s="1792" t="s">
        <v>753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</row>
    <row r="4" spans="1:16" s="1003" customFormat="1" ht="18" customHeight="1">
      <c r="A4" s="757"/>
      <c r="B4" s="757"/>
      <c r="C4" s="757"/>
      <c r="E4" s="713"/>
      <c r="F4" s="713"/>
      <c r="G4" s="713"/>
      <c r="H4" s="1004"/>
      <c r="I4" s="713"/>
      <c r="J4" s="713"/>
      <c r="K4" s="713"/>
      <c r="L4" s="713"/>
      <c r="M4" s="713"/>
      <c r="N4" s="713"/>
      <c r="O4" s="1005"/>
      <c r="P4" s="719" t="s">
        <v>0</v>
      </c>
    </row>
    <row r="5" spans="1:250" s="1009" customFormat="1" ht="18" customHeight="1" thickBot="1">
      <c r="A5" s="1006"/>
      <c r="B5" s="1007" t="s">
        <v>1</v>
      </c>
      <c r="C5" s="1008" t="s">
        <v>3</v>
      </c>
      <c r="D5" s="1008" t="s">
        <v>2</v>
      </c>
      <c r="E5" s="1008" t="s">
        <v>4</v>
      </c>
      <c r="F5" s="1008" t="s">
        <v>5</v>
      </c>
      <c r="G5" s="1008" t="s">
        <v>15</v>
      </c>
      <c r="H5" s="1008" t="s">
        <v>16</v>
      </c>
      <c r="I5" s="1008" t="s">
        <v>17</v>
      </c>
      <c r="J5" s="1008" t="s">
        <v>34</v>
      </c>
      <c r="K5" s="1008" t="s">
        <v>30</v>
      </c>
      <c r="L5" s="1008" t="s">
        <v>23</v>
      </c>
      <c r="M5" s="1008" t="s">
        <v>35</v>
      </c>
      <c r="N5" s="1008" t="s">
        <v>36</v>
      </c>
      <c r="O5" s="1008" t="s">
        <v>151</v>
      </c>
      <c r="P5" s="1008" t="s">
        <v>152</v>
      </c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1006"/>
      <c r="AF5" s="1006"/>
      <c r="AG5" s="1006"/>
      <c r="AH5" s="1006"/>
      <c r="AI5" s="1006"/>
      <c r="AJ5" s="1006"/>
      <c r="AK5" s="1006"/>
      <c r="AL5" s="1006"/>
      <c r="AM5" s="1006"/>
      <c r="AN5" s="1006"/>
      <c r="AO5" s="1006"/>
      <c r="AP5" s="1006"/>
      <c r="AQ5" s="1006"/>
      <c r="AR5" s="1006"/>
      <c r="AS5" s="1006"/>
      <c r="AT5" s="1006"/>
      <c r="AU5" s="1006"/>
      <c r="AV5" s="1006"/>
      <c r="AW5" s="1006"/>
      <c r="AX5" s="1006"/>
      <c r="AY5" s="1006"/>
      <c r="AZ5" s="1006"/>
      <c r="BA5" s="1006"/>
      <c r="BB5" s="1006"/>
      <c r="BC5" s="1006"/>
      <c r="BD5" s="1006"/>
      <c r="BE5" s="1006"/>
      <c r="BF5" s="1006"/>
      <c r="BG5" s="1006"/>
      <c r="BH5" s="1006"/>
      <c r="BI5" s="1006"/>
      <c r="BJ5" s="1006"/>
      <c r="BK5" s="1006"/>
      <c r="BL5" s="1006"/>
      <c r="BM5" s="1006"/>
      <c r="BN5" s="1006"/>
      <c r="BO5" s="1006"/>
      <c r="BP5" s="1006"/>
      <c r="BQ5" s="1006"/>
      <c r="BR5" s="1006"/>
      <c r="BS5" s="1006"/>
      <c r="BT5" s="1006"/>
      <c r="BU5" s="1006"/>
      <c r="BV5" s="1006"/>
      <c r="BW5" s="1006"/>
      <c r="BX5" s="1006"/>
      <c r="BY5" s="1006"/>
      <c r="BZ5" s="1006"/>
      <c r="CA5" s="1006"/>
      <c r="CB5" s="1006"/>
      <c r="CC5" s="1006"/>
      <c r="CD5" s="1006"/>
      <c r="CE5" s="1006"/>
      <c r="CF5" s="1006"/>
      <c r="CG5" s="1006"/>
      <c r="CH5" s="1006"/>
      <c r="CI5" s="1006"/>
      <c r="CJ5" s="1006"/>
      <c r="CK5" s="1006"/>
      <c r="CL5" s="1006"/>
      <c r="CM5" s="1006"/>
      <c r="CN5" s="1006"/>
      <c r="CO5" s="1006"/>
      <c r="CP5" s="1006"/>
      <c r="CQ5" s="1006"/>
      <c r="CR5" s="1006"/>
      <c r="CS5" s="1006"/>
      <c r="CT5" s="1006"/>
      <c r="CU5" s="1006"/>
      <c r="CV5" s="1006"/>
      <c r="CW5" s="1006"/>
      <c r="CX5" s="1006"/>
      <c r="CY5" s="1006"/>
      <c r="CZ5" s="1006"/>
      <c r="DA5" s="1006"/>
      <c r="DB5" s="1006"/>
      <c r="DC5" s="1006"/>
      <c r="DD5" s="1006"/>
      <c r="DE5" s="1006"/>
      <c r="DF5" s="1006"/>
      <c r="DG5" s="1006"/>
      <c r="DH5" s="1006"/>
      <c r="DI5" s="1006"/>
      <c r="DJ5" s="1006"/>
      <c r="DK5" s="1006"/>
      <c r="DL5" s="1006"/>
      <c r="DM5" s="1006"/>
      <c r="DN5" s="1006"/>
      <c r="DO5" s="1006"/>
      <c r="DP5" s="1006"/>
      <c r="DQ5" s="1006"/>
      <c r="DR5" s="1006"/>
      <c r="DS5" s="1006"/>
      <c r="DT5" s="1006"/>
      <c r="DU5" s="1006"/>
      <c r="DV5" s="1006"/>
      <c r="DW5" s="1006"/>
      <c r="DX5" s="1006"/>
      <c r="DY5" s="1006"/>
      <c r="DZ5" s="1006"/>
      <c r="EA5" s="1006"/>
      <c r="EB5" s="1006"/>
      <c r="EC5" s="1006"/>
      <c r="ED5" s="1006"/>
      <c r="EE5" s="1006"/>
      <c r="EF5" s="1006"/>
      <c r="EG5" s="1006"/>
      <c r="EH5" s="1006"/>
      <c r="EI5" s="1006"/>
      <c r="EJ5" s="1006"/>
      <c r="EK5" s="1006"/>
      <c r="EL5" s="1006"/>
      <c r="EM5" s="1006"/>
      <c r="EN5" s="1006"/>
      <c r="EO5" s="1006"/>
      <c r="EP5" s="1006"/>
      <c r="EQ5" s="1006"/>
      <c r="ER5" s="1006"/>
      <c r="ES5" s="1006"/>
      <c r="ET5" s="1006"/>
      <c r="EU5" s="1006"/>
      <c r="EV5" s="1006"/>
      <c r="EW5" s="1006"/>
      <c r="EX5" s="1006"/>
      <c r="EY5" s="1006"/>
      <c r="EZ5" s="1006"/>
      <c r="FA5" s="1006"/>
      <c r="FB5" s="1006"/>
      <c r="FC5" s="1006"/>
      <c r="FD5" s="1006"/>
      <c r="FE5" s="1006"/>
      <c r="FF5" s="1006"/>
      <c r="FG5" s="1006"/>
      <c r="FH5" s="1006"/>
      <c r="FI5" s="1006"/>
      <c r="FJ5" s="1006"/>
      <c r="FK5" s="1006"/>
      <c r="FL5" s="1006"/>
      <c r="FM5" s="1006"/>
      <c r="FN5" s="1006"/>
      <c r="FO5" s="1006"/>
      <c r="FP5" s="1006"/>
      <c r="FQ5" s="1006"/>
      <c r="FR5" s="1006"/>
      <c r="FS5" s="1006"/>
      <c r="FT5" s="1006"/>
      <c r="FU5" s="1006"/>
      <c r="FV5" s="1006"/>
      <c r="FW5" s="1006"/>
      <c r="FX5" s="1006"/>
      <c r="FY5" s="1006"/>
      <c r="FZ5" s="1006"/>
      <c r="GA5" s="1006"/>
      <c r="GB5" s="1006"/>
      <c r="GC5" s="1006"/>
      <c r="GD5" s="1006"/>
      <c r="GE5" s="1006"/>
      <c r="GF5" s="1006"/>
      <c r="GG5" s="1006"/>
      <c r="GH5" s="1006"/>
      <c r="GI5" s="1006"/>
      <c r="GJ5" s="1006"/>
      <c r="GK5" s="1006"/>
      <c r="GL5" s="1006"/>
      <c r="GM5" s="1006"/>
      <c r="GN5" s="1006"/>
      <c r="GO5" s="1006"/>
      <c r="GP5" s="1006"/>
      <c r="GQ5" s="1006"/>
      <c r="GR5" s="1006"/>
      <c r="GS5" s="1006"/>
      <c r="GT5" s="1006"/>
      <c r="GU5" s="1006"/>
      <c r="GV5" s="1006"/>
      <c r="GW5" s="1006"/>
      <c r="GX5" s="1006"/>
      <c r="GY5" s="1006"/>
      <c r="GZ5" s="1006"/>
      <c r="HA5" s="1006"/>
      <c r="HB5" s="1006"/>
      <c r="HC5" s="1006"/>
      <c r="HD5" s="1006"/>
      <c r="HE5" s="1006"/>
      <c r="HF5" s="1006"/>
      <c r="HG5" s="1006"/>
      <c r="HH5" s="1006"/>
      <c r="HI5" s="1006"/>
      <c r="HJ5" s="1006"/>
      <c r="HK5" s="1006"/>
      <c r="HL5" s="1006"/>
      <c r="HM5" s="1006"/>
      <c r="HN5" s="1006"/>
      <c r="HO5" s="1006"/>
      <c r="HP5" s="1006"/>
      <c r="HQ5" s="1006"/>
      <c r="HR5" s="1006"/>
      <c r="HS5" s="1006"/>
      <c r="HT5" s="1006"/>
      <c r="HU5" s="1006"/>
      <c r="HV5" s="1006"/>
      <c r="HW5" s="1006"/>
      <c r="HX5" s="1006"/>
      <c r="HY5" s="1006"/>
      <c r="HZ5" s="1006"/>
      <c r="IA5" s="1006"/>
      <c r="IB5" s="1006"/>
      <c r="IC5" s="1006"/>
      <c r="ID5" s="1006"/>
      <c r="IE5" s="1006"/>
      <c r="IF5" s="1006"/>
      <c r="IG5" s="1006"/>
      <c r="IH5" s="1006"/>
      <c r="II5" s="1006"/>
      <c r="IJ5" s="1006"/>
      <c r="IK5" s="1006"/>
      <c r="IL5" s="1006"/>
      <c r="IM5" s="1006"/>
      <c r="IN5" s="1006"/>
      <c r="IO5" s="1006"/>
      <c r="IP5" s="1006"/>
    </row>
    <row r="6" spans="2:18" ht="22.5" customHeight="1">
      <c r="B6" s="1785" t="s">
        <v>18</v>
      </c>
      <c r="C6" s="1781" t="s">
        <v>19</v>
      </c>
      <c r="D6" s="1793" t="s">
        <v>6</v>
      </c>
      <c r="E6" s="1788" t="s">
        <v>491</v>
      </c>
      <c r="F6" s="1788" t="s">
        <v>754</v>
      </c>
      <c r="G6" s="1796" t="s">
        <v>748</v>
      </c>
      <c r="H6" s="1770" t="s">
        <v>20</v>
      </c>
      <c r="I6" s="1799" t="s">
        <v>663</v>
      </c>
      <c r="J6" s="1788"/>
      <c r="K6" s="1788"/>
      <c r="L6" s="1788"/>
      <c r="M6" s="1788"/>
      <c r="N6" s="1788"/>
      <c r="O6" s="1800"/>
      <c r="P6" s="1801" t="s">
        <v>746</v>
      </c>
      <c r="Q6" s="1784"/>
      <c r="R6" s="1784"/>
    </row>
    <row r="7" spans="2:16" ht="33" customHeight="1">
      <c r="B7" s="1786"/>
      <c r="C7" s="1782"/>
      <c r="D7" s="1794"/>
      <c r="E7" s="1789"/>
      <c r="F7" s="1789"/>
      <c r="G7" s="1797"/>
      <c r="H7" s="1771"/>
      <c r="I7" s="1804" t="s">
        <v>493</v>
      </c>
      <c r="J7" s="1805"/>
      <c r="K7" s="1806"/>
      <c r="L7" s="1806"/>
      <c r="M7" s="1807" t="s">
        <v>154</v>
      </c>
      <c r="N7" s="1807"/>
      <c r="O7" s="1808" t="s">
        <v>120</v>
      </c>
      <c r="P7" s="1802"/>
    </row>
    <row r="8" spans="2:16" ht="53.25" customHeight="1" thickBot="1">
      <c r="B8" s="1787"/>
      <c r="C8" s="1783"/>
      <c r="D8" s="1795"/>
      <c r="E8" s="1790"/>
      <c r="F8" s="1790"/>
      <c r="G8" s="1798"/>
      <c r="H8" s="1772"/>
      <c r="I8" s="1025" t="s">
        <v>38</v>
      </c>
      <c r="J8" s="761" t="s">
        <v>488</v>
      </c>
      <c r="K8" s="762" t="s">
        <v>40</v>
      </c>
      <c r="L8" s="762" t="s">
        <v>490</v>
      </c>
      <c r="M8" s="761" t="s">
        <v>220</v>
      </c>
      <c r="N8" s="761" t="s">
        <v>155</v>
      </c>
      <c r="O8" s="1809"/>
      <c r="P8" s="1803"/>
    </row>
    <row r="9" spans="1:256" s="765" customFormat="1" ht="22.5" customHeight="1">
      <c r="A9" s="778">
        <v>1</v>
      </c>
      <c r="B9" s="763">
        <v>18</v>
      </c>
      <c r="C9" s="774" t="s">
        <v>14</v>
      </c>
      <c r="D9" s="1015"/>
      <c r="E9" s="444"/>
      <c r="F9" s="442"/>
      <c r="G9" s="443"/>
      <c r="H9" s="1028"/>
      <c r="I9" s="1026"/>
      <c r="J9" s="781"/>
      <c r="K9" s="781"/>
      <c r="L9" s="781"/>
      <c r="M9" s="781"/>
      <c r="N9" s="781"/>
      <c r="O9" s="764"/>
      <c r="P9" s="766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  <c r="DU9" s="435"/>
      <c r="DV9" s="435"/>
      <c r="DW9" s="435"/>
      <c r="DX9" s="435"/>
      <c r="DY9" s="435"/>
      <c r="DZ9" s="435"/>
      <c r="EA9" s="435"/>
      <c r="EB9" s="435"/>
      <c r="EC9" s="435"/>
      <c r="ED9" s="435"/>
      <c r="EE9" s="435"/>
      <c r="EF9" s="435"/>
      <c r="EG9" s="435"/>
      <c r="EH9" s="435"/>
      <c r="EI9" s="435"/>
      <c r="EJ9" s="435"/>
      <c r="EK9" s="435"/>
      <c r="EL9" s="435"/>
      <c r="EM9" s="435"/>
      <c r="EN9" s="435"/>
      <c r="EO9" s="435"/>
      <c r="EP9" s="435"/>
      <c r="EQ9" s="435"/>
      <c r="ER9" s="435"/>
      <c r="ES9" s="435"/>
      <c r="ET9" s="435"/>
      <c r="EU9" s="435"/>
      <c r="EV9" s="435"/>
      <c r="EW9" s="435"/>
      <c r="EX9" s="435"/>
      <c r="EY9" s="435"/>
      <c r="EZ9" s="435"/>
      <c r="FA9" s="435"/>
      <c r="FB9" s="435"/>
      <c r="FC9" s="435"/>
      <c r="FD9" s="435"/>
      <c r="FE9" s="435"/>
      <c r="FF9" s="435"/>
      <c r="FG9" s="435"/>
      <c r="FH9" s="435"/>
      <c r="FI9" s="435"/>
      <c r="FJ9" s="435"/>
      <c r="FK9" s="435"/>
      <c r="FL9" s="435"/>
      <c r="FM9" s="435"/>
      <c r="FN9" s="435"/>
      <c r="FO9" s="435"/>
      <c r="FP9" s="435"/>
      <c r="FQ9" s="435"/>
      <c r="FR9" s="435"/>
      <c r="FS9" s="435"/>
      <c r="FT9" s="435"/>
      <c r="FU9" s="435"/>
      <c r="FV9" s="435"/>
      <c r="FW9" s="435"/>
      <c r="FX9" s="435"/>
      <c r="FY9" s="435"/>
      <c r="FZ9" s="435"/>
      <c r="GA9" s="435"/>
      <c r="GB9" s="435"/>
      <c r="GC9" s="435"/>
      <c r="GD9" s="435"/>
      <c r="GE9" s="435"/>
      <c r="GF9" s="435"/>
      <c r="GG9" s="435"/>
      <c r="GH9" s="435"/>
      <c r="GI9" s="435"/>
      <c r="GJ9" s="435"/>
      <c r="GK9" s="435"/>
      <c r="GL9" s="435"/>
      <c r="GM9" s="435"/>
      <c r="GN9" s="435"/>
      <c r="GO9" s="435"/>
      <c r="GP9" s="435"/>
      <c r="GQ9" s="435"/>
      <c r="GR9" s="435"/>
      <c r="GS9" s="435"/>
      <c r="GT9" s="435"/>
      <c r="GU9" s="435"/>
      <c r="GV9" s="435"/>
      <c r="GW9" s="435"/>
      <c r="GX9" s="435"/>
      <c r="GY9" s="435"/>
      <c r="GZ9" s="435"/>
      <c r="HA9" s="435"/>
      <c r="HB9" s="435"/>
      <c r="HC9" s="435"/>
      <c r="HD9" s="435"/>
      <c r="HE9" s="435"/>
      <c r="HF9" s="435"/>
      <c r="HG9" s="435"/>
      <c r="HH9" s="435"/>
      <c r="HI9" s="435"/>
      <c r="HJ9" s="435"/>
      <c r="HK9" s="435"/>
      <c r="HL9" s="435"/>
      <c r="HM9" s="435"/>
      <c r="HN9" s="435"/>
      <c r="HO9" s="435"/>
      <c r="HP9" s="435"/>
      <c r="HQ9" s="435"/>
      <c r="HR9" s="435"/>
      <c r="HS9" s="435"/>
      <c r="HT9" s="435"/>
      <c r="HU9" s="435"/>
      <c r="HV9" s="435"/>
      <c r="HW9" s="435"/>
      <c r="HX9" s="435"/>
      <c r="HY9" s="435"/>
      <c r="HZ9" s="435"/>
      <c r="IA9" s="435"/>
      <c r="IB9" s="435"/>
      <c r="IC9" s="435"/>
      <c r="ID9" s="435"/>
      <c r="IE9" s="435"/>
      <c r="IF9" s="435"/>
      <c r="IG9" s="435"/>
      <c r="IH9" s="435"/>
      <c r="II9" s="435"/>
      <c r="IJ9" s="435"/>
      <c r="IK9" s="435"/>
      <c r="IL9" s="435"/>
      <c r="IM9" s="435"/>
      <c r="IN9" s="435"/>
      <c r="IO9" s="435"/>
      <c r="IP9" s="435"/>
      <c r="IQ9" s="435"/>
      <c r="IR9" s="435"/>
      <c r="IS9" s="435"/>
      <c r="IT9" s="435"/>
      <c r="IU9" s="435"/>
      <c r="IV9" s="435"/>
    </row>
    <row r="10" spans="1:256" s="765" customFormat="1" ht="22.5" customHeight="1">
      <c r="A10" s="778">
        <v>2</v>
      </c>
      <c r="B10" s="772"/>
      <c r="C10" s="480">
        <v>1</v>
      </c>
      <c r="D10" s="767" t="s">
        <v>526</v>
      </c>
      <c r="E10" s="447"/>
      <c r="F10" s="768"/>
      <c r="G10" s="448"/>
      <c r="H10" s="1029" t="s">
        <v>24</v>
      </c>
      <c r="I10" s="1047"/>
      <c r="J10" s="1043"/>
      <c r="K10" s="1043"/>
      <c r="L10" s="1043"/>
      <c r="M10" s="1043"/>
      <c r="N10" s="1043"/>
      <c r="O10" s="773"/>
      <c r="P10" s="769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5"/>
      <c r="CB10" s="435"/>
      <c r="CC10" s="435"/>
      <c r="CD10" s="435"/>
      <c r="CE10" s="435"/>
      <c r="CF10" s="435"/>
      <c r="CG10" s="435"/>
      <c r="CH10" s="435"/>
      <c r="CI10" s="435"/>
      <c r="CJ10" s="435"/>
      <c r="CK10" s="435"/>
      <c r="CL10" s="435"/>
      <c r="CM10" s="435"/>
      <c r="CN10" s="435"/>
      <c r="CO10" s="435"/>
      <c r="CP10" s="435"/>
      <c r="CQ10" s="435"/>
      <c r="CR10" s="435"/>
      <c r="CS10" s="435"/>
      <c r="CT10" s="435"/>
      <c r="CU10" s="435"/>
      <c r="CV10" s="435"/>
      <c r="CW10" s="435"/>
      <c r="CX10" s="435"/>
      <c r="CY10" s="435"/>
      <c r="CZ10" s="435"/>
      <c r="DA10" s="435"/>
      <c r="DB10" s="435"/>
      <c r="DC10" s="435"/>
      <c r="DD10" s="435"/>
      <c r="DE10" s="435"/>
      <c r="DF10" s="435"/>
      <c r="DG10" s="435"/>
      <c r="DH10" s="435"/>
      <c r="DI10" s="435"/>
      <c r="DJ10" s="435"/>
      <c r="DK10" s="435"/>
      <c r="DL10" s="435"/>
      <c r="DM10" s="435"/>
      <c r="DN10" s="435"/>
      <c r="DO10" s="435"/>
      <c r="DP10" s="435"/>
      <c r="DQ10" s="435"/>
      <c r="DR10" s="435"/>
      <c r="DS10" s="435"/>
      <c r="DT10" s="435"/>
      <c r="DU10" s="435"/>
      <c r="DV10" s="435"/>
      <c r="DW10" s="435"/>
      <c r="DX10" s="435"/>
      <c r="DY10" s="435"/>
      <c r="DZ10" s="435"/>
      <c r="EA10" s="435"/>
      <c r="EB10" s="435"/>
      <c r="EC10" s="435"/>
      <c r="ED10" s="435"/>
      <c r="EE10" s="435"/>
      <c r="EF10" s="435"/>
      <c r="EG10" s="435"/>
      <c r="EH10" s="435"/>
      <c r="EI10" s="435"/>
      <c r="EJ10" s="435"/>
      <c r="EK10" s="435"/>
      <c r="EL10" s="435"/>
      <c r="EM10" s="435"/>
      <c r="EN10" s="435"/>
      <c r="EO10" s="435"/>
      <c r="EP10" s="435"/>
      <c r="EQ10" s="435"/>
      <c r="ER10" s="435"/>
      <c r="ES10" s="435"/>
      <c r="ET10" s="435"/>
      <c r="EU10" s="435"/>
      <c r="EV10" s="435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  <c r="FG10" s="435"/>
      <c r="FH10" s="435"/>
      <c r="FI10" s="435"/>
      <c r="FJ10" s="435"/>
      <c r="FK10" s="435"/>
      <c r="FL10" s="435"/>
      <c r="FM10" s="435"/>
      <c r="FN10" s="435"/>
      <c r="FO10" s="435"/>
      <c r="FP10" s="435"/>
      <c r="FQ10" s="435"/>
      <c r="FR10" s="435"/>
      <c r="FS10" s="435"/>
      <c r="FT10" s="435"/>
      <c r="FU10" s="435"/>
      <c r="FV10" s="435"/>
      <c r="FW10" s="435"/>
      <c r="FX10" s="435"/>
      <c r="FY10" s="435"/>
      <c r="FZ10" s="435"/>
      <c r="GA10" s="435"/>
      <c r="GB10" s="435"/>
      <c r="GC10" s="435"/>
      <c r="GD10" s="435"/>
      <c r="GE10" s="435"/>
      <c r="GF10" s="435"/>
      <c r="GG10" s="435"/>
      <c r="GH10" s="435"/>
      <c r="GI10" s="435"/>
      <c r="GJ10" s="435"/>
      <c r="GK10" s="435"/>
      <c r="GL10" s="435"/>
      <c r="GM10" s="435"/>
      <c r="GN10" s="435"/>
      <c r="GO10" s="435"/>
      <c r="GP10" s="435"/>
      <c r="GQ10" s="435"/>
      <c r="GR10" s="435"/>
      <c r="GS10" s="435"/>
      <c r="GT10" s="435"/>
      <c r="GU10" s="435"/>
      <c r="GV10" s="435"/>
      <c r="GW10" s="435"/>
      <c r="GX10" s="435"/>
      <c r="GY10" s="435"/>
      <c r="GZ10" s="435"/>
      <c r="HA10" s="435"/>
      <c r="HB10" s="435"/>
      <c r="HC10" s="435"/>
      <c r="HD10" s="435"/>
      <c r="HE10" s="435"/>
      <c r="HF10" s="435"/>
      <c r="HG10" s="435"/>
      <c r="HH10" s="435"/>
      <c r="HI10" s="435"/>
      <c r="HJ10" s="435"/>
      <c r="HK10" s="435"/>
      <c r="HL10" s="435"/>
      <c r="HM10" s="435"/>
      <c r="HN10" s="435"/>
      <c r="HO10" s="435"/>
      <c r="HP10" s="435"/>
      <c r="HQ10" s="435"/>
      <c r="HR10" s="435"/>
      <c r="HS10" s="435"/>
      <c r="HT10" s="435"/>
      <c r="HU10" s="435"/>
      <c r="HV10" s="435"/>
      <c r="HW10" s="435"/>
      <c r="HX10" s="435"/>
      <c r="HY10" s="435"/>
      <c r="HZ10" s="435"/>
      <c r="IA10" s="435"/>
      <c r="IB10" s="435"/>
      <c r="IC10" s="435"/>
      <c r="ID10" s="435"/>
      <c r="IE10" s="435"/>
      <c r="IF10" s="435"/>
      <c r="IG10" s="435"/>
      <c r="IH10" s="435"/>
      <c r="II10" s="435"/>
      <c r="IJ10" s="435"/>
      <c r="IK10" s="435"/>
      <c r="IL10" s="435"/>
      <c r="IM10" s="435"/>
      <c r="IN10" s="435"/>
      <c r="IO10" s="435"/>
      <c r="IP10" s="435"/>
      <c r="IQ10" s="435"/>
      <c r="IR10" s="435"/>
      <c r="IS10" s="435"/>
      <c r="IT10" s="435"/>
      <c r="IU10" s="435"/>
      <c r="IV10" s="435"/>
    </row>
    <row r="11" spans="1:17" s="1023" customFormat="1" ht="18" customHeight="1">
      <c r="A11" s="778">
        <v>3</v>
      </c>
      <c r="B11" s="1017"/>
      <c r="C11" s="1018"/>
      <c r="D11" s="1019" t="s">
        <v>293</v>
      </c>
      <c r="E11" s="447">
        <f>F11+G11+O11+P11</f>
        <v>8822998</v>
      </c>
      <c r="F11" s="768">
        <v>106200</v>
      </c>
      <c r="G11" s="448">
        <v>145324</v>
      </c>
      <c r="H11" s="1030"/>
      <c r="I11" s="1047"/>
      <c r="J11" s="1043"/>
      <c r="K11" s="1043">
        <v>165993</v>
      </c>
      <c r="L11" s="1043"/>
      <c r="M11" s="1043">
        <v>8405481</v>
      </c>
      <c r="N11" s="1043"/>
      <c r="O11" s="1016">
        <f>SUM(I11:N11)</f>
        <v>8571474</v>
      </c>
      <c r="P11" s="769"/>
      <c r="Q11" s="1052"/>
    </row>
    <row r="12" spans="1:256" s="765" customFormat="1" ht="22.5" customHeight="1">
      <c r="A12" s="778">
        <v>4</v>
      </c>
      <c r="B12" s="772"/>
      <c r="C12" s="480">
        <v>2</v>
      </c>
      <c r="D12" s="767" t="s">
        <v>527</v>
      </c>
      <c r="E12" s="447"/>
      <c r="F12" s="768"/>
      <c r="G12" s="448"/>
      <c r="H12" s="1029" t="s">
        <v>24</v>
      </c>
      <c r="I12" s="1047"/>
      <c r="J12" s="1043"/>
      <c r="K12" s="1043"/>
      <c r="L12" s="1043"/>
      <c r="M12" s="1043"/>
      <c r="N12" s="1043"/>
      <c r="O12" s="773"/>
      <c r="P12" s="769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435"/>
      <c r="DT12" s="435"/>
      <c r="DU12" s="435"/>
      <c r="DV12" s="435"/>
      <c r="DW12" s="435"/>
      <c r="DX12" s="435"/>
      <c r="DY12" s="435"/>
      <c r="DZ12" s="435"/>
      <c r="EA12" s="435"/>
      <c r="EB12" s="435"/>
      <c r="EC12" s="435"/>
      <c r="ED12" s="435"/>
      <c r="EE12" s="435"/>
      <c r="EF12" s="435"/>
      <c r="EG12" s="435"/>
      <c r="EH12" s="435"/>
      <c r="EI12" s="435"/>
      <c r="EJ12" s="435"/>
      <c r="EK12" s="435"/>
      <c r="EL12" s="435"/>
      <c r="EM12" s="435"/>
      <c r="EN12" s="435"/>
      <c r="EO12" s="435"/>
      <c r="EP12" s="435"/>
      <c r="EQ12" s="435"/>
      <c r="ER12" s="435"/>
      <c r="ES12" s="435"/>
      <c r="ET12" s="435"/>
      <c r="EU12" s="435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  <c r="FG12" s="435"/>
      <c r="FH12" s="435"/>
      <c r="FI12" s="435"/>
      <c r="FJ12" s="435"/>
      <c r="FK12" s="435"/>
      <c r="FL12" s="435"/>
      <c r="FM12" s="435"/>
      <c r="FN12" s="435"/>
      <c r="FO12" s="435"/>
      <c r="FP12" s="435"/>
      <c r="FQ12" s="435"/>
      <c r="FR12" s="435"/>
      <c r="FS12" s="435"/>
      <c r="FT12" s="435"/>
      <c r="FU12" s="435"/>
      <c r="FV12" s="435"/>
      <c r="FW12" s="435"/>
      <c r="FX12" s="435"/>
      <c r="FY12" s="435"/>
      <c r="FZ12" s="435"/>
      <c r="GA12" s="435"/>
      <c r="GB12" s="435"/>
      <c r="GC12" s="435"/>
      <c r="GD12" s="435"/>
      <c r="GE12" s="435"/>
      <c r="GF12" s="435"/>
      <c r="GG12" s="435"/>
      <c r="GH12" s="435"/>
      <c r="GI12" s="435"/>
      <c r="GJ12" s="435"/>
      <c r="GK12" s="435"/>
      <c r="GL12" s="435"/>
      <c r="GM12" s="435"/>
      <c r="GN12" s="435"/>
      <c r="GO12" s="435"/>
      <c r="GP12" s="435"/>
      <c r="GQ12" s="435"/>
      <c r="GR12" s="435"/>
      <c r="GS12" s="435"/>
      <c r="GT12" s="435"/>
      <c r="GU12" s="435"/>
      <c r="GV12" s="435"/>
      <c r="GW12" s="435"/>
      <c r="GX12" s="435"/>
      <c r="GY12" s="435"/>
      <c r="GZ12" s="435"/>
      <c r="HA12" s="435"/>
      <c r="HB12" s="435"/>
      <c r="HC12" s="435"/>
      <c r="HD12" s="435"/>
      <c r="HE12" s="435"/>
      <c r="HF12" s="435"/>
      <c r="HG12" s="435"/>
      <c r="HH12" s="435"/>
      <c r="HI12" s="435"/>
      <c r="HJ12" s="435"/>
      <c r="HK12" s="435"/>
      <c r="HL12" s="435"/>
      <c r="HM12" s="435"/>
      <c r="HN12" s="435"/>
      <c r="HO12" s="435"/>
      <c r="HP12" s="435"/>
      <c r="HQ12" s="435"/>
      <c r="HR12" s="435"/>
      <c r="HS12" s="435"/>
      <c r="HT12" s="435"/>
      <c r="HU12" s="435"/>
      <c r="HV12" s="435"/>
      <c r="HW12" s="435"/>
      <c r="HX12" s="435"/>
      <c r="HY12" s="435"/>
      <c r="HZ12" s="435"/>
      <c r="IA12" s="435"/>
      <c r="IB12" s="435"/>
      <c r="IC12" s="435"/>
      <c r="ID12" s="435"/>
      <c r="IE12" s="435"/>
      <c r="IF12" s="435"/>
      <c r="IG12" s="435"/>
      <c r="IH12" s="435"/>
      <c r="II12" s="435"/>
      <c r="IJ12" s="435"/>
      <c r="IK12" s="435"/>
      <c r="IL12" s="435"/>
      <c r="IM12" s="435"/>
      <c r="IN12" s="435"/>
      <c r="IO12" s="435"/>
      <c r="IP12" s="435"/>
      <c r="IQ12" s="435"/>
      <c r="IR12" s="435"/>
      <c r="IS12" s="435"/>
      <c r="IT12" s="435"/>
      <c r="IU12" s="435"/>
      <c r="IV12" s="435"/>
    </row>
    <row r="13" spans="1:17" s="1023" customFormat="1" ht="18" customHeight="1">
      <c r="A13" s="778">
        <v>5</v>
      </c>
      <c r="B13" s="1017"/>
      <c r="C13" s="1018"/>
      <c r="D13" s="1019" t="s">
        <v>293</v>
      </c>
      <c r="E13" s="447">
        <f>F13+G13+O13+P13</f>
        <v>14460580</v>
      </c>
      <c r="F13" s="768">
        <f>324476+484396</f>
        <v>808872</v>
      </c>
      <c r="G13" s="448">
        <v>427002</v>
      </c>
      <c r="H13" s="1030"/>
      <c r="I13" s="1047"/>
      <c r="J13" s="1043"/>
      <c r="K13" s="1043"/>
      <c r="L13" s="1043"/>
      <c r="M13" s="1043">
        <v>3444126</v>
      </c>
      <c r="N13" s="1043"/>
      <c r="O13" s="1016">
        <f>SUM(I13:N13)</f>
        <v>3444126</v>
      </c>
      <c r="P13" s="769">
        <v>9780580</v>
      </c>
      <c r="Q13" s="1052"/>
    </row>
    <row r="14" spans="1:256" s="765" customFormat="1" ht="22.5" customHeight="1">
      <c r="A14" s="778">
        <v>6</v>
      </c>
      <c r="B14" s="772"/>
      <c r="C14" s="437">
        <v>3</v>
      </c>
      <c r="D14" s="1208" t="s">
        <v>528</v>
      </c>
      <c r="E14" s="447"/>
      <c r="F14" s="768"/>
      <c r="G14" s="448"/>
      <c r="H14" s="1029" t="s">
        <v>24</v>
      </c>
      <c r="I14" s="1047"/>
      <c r="J14" s="1043"/>
      <c r="K14" s="1043"/>
      <c r="L14" s="1043"/>
      <c r="M14" s="1043"/>
      <c r="N14" s="1043"/>
      <c r="O14" s="773"/>
      <c r="P14" s="769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435"/>
      <c r="CP14" s="435"/>
      <c r="CQ14" s="435"/>
      <c r="CR14" s="435"/>
      <c r="CS14" s="435"/>
      <c r="CT14" s="435"/>
      <c r="CU14" s="435"/>
      <c r="CV14" s="435"/>
      <c r="CW14" s="435"/>
      <c r="CX14" s="435"/>
      <c r="CY14" s="435"/>
      <c r="CZ14" s="435"/>
      <c r="DA14" s="435"/>
      <c r="DB14" s="435"/>
      <c r="DC14" s="435"/>
      <c r="DD14" s="435"/>
      <c r="DE14" s="435"/>
      <c r="DF14" s="435"/>
      <c r="DG14" s="435"/>
      <c r="DH14" s="435"/>
      <c r="DI14" s="435"/>
      <c r="DJ14" s="435"/>
      <c r="DK14" s="435"/>
      <c r="DL14" s="435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5"/>
      <c r="DX14" s="435"/>
      <c r="DY14" s="435"/>
      <c r="DZ14" s="435"/>
      <c r="EA14" s="435"/>
      <c r="EB14" s="435"/>
      <c r="EC14" s="435"/>
      <c r="ED14" s="435"/>
      <c r="EE14" s="435"/>
      <c r="EF14" s="435"/>
      <c r="EG14" s="435"/>
      <c r="EH14" s="435"/>
      <c r="EI14" s="435"/>
      <c r="EJ14" s="435"/>
      <c r="EK14" s="435"/>
      <c r="EL14" s="435"/>
      <c r="EM14" s="435"/>
      <c r="EN14" s="435"/>
      <c r="EO14" s="435"/>
      <c r="EP14" s="435"/>
      <c r="EQ14" s="435"/>
      <c r="ER14" s="435"/>
      <c r="ES14" s="435"/>
      <c r="ET14" s="435"/>
      <c r="EU14" s="435"/>
      <c r="EV14" s="435"/>
      <c r="EW14" s="435"/>
      <c r="EX14" s="435"/>
      <c r="EY14" s="435"/>
      <c r="EZ14" s="435"/>
      <c r="FA14" s="435"/>
      <c r="FB14" s="435"/>
      <c r="FC14" s="435"/>
      <c r="FD14" s="435"/>
      <c r="FE14" s="435"/>
      <c r="FF14" s="435"/>
      <c r="FG14" s="435"/>
      <c r="FH14" s="435"/>
      <c r="FI14" s="435"/>
      <c r="FJ14" s="435"/>
      <c r="FK14" s="435"/>
      <c r="FL14" s="435"/>
      <c r="FM14" s="435"/>
      <c r="FN14" s="435"/>
      <c r="FO14" s="435"/>
      <c r="FP14" s="435"/>
      <c r="FQ14" s="435"/>
      <c r="FR14" s="435"/>
      <c r="FS14" s="435"/>
      <c r="FT14" s="435"/>
      <c r="FU14" s="435"/>
      <c r="FV14" s="435"/>
      <c r="FW14" s="435"/>
      <c r="FX14" s="435"/>
      <c r="FY14" s="435"/>
      <c r="FZ14" s="435"/>
      <c r="GA14" s="435"/>
      <c r="GB14" s="435"/>
      <c r="GC14" s="435"/>
      <c r="GD14" s="435"/>
      <c r="GE14" s="435"/>
      <c r="GF14" s="435"/>
      <c r="GG14" s="435"/>
      <c r="GH14" s="435"/>
      <c r="GI14" s="435"/>
      <c r="GJ14" s="435"/>
      <c r="GK14" s="435"/>
      <c r="GL14" s="435"/>
      <c r="GM14" s="435"/>
      <c r="GN14" s="435"/>
      <c r="GO14" s="435"/>
      <c r="GP14" s="435"/>
      <c r="GQ14" s="435"/>
      <c r="GR14" s="435"/>
      <c r="GS14" s="435"/>
      <c r="GT14" s="435"/>
      <c r="GU14" s="435"/>
      <c r="GV14" s="435"/>
      <c r="GW14" s="435"/>
      <c r="GX14" s="435"/>
      <c r="GY14" s="435"/>
      <c r="GZ14" s="435"/>
      <c r="HA14" s="435"/>
      <c r="HB14" s="435"/>
      <c r="HC14" s="435"/>
      <c r="HD14" s="435"/>
      <c r="HE14" s="435"/>
      <c r="HF14" s="435"/>
      <c r="HG14" s="435"/>
      <c r="HH14" s="435"/>
      <c r="HI14" s="435"/>
      <c r="HJ14" s="435"/>
      <c r="HK14" s="435"/>
      <c r="HL14" s="435"/>
      <c r="HM14" s="435"/>
      <c r="HN14" s="435"/>
      <c r="HO14" s="435"/>
      <c r="HP14" s="435"/>
      <c r="HQ14" s="435"/>
      <c r="HR14" s="435"/>
      <c r="HS14" s="435"/>
      <c r="HT14" s="435"/>
      <c r="HU14" s="435"/>
      <c r="HV14" s="435"/>
      <c r="HW14" s="435"/>
      <c r="HX14" s="435"/>
      <c r="HY14" s="435"/>
      <c r="HZ14" s="435"/>
      <c r="IA14" s="435"/>
      <c r="IB14" s="435"/>
      <c r="IC14" s="435"/>
      <c r="ID14" s="435"/>
      <c r="IE14" s="435"/>
      <c r="IF14" s="435"/>
      <c r="IG14" s="435"/>
      <c r="IH14" s="435"/>
      <c r="II14" s="435"/>
      <c r="IJ14" s="435"/>
      <c r="IK14" s="435"/>
      <c r="IL14" s="435"/>
      <c r="IM14" s="435"/>
      <c r="IN14" s="435"/>
      <c r="IO14" s="435"/>
      <c r="IP14" s="435"/>
      <c r="IQ14" s="435"/>
      <c r="IR14" s="435"/>
      <c r="IS14" s="435"/>
      <c r="IT14" s="435"/>
      <c r="IU14" s="435"/>
      <c r="IV14" s="435"/>
    </row>
    <row r="15" spans="1:17" s="1023" customFormat="1" ht="18" customHeight="1">
      <c r="A15" s="778">
        <v>7</v>
      </c>
      <c r="B15" s="1017"/>
      <c r="C15" s="1018"/>
      <c r="D15" s="1019" t="s">
        <v>293</v>
      </c>
      <c r="E15" s="447">
        <f>F15+G15+O15+P15</f>
        <v>1793189</v>
      </c>
      <c r="F15" s="768">
        <f>1281902+1692</f>
        <v>1283594</v>
      </c>
      <c r="G15" s="448">
        <v>494913</v>
      </c>
      <c r="H15" s="1030"/>
      <c r="I15" s="1047"/>
      <c r="J15" s="1043"/>
      <c r="K15" s="1043">
        <v>482</v>
      </c>
      <c r="L15" s="1043"/>
      <c r="M15" s="1043">
        <v>14200</v>
      </c>
      <c r="N15" s="1043"/>
      <c r="O15" s="1016">
        <f>SUM(I15:N15)</f>
        <v>14682</v>
      </c>
      <c r="P15" s="769"/>
      <c r="Q15" s="1052"/>
    </row>
    <row r="16" spans="1:256" s="765" customFormat="1" ht="49.5" customHeight="1">
      <c r="A16" s="778">
        <v>8</v>
      </c>
      <c r="B16" s="772"/>
      <c r="C16" s="437">
        <v>4</v>
      </c>
      <c r="D16" s="1050" t="s">
        <v>529</v>
      </c>
      <c r="E16" s="447"/>
      <c r="F16" s="768"/>
      <c r="G16" s="448"/>
      <c r="H16" s="1029" t="s">
        <v>24</v>
      </c>
      <c r="I16" s="1047"/>
      <c r="J16" s="1043"/>
      <c r="K16" s="1043"/>
      <c r="L16" s="1043"/>
      <c r="M16" s="1043"/>
      <c r="N16" s="1043"/>
      <c r="O16" s="773"/>
      <c r="P16" s="769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35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5"/>
      <c r="DC16" s="435"/>
      <c r="DD16" s="435"/>
      <c r="DE16" s="435"/>
      <c r="DF16" s="435"/>
      <c r="DG16" s="435"/>
      <c r="DH16" s="435"/>
      <c r="DI16" s="435"/>
      <c r="DJ16" s="435"/>
      <c r="DK16" s="435"/>
      <c r="DL16" s="435"/>
      <c r="DM16" s="435"/>
      <c r="DN16" s="435"/>
      <c r="DO16" s="435"/>
      <c r="DP16" s="435"/>
      <c r="DQ16" s="435"/>
      <c r="DR16" s="435"/>
      <c r="DS16" s="435"/>
      <c r="DT16" s="435"/>
      <c r="DU16" s="435"/>
      <c r="DV16" s="435"/>
      <c r="DW16" s="435"/>
      <c r="DX16" s="435"/>
      <c r="DY16" s="435"/>
      <c r="DZ16" s="435"/>
      <c r="EA16" s="435"/>
      <c r="EB16" s="435"/>
      <c r="EC16" s="435"/>
      <c r="ED16" s="435"/>
      <c r="EE16" s="435"/>
      <c r="EF16" s="435"/>
      <c r="EG16" s="435"/>
      <c r="EH16" s="435"/>
      <c r="EI16" s="435"/>
      <c r="EJ16" s="435"/>
      <c r="EK16" s="435"/>
      <c r="EL16" s="435"/>
      <c r="EM16" s="435"/>
      <c r="EN16" s="435"/>
      <c r="EO16" s="435"/>
      <c r="EP16" s="435"/>
      <c r="EQ16" s="435"/>
      <c r="ER16" s="435"/>
      <c r="ES16" s="435"/>
      <c r="ET16" s="435"/>
      <c r="EU16" s="435"/>
      <c r="EV16" s="435"/>
      <c r="EW16" s="435"/>
      <c r="EX16" s="435"/>
      <c r="EY16" s="435"/>
      <c r="EZ16" s="435"/>
      <c r="FA16" s="435"/>
      <c r="FB16" s="435"/>
      <c r="FC16" s="435"/>
      <c r="FD16" s="435"/>
      <c r="FE16" s="435"/>
      <c r="FF16" s="435"/>
      <c r="FG16" s="435"/>
      <c r="FH16" s="435"/>
      <c r="FI16" s="435"/>
      <c r="FJ16" s="435"/>
      <c r="FK16" s="435"/>
      <c r="FL16" s="435"/>
      <c r="FM16" s="435"/>
      <c r="FN16" s="435"/>
      <c r="FO16" s="435"/>
      <c r="FP16" s="435"/>
      <c r="FQ16" s="435"/>
      <c r="FR16" s="435"/>
      <c r="FS16" s="435"/>
      <c r="FT16" s="435"/>
      <c r="FU16" s="435"/>
      <c r="FV16" s="435"/>
      <c r="FW16" s="435"/>
      <c r="FX16" s="435"/>
      <c r="FY16" s="435"/>
      <c r="FZ16" s="435"/>
      <c r="GA16" s="435"/>
      <c r="GB16" s="435"/>
      <c r="GC16" s="435"/>
      <c r="GD16" s="435"/>
      <c r="GE16" s="435"/>
      <c r="GF16" s="435"/>
      <c r="GG16" s="435"/>
      <c r="GH16" s="435"/>
      <c r="GI16" s="435"/>
      <c r="GJ16" s="435"/>
      <c r="GK16" s="435"/>
      <c r="GL16" s="435"/>
      <c r="GM16" s="435"/>
      <c r="GN16" s="435"/>
      <c r="GO16" s="435"/>
      <c r="GP16" s="435"/>
      <c r="GQ16" s="435"/>
      <c r="GR16" s="435"/>
      <c r="GS16" s="435"/>
      <c r="GT16" s="435"/>
      <c r="GU16" s="435"/>
      <c r="GV16" s="435"/>
      <c r="GW16" s="435"/>
      <c r="GX16" s="435"/>
      <c r="GY16" s="435"/>
      <c r="GZ16" s="435"/>
      <c r="HA16" s="435"/>
      <c r="HB16" s="435"/>
      <c r="HC16" s="435"/>
      <c r="HD16" s="435"/>
      <c r="HE16" s="435"/>
      <c r="HF16" s="435"/>
      <c r="HG16" s="435"/>
      <c r="HH16" s="435"/>
      <c r="HI16" s="435"/>
      <c r="HJ16" s="435"/>
      <c r="HK16" s="435"/>
      <c r="HL16" s="435"/>
      <c r="HM16" s="435"/>
      <c r="HN16" s="435"/>
      <c r="HO16" s="435"/>
      <c r="HP16" s="435"/>
      <c r="HQ16" s="435"/>
      <c r="HR16" s="435"/>
      <c r="HS16" s="435"/>
      <c r="HT16" s="435"/>
      <c r="HU16" s="435"/>
      <c r="HV16" s="435"/>
      <c r="HW16" s="435"/>
      <c r="HX16" s="435"/>
      <c r="HY16" s="435"/>
      <c r="HZ16" s="435"/>
      <c r="IA16" s="435"/>
      <c r="IB16" s="435"/>
      <c r="IC16" s="435"/>
      <c r="ID16" s="435"/>
      <c r="IE16" s="435"/>
      <c r="IF16" s="435"/>
      <c r="IG16" s="435"/>
      <c r="IH16" s="435"/>
      <c r="II16" s="435"/>
      <c r="IJ16" s="435"/>
      <c r="IK16" s="435"/>
      <c r="IL16" s="435"/>
      <c r="IM16" s="435"/>
      <c r="IN16" s="435"/>
      <c r="IO16" s="435"/>
      <c r="IP16" s="435"/>
      <c r="IQ16" s="435"/>
      <c r="IR16" s="435"/>
      <c r="IS16" s="435"/>
      <c r="IT16" s="435"/>
      <c r="IU16" s="435"/>
      <c r="IV16" s="435"/>
    </row>
    <row r="17" spans="1:17" s="1023" customFormat="1" ht="18" customHeight="1">
      <c r="A17" s="778">
        <v>9</v>
      </c>
      <c r="B17" s="1017"/>
      <c r="C17" s="1018"/>
      <c r="D17" s="1024" t="s">
        <v>293</v>
      </c>
      <c r="E17" s="447">
        <f>F17+G17+O17+P17</f>
        <v>1658925</v>
      </c>
      <c r="F17" s="768">
        <f>7043+16169</f>
        <v>23212</v>
      </c>
      <c r="G17" s="448">
        <v>7859</v>
      </c>
      <c r="H17" s="1030"/>
      <c r="I17" s="1047"/>
      <c r="J17" s="1043"/>
      <c r="K17" s="1043">
        <v>18280</v>
      </c>
      <c r="L17" s="1043"/>
      <c r="M17" s="1043">
        <v>1609574</v>
      </c>
      <c r="N17" s="1043"/>
      <c r="O17" s="1016">
        <f>SUM(I17:N17)</f>
        <v>1627854</v>
      </c>
      <c r="P17" s="769"/>
      <c r="Q17" s="1052"/>
    </row>
    <row r="18" spans="1:256" s="765" customFormat="1" ht="22.5" customHeight="1">
      <c r="A18" s="778">
        <v>10</v>
      </c>
      <c r="B18" s="772"/>
      <c r="C18" s="480">
        <v>5</v>
      </c>
      <c r="D18" s="767" t="s">
        <v>530</v>
      </c>
      <c r="E18" s="447"/>
      <c r="F18" s="447"/>
      <c r="G18" s="448"/>
      <c r="H18" s="1029" t="s">
        <v>24</v>
      </c>
      <c r="I18" s="1048"/>
      <c r="J18" s="1042"/>
      <c r="K18" s="1042"/>
      <c r="L18" s="1042"/>
      <c r="M18" s="1042"/>
      <c r="N18" s="1042"/>
      <c r="O18" s="777"/>
      <c r="P18" s="769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5"/>
      <c r="BP18" s="435"/>
      <c r="BQ18" s="435"/>
      <c r="BR18" s="435"/>
      <c r="BS18" s="435"/>
      <c r="BT18" s="435"/>
      <c r="BU18" s="435"/>
      <c r="BV18" s="435"/>
      <c r="BW18" s="435"/>
      <c r="BX18" s="435"/>
      <c r="BY18" s="435"/>
      <c r="BZ18" s="435"/>
      <c r="CA18" s="435"/>
      <c r="CB18" s="435"/>
      <c r="CC18" s="435"/>
      <c r="CD18" s="435"/>
      <c r="CE18" s="435"/>
      <c r="CF18" s="435"/>
      <c r="CG18" s="435"/>
      <c r="CH18" s="435"/>
      <c r="CI18" s="435"/>
      <c r="CJ18" s="435"/>
      <c r="CK18" s="435"/>
      <c r="CL18" s="435"/>
      <c r="CM18" s="435"/>
      <c r="CN18" s="435"/>
      <c r="CO18" s="435"/>
      <c r="CP18" s="435"/>
      <c r="CQ18" s="435"/>
      <c r="CR18" s="435"/>
      <c r="CS18" s="435"/>
      <c r="CT18" s="435"/>
      <c r="CU18" s="435"/>
      <c r="CV18" s="435"/>
      <c r="CW18" s="435"/>
      <c r="CX18" s="435"/>
      <c r="CY18" s="435"/>
      <c r="CZ18" s="435"/>
      <c r="DA18" s="435"/>
      <c r="DB18" s="435"/>
      <c r="DC18" s="435"/>
      <c r="DD18" s="435"/>
      <c r="DE18" s="435"/>
      <c r="DF18" s="435"/>
      <c r="DG18" s="435"/>
      <c r="DH18" s="435"/>
      <c r="DI18" s="435"/>
      <c r="DJ18" s="435"/>
      <c r="DK18" s="435"/>
      <c r="DL18" s="435"/>
      <c r="DM18" s="435"/>
      <c r="DN18" s="435"/>
      <c r="DO18" s="435"/>
      <c r="DP18" s="435"/>
      <c r="DQ18" s="435"/>
      <c r="DR18" s="435"/>
      <c r="DS18" s="435"/>
      <c r="DT18" s="435"/>
      <c r="DU18" s="435"/>
      <c r="DV18" s="435"/>
      <c r="DW18" s="435"/>
      <c r="DX18" s="435"/>
      <c r="DY18" s="435"/>
      <c r="DZ18" s="435"/>
      <c r="EA18" s="435"/>
      <c r="EB18" s="435"/>
      <c r="EC18" s="435"/>
      <c r="ED18" s="435"/>
      <c r="EE18" s="435"/>
      <c r="EF18" s="435"/>
      <c r="EG18" s="435"/>
      <c r="EH18" s="435"/>
      <c r="EI18" s="435"/>
      <c r="EJ18" s="435"/>
      <c r="EK18" s="435"/>
      <c r="EL18" s="435"/>
      <c r="EM18" s="435"/>
      <c r="EN18" s="435"/>
      <c r="EO18" s="435"/>
      <c r="EP18" s="435"/>
      <c r="EQ18" s="435"/>
      <c r="ER18" s="435"/>
      <c r="ES18" s="435"/>
      <c r="ET18" s="435"/>
      <c r="EU18" s="435"/>
      <c r="EV18" s="435"/>
      <c r="EW18" s="435"/>
      <c r="EX18" s="435"/>
      <c r="EY18" s="435"/>
      <c r="EZ18" s="435"/>
      <c r="FA18" s="435"/>
      <c r="FB18" s="435"/>
      <c r="FC18" s="435"/>
      <c r="FD18" s="435"/>
      <c r="FE18" s="435"/>
      <c r="FF18" s="435"/>
      <c r="FG18" s="435"/>
      <c r="FH18" s="435"/>
      <c r="FI18" s="435"/>
      <c r="FJ18" s="435"/>
      <c r="FK18" s="435"/>
      <c r="FL18" s="435"/>
      <c r="FM18" s="435"/>
      <c r="FN18" s="435"/>
      <c r="FO18" s="435"/>
      <c r="FP18" s="435"/>
      <c r="FQ18" s="435"/>
      <c r="FR18" s="435"/>
      <c r="FS18" s="435"/>
      <c r="FT18" s="435"/>
      <c r="FU18" s="435"/>
      <c r="FV18" s="435"/>
      <c r="FW18" s="435"/>
      <c r="FX18" s="435"/>
      <c r="FY18" s="435"/>
      <c r="FZ18" s="435"/>
      <c r="GA18" s="435"/>
      <c r="GB18" s="435"/>
      <c r="GC18" s="435"/>
      <c r="GD18" s="435"/>
      <c r="GE18" s="435"/>
      <c r="GF18" s="435"/>
      <c r="GG18" s="435"/>
      <c r="GH18" s="435"/>
      <c r="GI18" s="435"/>
      <c r="GJ18" s="435"/>
      <c r="GK18" s="435"/>
      <c r="GL18" s="435"/>
      <c r="GM18" s="435"/>
      <c r="GN18" s="435"/>
      <c r="GO18" s="435"/>
      <c r="GP18" s="435"/>
      <c r="GQ18" s="435"/>
      <c r="GR18" s="435"/>
      <c r="GS18" s="435"/>
      <c r="GT18" s="435"/>
      <c r="GU18" s="435"/>
      <c r="GV18" s="435"/>
      <c r="GW18" s="435"/>
      <c r="GX18" s="435"/>
      <c r="GY18" s="435"/>
      <c r="GZ18" s="435"/>
      <c r="HA18" s="435"/>
      <c r="HB18" s="435"/>
      <c r="HC18" s="435"/>
      <c r="HD18" s="435"/>
      <c r="HE18" s="435"/>
      <c r="HF18" s="435"/>
      <c r="HG18" s="435"/>
      <c r="HH18" s="435"/>
      <c r="HI18" s="435"/>
      <c r="HJ18" s="435"/>
      <c r="HK18" s="435"/>
      <c r="HL18" s="435"/>
      <c r="HM18" s="435"/>
      <c r="HN18" s="435"/>
      <c r="HO18" s="435"/>
      <c r="HP18" s="435"/>
      <c r="HQ18" s="435"/>
      <c r="HR18" s="435"/>
      <c r="HS18" s="435"/>
      <c r="HT18" s="435"/>
      <c r="HU18" s="435"/>
      <c r="HV18" s="435"/>
      <c r="HW18" s="435"/>
      <c r="HX18" s="435"/>
      <c r="HY18" s="435"/>
      <c r="HZ18" s="435"/>
      <c r="IA18" s="435"/>
      <c r="IB18" s="435"/>
      <c r="IC18" s="435"/>
      <c r="ID18" s="435"/>
      <c r="IE18" s="435"/>
      <c r="IF18" s="435"/>
      <c r="IG18" s="435"/>
      <c r="IH18" s="435"/>
      <c r="II18" s="435"/>
      <c r="IJ18" s="435"/>
      <c r="IK18" s="435"/>
      <c r="IL18" s="435"/>
      <c r="IM18" s="435"/>
      <c r="IN18" s="435"/>
      <c r="IO18" s="435"/>
      <c r="IP18" s="435"/>
      <c r="IQ18" s="435"/>
      <c r="IR18" s="435"/>
      <c r="IS18" s="435"/>
      <c r="IT18" s="435"/>
      <c r="IU18" s="435"/>
      <c r="IV18" s="435"/>
    </row>
    <row r="19" spans="1:16" ht="18" customHeight="1">
      <c r="A19" s="778">
        <v>11</v>
      </c>
      <c r="B19" s="636"/>
      <c r="C19" s="480"/>
      <c r="D19" s="1024" t="s">
        <v>293</v>
      </c>
      <c r="E19" s="447">
        <f>F19+G19+O19+P19</f>
        <v>76282</v>
      </c>
      <c r="F19" s="447">
        <v>10737</v>
      </c>
      <c r="G19" s="448">
        <v>25052</v>
      </c>
      <c r="H19" s="1029"/>
      <c r="I19" s="1048"/>
      <c r="J19" s="1042"/>
      <c r="K19" s="1042"/>
      <c r="L19" s="1042"/>
      <c r="M19" s="1042"/>
      <c r="N19" s="1042">
        <v>40493</v>
      </c>
      <c r="O19" s="1016">
        <f>SUM(I19:N19)</f>
        <v>40493</v>
      </c>
      <c r="P19" s="769"/>
    </row>
    <row r="20" spans="1:256" s="765" customFormat="1" ht="22.5" customHeight="1">
      <c r="A20" s="778">
        <v>12</v>
      </c>
      <c r="B20" s="772"/>
      <c r="C20" s="480">
        <v>6</v>
      </c>
      <c r="D20" s="438" t="s">
        <v>531</v>
      </c>
      <c r="E20" s="447"/>
      <c r="F20" s="768"/>
      <c r="G20" s="448"/>
      <c r="H20" s="1029" t="s">
        <v>24</v>
      </c>
      <c r="I20" s="1047"/>
      <c r="J20" s="1043"/>
      <c r="K20" s="1043"/>
      <c r="L20" s="1043"/>
      <c r="M20" s="1043"/>
      <c r="N20" s="1043"/>
      <c r="O20" s="773"/>
      <c r="P20" s="769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5"/>
      <c r="DQ20" s="435"/>
      <c r="DR20" s="435"/>
      <c r="DS20" s="435"/>
      <c r="DT20" s="435"/>
      <c r="DU20" s="435"/>
      <c r="DV20" s="435"/>
      <c r="DW20" s="435"/>
      <c r="DX20" s="435"/>
      <c r="DY20" s="435"/>
      <c r="DZ20" s="435"/>
      <c r="EA20" s="435"/>
      <c r="EB20" s="435"/>
      <c r="EC20" s="435"/>
      <c r="ED20" s="435"/>
      <c r="EE20" s="435"/>
      <c r="EF20" s="435"/>
      <c r="EG20" s="435"/>
      <c r="EH20" s="435"/>
      <c r="EI20" s="435"/>
      <c r="EJ20" s="435"/>
      <c r="EK20" s="435"/>
      <c r="EL20" s="435"/>
      <c r="EM20" s="435"/>
      <c r="EN20" s="435"/>
      <c r="EO20" s="435"/>
      <c r="EP20" s="435"/>
      <c r="EQ20" s="435"/>
      <c r="ER20" s="435"/>
      <c r="ES20" s="435"/>
      <c r="ET20" s="435"/>
      <c r="EU20" s="435"/>
      <c r="EV20" s="435"/>
      <c r="EW20" s="435"/>
      <c r="EX20" s="435"/>
      <c r="EY20" s="435"/>
      <c r="EZ20" s="435"/>
      <c r="FA20" s="435"/>
      <c r="FB20" s="435"/>
      <c r="FC20" s="435"/>
      <c r="FD20" s="435"/>
      <c r="FE20" s="435"/>
      <c r="FF20" s="435"/>
      <c r="FG20" s="435"/>
      <c r="FH20" s="435"/>
      <c r="FI20" s="435"/>
      <c r="FJ20" s="435"/>
      <c r="FK20" s="435"/>
      <c r="FL20" s="435"/>
      <c r="FM20" s="435"/>
      <c r="FN20" s="435"/>
      <c r="FO20" s="435"/>
      <c r="FP20" s="435"/>
      <c r="FQ20" s="435"/>
      <c r="FR20" s="435"/>
      <c r="FS20" s="435"/>
      <c r="FT20" s="435"/>
      <c r="FU20" s="435"/>
      <c r="FV20" s="435"/>
      <c r="FW20" s="435"/>
      <c r="FX20" s="435"/>
      <c r="FY20" s="435"/>
      <c r="FZ20" s="435"/>
      <c r="GA20" s="435"/>
      <c r="GB20" s="435"/>
      <c r="GC20" s="435"/>
      <c r="GD20" s="435"/>
      <c r="GE20" s="435"/>
      <c r="GF20" s="435"/>
      <c r="GG20" s="435"/>
      <c r="GH20" s="435"/>
      <c r="GI20" s="435"/>
      <c r="GJ20" s="435"/>
      <c r="GK20" s="435"/>
      <c r="GL20" s="435"/>
      <c r="GM20" s="435"/>
      <c r="GN20" s="435"/>
      <c r="GO20" s="435"/>
      <c r="GP20" s="435"/>
      <c r="GQ20" s="435"/>
      <c r="GR20" s="435"/>
      <c r="GS20" s="435"/>
      <c r="GT20" s="435"/>
      <c r="GU20" s="435"/>
      <c r="GV20" s="435"/>
      <c r="GW20" s="435"/>
      <c r="GX20" s="435"/>
      <c r="GY20" s="435"/>
      <c r="GZ20" s="435"/>
      <c r="HA20" s="435"/>
      <c r="HB20" s="435"/>
      <c r="HC20" s="435"/>
      <c r="HD20" s="435"/>
      <c r="HE20" s="435"/>
      <c r="HF20" s="435"/>
      <c r="HG20" s="435"/>
      <c r="HH20" s="435"/>
      <c r="HI20" s="435"/>
      <c r="HJ20" s="435"/>
      <c r="HK20" s="435"/>
      <c r="HL20" s="435"/>
      <c r="HM20" s="435"/>
      <c r="HN20" s="435"/>
      <c r="HO20" s="435"/>
      <c r="HP20" s="435"/>
      <c r="HQ20" s="435"/>
      <c r="HR20" s="435"/>
      <c r="HS20" s="435"/>
      <c r="HT20" s="435"/>
      <c r="HU20" s="435"/>
      <c r="HV20" s="435"/>
      <c r="HW20" s="435"/>
      <c r="HX20" s="435"/>
      <c r="HY20" s="435"/>
      <c r="HZ20" s="435"/>
      <c r="IA20" s="435"/>
      <c r="IB20" s="435"/>
      <c r="IC20" s="435"/>
      <c r="ID20" s="435"/>
      <c r="IE20" s="435"/>
      <c r="IF20" s="435"/>
      <c r="IG20" s="435"/>
      <c r="IH20" s="435"/>
      <c r="II20" s="435"/>
      <c r="IJ20" s="435"/>
      <c r="IK20" s="435"/>
      <c r="IL20" s="435"/>
      <c r="IM20" s="435"/>
      <c r="IN20" s="435"/>
      <c r="IO20" s="435"/>
      <c r="IP20" s="435"/>
      <c r="IQ20" s="435"/>
      <c r="IR20" s="435"/>
      <c r="IS20" s="435"/>
      <c r="IT20" s="435"/>
      <c r="IU20" s="435"/>
      <c r="IV20" s="435"/>
    </row>
    <row r="21" spans="1:16" ht="18" customHeight="1">
      <c r="A21" s="778">
        <v>13</v>
      </c>
      <c r="B21" s="636"/>
      <c r="C21" s="480"/>
      <c r="D21" s="1024" t="s">
        <v>293</v>
      </c>
      <c r="E21" s="447">
        <f>F21+G21+O21+P21</f>
        <v>250000</v>
      </c>
      <c r="F21" s="768"/>
      <c r="G21" s="448">
        <v>99177</v>
      </c>
      <c r="H21" s="1029"/>
      <c r="I21" s="1047"/>
      <c r="J21" s="1043"/>
      <c r="K21" s="1043">
        <v>500</v>
      </c>
      <c r="L21" s="1043"/>
      <c r="M21" s="1043">
        <v>150323</v>
      </c>
      <c r="N21" s="1043"/>
      <c r="O21" s="1016">
        <f>SUM(I21:N21)</f>
        <v>150823</v>
      </c>
      <c r="P21" s="769"/>
    </row>
    <row r="22" spans="1:16" ht="22.5" customHeight="1">
      <c r="A22" s="778">
        <v>14</v>
      </c>
      <c r="B22" s="636"/>
      <c r="C22" s="480">
        <v>7</v>
      </c>
      <c r="D22" s="776" t="s">
        <v>532</v>
      </c>
      <c r="E22" s="447"/>
      <c r="F22" s="768"/>
      <c r="G22" s="448"/>
      <c r="H22" s="1029" t="s">
        <v>24</v>
      </c>
      <c r="I22" s="1047"/>
      <c r="J22" s="1043"/>
      <c r="K22" s="1043"/>
      <c r="L22" s="1043"/>
      <c r="M22" s="1043"/>
      <c r="N22" s="1043"/>
      <c r="O22" s="773"/>
      <c r="P22" s="769"/>
    </row>
    <row r="23" spans="1:256" s="765" customFormat="1" ht="18" customHeight="1">
      <c r="A23" s="778">
        <v>15</v>
      </c>
      <c r="B23" s="772"/>
      <c r="C23" s="437"/>
      <c r="D23" s="1024" t="s">
        <v>293</v>
      </c>
      <c r="E23" s="447">
        <f>F23+G23+O23+P23</f>
        <v>957296</v>
      </c>
      <c r="F23" s="768">
        <v>820</v>
      </c>
      <c r="G23" s="448">
        <v>202384</v>
      </c>
      <c r="H23" s="1029"/>
      <c r="I23" s="1047"/>
      <c r="J23" s="1043"/>
      <c r="K23" s="1043">
        <v>564</v>
      </c>
      <c r="L23" s="1043"/>
      <c r="M23" s="1043">
        <v>753528</v>
      </c>
      <c r="N23" s="1043"/>
      <c r="O23" s="1016">
        <f>SUM(I23:N23)</f>
        <v>754092</v>
      </c>
      <c r="P23" s="769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H23" s="435"/>
      <c r="CI23" s="435"/>
      <c r="CJ23" s="435"/>
      <c r="CK23" s="435"/>
      <c r="CL23" s="435"/>
      <c r="CM23" s="435"/>
      <c r="CN23" s="435"/>
      <c r="CO23" s="435"/>
      <c r="CP23" s="435"/>
      <c r="CQ23" s="435"/>
      <c r="CR23" s="435"/>
      <c r="CS23" s="435"/>
      <c r="CT23" s="435"/>
      <c r="CU23" s="435"/>
      <c r="CV23" s="435"/>
      <c r="CW23" s="435"/>
      <c r="CX23" s="435"/>
      <c r="CY23" s="435"/>
      <c r="CZ23" s="435"/>
      <c r="DA23" s="435"/>
      <c r="DB23" s="435"/>
      <c r="DC23" s="435"/>
      <c r="DD23" s="435"/>
      <c r="DE23" s="435"/>
      <c r="DF23" s="435"/>
      <c r="DG23" s="435"/>
      <c r="DH23" s="435"/>
      <c r="DI23" s="435"/>
      <c r="DJ23" s="435"/>
      <c r="DK23" s="435"/>
      <c r="DL23" s="435"/>
      <c r="DM23" s="435"/>
      <c r="DN23" s="435"/>
      <c r="DO23" s="435"/>
      <c r="DP23" s="435"/>
      <c r="DQ23" s="435"/>
      <c r="DR23" s="435"/>
      <c r="DS23" s="435"/>
      <c r="DT23" s="435"/>
      <c r="DU23" s="435"/>
      <c r="DV23" s="435"/>
      <c r="DW23" s="435"/>
      <c r="DX23" s="435"/>
      <c r="DY23" s="435"/>
      <c r="DZ23" s="435"/>
      <c r="EA23" s="435"/>
      <c r="EB23" s="435"/>
      <c r="EC23" s="435"/>
      <c r="ED23" s="435"/>
      <c r="EE23" s="435"/>
      <c r="EF23" s="435"/>
      <c r="EG23" s="435"/>
      <c r="EH23" s="435"/>
      <c r="EI23" s="435"/>
      <c r="EJ23" s="435"/>
      <c r="EK23" s="435"/>
      <c r="EL23" s="435"/>
      <c r="EM23" s="435"/>
      <c r="EN23" s="435"/>
      <c r="EO23" s="435"/>
      <c r="EP23" s="435"/>
      <c r="EQ23" s="435"/>
      <c r="ER23" s="435"/>
      <c r="ES23" s="435"/>
      <c r="ET23" s="435"/>
      <c r="EU23" s="435"/>
      <c r="EV23" s="435"/>
      <c r="EW23" s="435"/>
      <c r="EX23" s="435"/>
      <c r="EY23" s="435"/>
      <c r="EZ23" s="435"/>
      <c r="FA23" s="435"/>
      <c r="FB23" s="435"/>
      <c r="FC23" s="435"/>
      <c r="FD23" s="435"/>
      <c r="FE23" s="435"/>
      <c r="FF23" s="435"/>
      <c r="FG23" s="435"/>
      <c r="FH23" s="435"/>
      <c r="FI23" s="435"/>
      <c r="FJ23" s="435"/>
      <c r="FK23" s="435"/>
      <c r="FL23" s="435"/>
      <c r="FM23" s="435"/>
      <c r="FN23" s="435"/>
      <c r="FO23" s="435"/>
      <c r="FP23" s="435"/>
      <c r="FQ23" s="435"/>
      <c r="FR23" s="435"/>
      <c r="FS23" s="435"/>
      <c r="FT23" s="435"/>
      <c r="FU23" s="435"/>
      <c r="FV23" s="435"/>
      <c r="FW23" s="435"/>
      <c r="FX23" s="435"/>
      <c r="FY23" s="435"/>
      <c r="FZ23" s="435"/>
      <c r="GA23" s="435"/>
      <c r="GB23" s="435"/>
      <c r="GC23" s="435"/>
      <c r="GD23" s="435"/>
      <c r="GE23" s="435"/>
      <c r="GF23" s="435"/>
      <c r="GG23" s="435"/>
      <c r="GH23" s="435"/>
      <c r="GI23" s="435"/>
      <c r="GJ23" s="435"/>
      <c r="GK23" s="435"/>
      <c r="GL23" s="435"/>
      <c r="GM23" s="435"/>
      <c r="GN23" s="435"/>
      <c r="GO23" s="435"/>
      <c r="GP23" s="435"/>
      <c r="GQ23" s="435"/>
      <c r="GR23" s="435"/>
      <c r="GS23" s="435"/>
      <c r="GT23" s="435"/>
      <c r="GU23" s="435"/>
      <c r="GV23" s="435"/>
      <c r="GW23" s="435"/>
      <c r="GX23" s="435"/>
      <c r="GY23" s="435"/>
      <c r="GZ23" s="435"/>
      <c r="HA23" s="435"/>
      <c r="HB23" s="435"/>
      <c r="HC23" s="435"/>
      <c r="HD23" s="435"/>
      <c r="HE23" s="435"/>
      <c r="HF23" s="435"/>
      <c r="HG23" s="435"/>
      <c r="HH23" s="435"/>
      <c r="HI23" s="435"/>
      <c r="HJ23" s="435"/>
      <c r="HK23" s="435"/>
      <c r="HL23" s="435"/>
      <c r="HM23" s="435"/>
      <c r="HN23" s="435"/>
      <c r="HO23" s="435"/>
      <c r="HP23" s="435"/>
      <c r="HQ23" s="435"/>
      <c r="HR23" s="435"/>
      <c r="HS23" s="435"/>
      <c r="HT23" s="435"/>
      <c r="HU23" s="435"/>
      <c r="HV23" s="435"/>
      <c r="HW23" s="435"/>
      <c r="HX23" s="435"/>
      <c r="HY23" s="435"/>
      <c r="HZ23" s="435"/>
      <c r="IA23" s="435"/>
      <c r="IB23" s="435"/>
      <c r="IC23" s="435"/>
      <c r="ID23" s="435"/>
      <c r="IE23" s="435"/>
      <c r="IF23" s="435"/>
      <c r="IG23" s="435"/>
      <c r="IH23" s="435"/>
      <c r="II23" s="435"/>
      <c r="IJ23" s="435"/>
      <c r="IK23" s="435"/>
      <c r="IL23" s="435"/>
      <c r="IM23" s="435"/>
      <c r="IN23" s="435"/>
      <c r="IO23" s="435"/>
      <c r="IP23" s="435"/>
      <c r="IQ23" s="435"/>
      <c r="IR23" s="435"/>
      <c r="IS23" s="435"/>
      <c r="IT23" s="435"/>
      <c r="IU23" s="435"/>
      <c r="IV23" s="435"/>
    </row>
    <row r="24" spans="1:16" ht="22.5" customHeight="1">
      <c r="A24" s="778">
        <v>16</v>
      </c>
      <c r="B24" s="636"/>
      <c r="C24" s="480">
        <v>8</v>
      </c>
      <c r="D24" s="783" t="s">
        <v>633</v>
      </c>
      <c r="E24" s="447"/>
      <c r="F24" s="768"/>
      <c r="G24" s="448"/>
      <c r="H24" s="1029" t="s">
        <v>24</v>
      </c>
      <c r="I24" s="1047"/>
      <c r="J24" s="1043"/>
      <c r="K24" s="1043"/>
      <c r="L24" s="1043"/>
      <c r="M24" s="1043"/>
      <c r="N24" s="1043"/>
      <c r="O24" s="773"/>
      <c r="P24" s="769"/>
    </row>
    <row r="25" spans="1:256" s="765" customFormat="1" ht="18" customHeight="1">
      <c r="A25" s="778">
        <v>17</v>
      </c>
      <c r="B25" s="772"/>
      <c r="C25" s="480"/>
      <c r="D25" s="1024" t="s">
        <v>293</v>
      </c>
      <c r="E25" s="447">
        <f>F25+G25+O25+P25</f>
        <v>3901162</v>
      </c>
      <c r="F25" s="768"/>
      <c r="G25" s="448"/>
      <c r="H25" s="1029"/>
      <c r="I25" s="1047"/>
      <c r="J25" s="1043"/>
      <c r="K25" s="1043"/>
      <c r="L25" s="1043"/>
      <c r="M25" s="1043">
        <v>1084455</v>
      </c>
      <c r="N25" s="1043"/>
      <c r="O25" s="1016">
        <f>SUM(I25:N25)</f>
        <v>1084455</v>
      </c>
      <c r="P25" s="769">
        <v>2816707</v>
      </c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5"/>
      <c r="DE25" s="435"/>
      <c r="DF25" s="435"/>
      <c r="DG25" s="435"/>
      <c r="DH25" s="435"/>
      <c r="DI25" s="435"/>
      <c r="DJ25" s="435"/>
      <c r="DK25" s="435"/>
      <c r="DL25" s="435"/>
      <c r="DM25" s="435"/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5"/>
      <c r="EW25" s="435"/>
      <c r="EX25" s="435"/>
      <c r="EY25" s="435"/>
      <c r="EZ25" s="435"/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435"/>
      <c r="FL25" s="435"/>
      <c r="FM25" s="435"/>
      <c r="FN25" s="435"/>
      <c r="FO25" s="435"/>
      <c r="FP25" s="435"/>
      <c r="FQ25" s="435"/>
      <c r="FR25" s="435"/>
      <c r="FS25" s="435"/>
      <c r="FT25" s="435"/>
      <c r="FU25" s="435"/>
      <c r="FV25" s="435"/>
      <c r="FW25" s="435"/>
      <c r="FX25" s="435"/>
      <c r="FY25" s="435"/>
      <c r="FZ25" s="435"/>
      <c r="GA25" s="435"/>
      <c r="GB25" s="435"/>
      <c r="GC25" s="435"/>
      <c r="GD25" s="435"/>
      <c r="GE25" s="435"/>
      <c r="GF25" s="435"/>
      <c r="GG25" s="435"/>
      <c r="GH25" s="435"/>
      <c r="GI25" s="435"/>
      <c r="GJ25" s="435"/>
      <c r="GK25" s="435"/>
      <c r="GL25" s="435"/>
      <c r="GM25" s="435"/>
      <c r="GN25" s="435"/>
      <c r="GO25" s="435"/>
      <c r="GP25" s="435"/>
      <c r="GQ25" s="435"/>
      <c r="GR25" s="435"/>
      <c r="GS25" s="435"/>
      <c r="GT25" s="435"/>
      <c r="GU25" s="435"/>
      <c r="GV25" s="435"/>
      <c r="GW25" s="435"/>
      <c r="GX25" s="435"/>
      <c r="GY25" s="435"/>
      <c r="GZ25" s="435"/>
      <c r="HA25" s="435"/>
      <c r="HB25" s="435"/>
      <c r="HC25" s="435"/>
      <c r="HD25" s="435"/>
      <c r="HE25" s="435"/>
      <c r="HF25" s="435"/>
      <c r="HG25" s="435"/>
      <c r="HH25" s="435"/>
      <c r="HI25" s="435"/>
      <c r="HJ25" s="435"/>
      <c r="HK25" s="435"/>
      <c r="HL25" s="435"/>
      <c r="HM25" s="435"/>
      <c r="HN25" s="435"/>
      <c r="HO25" s="435"/>
      <c r="HP25" s="435"/>
      <c r="HQ25" s="435"/>
      <c r="HR25" s="435"/>
      <c r="HS25" s="435"/>
      <c r="HT25" s="435"/>
      <c r="HU25" s="435"/>
      <c r="HV25" s="435"/>
      <c r="HW25" s="435"/>
      <c r="HX25" s="435"/>
      <c r="HY25" s="435"/>
      <c r="HZ25" s="435"/>
      <c r="IA25" s="435"/>
      <c r="IB25" s="435"/>
      <c r="IC25" s="435"/>
      <c r="ID25" s="435"/>
      <c r="IE25" s="435"/>
      <c r="IF25" s="435"/>
      <c r="IG25" s="435"/>
      <c r="IH25" s="435"/>
      <c r="II25" s="435"/>
      <c r="IJ25" s="435"/>
      <c r="IK25" s="435"/>
      <c r="IL25" s="435"/>
      <c r="IM25" s="435"/>
      <c r="IN25" s="435"/>
      <c r="IO25" s="435"/>
      <c r="IP25" s="435"/>
      <c r="IQ25" s="435"/>
      <c r="IR25" s="435"/>
      <c r="IS25" s="435"/>
      <c r="IT25" s="435"/>
      <c r="IU25" s="435"/>
      <c r="IV25" s="435"/>
    </row>
    <row r="26" spans="1:16" ht="22.5" customHeight="1">
      <c r="A26" s="778">
        <v>18</v>
      </c>
      <c r="B26" s="636"/>
      <c r="C26" s="480">
        <v>9</v>
      </c>
      <c r="D26" s="776" t="s">
        <v>533</v>
      </c>
      <c r="E26" s="447"/>
      <c r="F26" s="768"/>
      <c r="G26" s="448"/>
      <c r="H26" s="1029" t="s">
        <v>24</v>
      </c>
      <c r="I26" s="1047"/>
      <c r="J26" s="1043"/>
      <c r="K26" s="1043"/>
      <c r="L26" s="1043"/>
      <c r="M26" s="1043"/>
      <c r="N26" s="1043"/>
      <c r="O26" s="773"/>
      <c r="P26" s="769"/>
    </row>
    <row r="27" spans="1:256" s="765" customFormat="1" ht="18" customHeight="1">
      <c r="A27" s="778">
        <v>19</v>
      </c>
      <c r="B27" s="772"/>
      <c r="C27" s="437"/>
      <c r="D27" s="1024" t="s">
        <v>293</v>
      </c>
      <c r="E27" s="447">
        <f>F27+G27+O27+P27</f>
        <v>3095</v>
      </c>
      <c r="F27" s="768"/>
      <c r="G27" s="448"/>
      <c r="H27" s="1029"/>
      <c r="I27" s="1047"/>
      <c r="J27" s="1043"/>
      <c r="K27" s="1043">
        <f>5000-1905</f>
        <v>3095</v>
      </c>
      <c r="L27" s="1043"/>
      <c r="M27" s="1043"/>
      <c r="N27" s="1043"/>
      <c r="O27" s="1016">
        <f>SUM(I27:N27)</f>
        <v>3095</v>
      </c>
      <c r="P27" s="769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5"/>
      <c r="CC27" s="435"/>
      <c r="CD27" s="435"/>
      <c r="CE27" s="435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5"/>
      <c r="DD27" s="435"/>
      <c r="DE27" s="435"/>
      <c r="DF27" s="435"/>
      <c r="DG27" s="435"/>
      <c r="DH27" s="435"/>
      <c r="DI27" s="435"/>
      <c r="DJ27" s="435"/>
      <c r="DK27" s="435"/>
      <c r="DL27" s="435"/>
      <c r="DM27" s="435"/>
      <c r="DN27" s="435"/>
      <c r="DO27" s="435"/>
      <c r="DP27" s="435"/>
      <c r="DQ27" s="435"/>
      <c r="DR27" s="435"/>
      <c r="DS27" s="435"/>
      <c r="DT27" s="435"/>
      <c r="DU27" s="435"/>
      <c r="DV27" s="435"/>
      <c r="DW27" s="435"/>
      <c r="DX27" s="435"/>
      <c r="DY27" s="435"/>
      <c r="DZ27" s="435"/>
      <c r="EA27" s="435"/>
      <c r="EB27" s="435"/>
      <c r="EC27" s="435"/>
      <c r="ED27" s="435"/>
      <c r="EE27" s="435"/>
      <c r="EF27" s="435"/>
      <c r="EG27" s="435"/>
      <c r="EH27" s="435"/>
      <c r="EI27" s="435"/>
      <c r="EJ27" s="435"/>
      <c r="EK27" s="435"/>
      <c r="EL27" s="435"/>
      <c r="EM27" s="435"/>
      <c r="EN27" s="435"/>
      <c r="EO27" s="435"/>
      <c r="EP27" s="435"/>
      <c r="EQ27" s="435"/>
      <c r="ER27" s="435"/>
      <c r="ES27" s="435"/>
      <c r="ET27" s="435"/>
      <c r="EU27" s="435"/>
      <c r="EV27" s="435"/>
      <c r="EW27" s="435"/>
      <c r="EX27" s="435"/>
      <c r="EY27" s="435"/>
      <c r="EZ27" s="435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435"/>
      <c r="FL27" s="435"/>
      <c r="FM27" s="435"/>
      <c r="FN27" s="435"/>
      <c r="FO27" s="435"/>
      <c r="FP27" s="435"/>
      <c r="FQ27" s="435"/>
      <c r="FR27" s="435"/>
      <c r="FS27" s="435"/>
      <c r="FT27" s="435"/>
      <c r="FU27" s="435"/>
      <c r="FV27" s="435"/>
      <c r="FW27" s="435"/>
      <c r="FX27" s="435"/>
      <c r="FY27" s="435"/>
      <c r="FZ27" s="435"/>
      <c r="GA27" s="435"/>
      <c r="GB27" s="435"/>
      <c r="GC27" s="435"/>
      <c r="GD27" s="435"/>
      <c r="GE27" s="435"/>
      <c r="GF27" s="435"/>
      <c r="GG27" s="435"/>
      <c r="GH27" s="435"/>
      <c r="GI27" s="435"/>
      <c r="GJ27" s="435"/>
      <c r="GK27" s="435"/>
      <c r="GL27" s="435"/>
      <c r="GM27" s="435"/>
      <c r="GN27" s="435"/>
      <c r="GO27" s="435"/>
      <c r="GP27" s="435"/>
      <c r="GQ27" s="435"/>
      <c r="GR27" s="435"/>
      <c r="GS27" s="435"/>
      <c r="GT27" s="435"/>
      <c r="GU27" s="435"/>
      <c r="GV27" s="435"/>
      <c r="GW27" s="435"/>
      <c r="GX27" s="435"/>
      <c r="GY27" s="435"/>
      <c r="GZ27" s="435"/>
      <c r="HA27" s="435"/>
      <c r="HB27" s="435"/>
      <c r="HC27" s="435"/>
      <c r="HD27" s="435"/>
      <c r="HE27" s="435"/>
      <c r="HF27" s="435"/>
      <c r="HG27" s="435"/>
      <c r="HH27" s="435"/>
      <c r="HI27" s="435"/>
      <c r="HJ27" s="435"/>
      <c r="HK27" s="435"/>
      <c r="HL27" s="435"/>
      <c r="HM27" s="435"/>
      <c r="HN27" s="435"/>
      <c r="HO27" s="435"/>
      <c r="HP27" s="435"/>
      <c r="HQ27" s="435"/>
      <c r="HR27" s="435"/>
      <c r="HS27" s="435"/>
      <c r="HT27" s="435"/>
      <c r="HU27" s="435"/>
      <c r="HV27" s="435"/>
      <c r="HW27" s="435"/>
      <c r="HX27" s="435"/>
      <c r="HY27" s="435"/>
      <c r="HZ27" s="435"/>
      <c r="IA27" s="435"/>
      <c r="IB27" s="435"/>
      <c r="IC27" s="435"/>
      <c r="ID27" s="435"/>
      <c r="IE27" s="435"/>
      <c r="IF27" s="435"/>
      <c r="IG27" s="435"/>
      <c r="IH27" s="435"/>
      <c r="II27" s="435"/>
      <c r="IJ27" s="435"/>
      <c r="IK27" s="435"/>
      <c r="IL27" s="435"/>
      <c r="IM27" s="435"/>
      <c r="IN27" s="435"/>
      <c r="IO27" s="435"/>
      <c r="IP27" s="435"/>
      <c r="IQ27" s="435"/>
      <c r="IR27" s="435"/>
      <c r="IS27" s="435"/>
      <c r="IT27" s="435"/>
      <c r="IU27" s="435"/>
      <c r="IV27" s="435"/>
    </row>
    <row r="28" spans="1:256" s="765" customFormat="1" ht="22.5" customHeight="1">
      <c r="A28" s="778">
        <v>20</v>
      </c>
      <c r="B28" s="772"/>
      <c r="C28" s="480">
        <v>10</v>
      </c>
      <c r="D28" s="776" t="s">
        <v>591</v>
      </c>
      <c r="E28" s="447"/>
      <c r="F28" s="768"/>
      <c r="G28" s="448"/>
      <c r="H28" s="1029" t="s">
        <v>24</v>
      </c>
      <c r="I28" s="1047"/>
      <c r="J28" s="1043"/>
      <c r="K28" s="1043"/>
      <c r="L28" s="1043"/>
      <c r="M28" s="1043"/>
      <c r="N28" s="1043"/>
      <c r="O28" s="1016"/>
      <c r="P28" s="769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5"/>
      <c r="BF28" s="435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5"/>
      <c r="BU28" s="435"/>
      <c r="BV28" s="435"/>
      <c r="BW28" s="435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5"/>
      <c r="CI28" s="435"/>
      <c r="CJ28" s="435"/>
      <c r="CK28" s="435"/>
      <c r="CL28" s="435"/>
      <c r="CM28" s="435"/>
      <c r="CN28" s="435"/>
      <c r="CO28" s="435"/>
      <c r="CP28" s="435"/>
      <c r="CQ28" s="435"/>
      <c r="CR28" s="435"/>
      <c r="CS28" s="435"/>
      <c r="CT28" s="435"/>
      <c r="CU28" s="435"/>
      <c r="CV28" s="435"/>
      <c r="CW28" s="435"/>
      <c r="CX28" s="435"/>
      <c r="CY28" s="435"/>
      <c r="CZ28" s="435"/>
      <c r="DA28" s="435"/>
      <c r="DB28" s="435"/>
      <c r="DC28" s="435"/>
      <c r="DD28" s="435"/>
      <c r="DE28" s="435"/>
      <c r="DF28" s="435"/>
      <c r="DG28" s="435"/>
      <c r="DH28" s="435"/>
      <c r="DI28" s="435"/>
      <c r="DJ28" s="435"/>
      <c r="DK28" s="435"/>
      <c r="DL28" s="435"/>
      <c r="DM28" s="435"/>
      <c r="DN28" s="435"/>
      <c r="DO28" s="435"/>
      <c r="DP28" s="435"/>
      <c r="DQ28" s="435"/>
      <c r="DR28" s="435"/>
      <c r="DS28" s="435"/>
      <c r="DT28" s="435"/>
      <c r="DU28" s="435"/>
      <c r="DV28" s="435"/>
      <c r="DW28" s="435"/>
      <c r="DX28" s="435"/>
      <c r="DY28" s="435"/>
      <c r="DZ28" s="435"/>
      <c r="EA28" s="435"/>
      <c r="EB28" s="435"/>
      <c r="EC28" s="435"/>
      <c r="ED28" s="435"/>
      <c r="EE28" s="435"/>
      <c r="EF28" s="435"/>
      <c r="EG28" s="435"/>
      <c r="EH28" s="435"/>
      <c r="EI28" s="435"/>
      <c r="EJ28" s="435"/>
      <c r="EK28" s="435"/>
      <c r="EL28" s="435"/>
      <c r="EM28" s="435"/>
      <c r="EN28" s="435"/>
      <c r="EO28" s="435"/>
      <c r="EP28" s="435"/>
      <c r="EQ28" s="435"/>
      <c r="ER28" s="435"/>
      <c r="ES28" s="435"/>
      <c r="ET28" s="435"/>
      <c r="EU28" s="435"/>
      <c r="EV28" s="435"/>
      <c r="EW28" s="435"/>
      <c r="EX28" s="435"/>
      <c r="EY28" s="435"/>
      <c r="EZ28" s="435"/>
      <c r="FA28" s="435"/>
      <c r="FB28" s="435"/>
      <c r="FC28" s="435"/>
      <c r="FD28" s="435"/>
      <c r="FE28" s="435"/>
      <c r="FF28" s="435"/>
      <c r="FG28" s="435"/>
      <c r="FH28" s="435"/>
      <c r="FI28" s="435"/>
      <c r="FJ28" s="435"/>
      <c r="FK28" s="435"/>
      <c r="FL28" s="435"/>
      <c r="FM28" s="435"/>
      <c r="FN28" s="435"/>
      <c r="FO28" s="435"/>
      <c r="FP28" s="435"/>
      <c r="FQ28" s="435"/>
      <c r="FR28" s="435"/>
      <c r="FS28" s="435"/>
      <c r="FT28" s="435"/>
      <c r="FU28" s="435"/>
      <c r="FV28" s="435"/>
      <c r="FW28" s="435"/>
      <c r="FX28" s="435"/>
      <c r="FY28" s="435"/>
      <c r="FZ28" s="435"/>
      <c r="GA28" s="435"/>
      <c r="GB28" s="435"/>
      <c r="GC28" s="435"/>
      <c r="GD28" s="435"/>
      <c r="GE28" s="435"/>
      <c r="GF28" s="435"/>
      <c r="GG28" s="435"/>
      <c r="GH28" s="435"/>
      <c r="GI28" s="435"/>
      <c r="GJ28" s="435"/>
      <c r="GK28" s="435"/>
      <c r="GL28" s="435"/>
      <c r="GM28" s="435"/>
      <c r="GN28" s="435"/>
      <c r="GO28" s="435"/>
      <c r="GP28" s="435"/>
      <c r="GQ28" s="435"/>
      <c r="GR28" s="435"/>
      <c r="GS28" s="435"/>
      <c r="GT28" s="435"/>
      <c r="GU28" s="435"/>
      <c r="GV28" s="435"/>
      <c r="GW28" s="435"/>
      <c r="GX28" s="435"/>
      <c r="GY28" s="435"/>
      <c r="GZ28" s="435"/>
      <c r="HA28" s="435"/>
      <c r="HB28" s="435"/>
      <c r="HC28" s="435"/>
      <c r="HD28" s="435"/>
      <c r="HE28" s="435"/>
      <c r="HF28" s="435"/>
      <c r="HG28" s="435"/>
      <c r="HH28" s="435"/>
      <c r="HI28" s="435"/>
      <c r="HJ28" s="435"/>
      <c r="HK28" s="435"/>
      <c r="HL28" s="435"/>
      <c r="HM28" s="435"/>
      <c r="HN28" s="435"/>
      <c r="HO28" s="435"/>
      <c r="HP28" s="435"/>
      <c r="HQ28" s="435"/>
      <c r="HR28" s="435"/>
      <c r="HS28" s="435"/>
      <c r="HT28" s="435"/>
      <c r="HU28" s="435"/>
      <c r="HV28" s="435"/>
      <c r="HW28" s="435"/>
      <c r="HX28" s="435"/>
      <c r="HY28" s="435"/>
      <c r="HZ28" s="435"/>
      <c r="IA28" s="435"/>
      <c r="IB28" s="435"/>
      <c r="IC28" s="435"/>
      <c r="ID28" s="435"/>
      <c r="IE28" s="435"/>
      <c r="IF28" s="435"/>
      <c r="IG28" s="435"/>
      <c r="IH28" s="435"/>
      <c r="II28" s="435"/>
      <c r="IJ28" s="435"/>
      <c r="IK28" s="435"/>
      <c r="IL28" s="435"/>
      <c r="IM28" s="435"/>
      <c r="IN28" s="435"/>
      <c r="IO28" s="435"/>
      <c r="IP28" s="435"/>
      <c r="IQ28" s="435"/>
      <c r="IR28" s="435"/>
      <c r="IS28" s="435"/>
      <c r="IT28" s="435"/>
      <c r="IU28" s="435"/>
      <c r="IV28" s="435"/>
    </row>
    <row r="29" spans="1:256" s="765" customFormat="1" ht="18" customHeight="1">
      <c r="A29" s="778">
        <v>21</v>
      </c>
      <c r="B29" s="772"/>
      <c r="C29" s="437"/>
      <c r="D29" s="1024" t="s">
        <v>293</v>
      </c>
      <c r="E29" s="447">
        <f>F29+G29+O29+P29</f>
        <v>1905</v>
      </c>
      <c r="F29" s="768"/>
      <c r="G29" s="448"/>
      <c r="H29" s="1029"/>
      <c r="I29" s="1047"/>
      <c r="J29" s="1043"/>
      <c r="K29" s="1043"/>
      <c r="L29" s="1043"/>
      <c r="M29" s="1043">
        <v>1905</v>
      </c>
      <c r="N29" s="1043"/>
      <c r="O29" s="1016">
        <f>SUM(I29:N29)</f>
        <v>1905</v>
      </c>
      <c r="P29" s="769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5"/>
      <c r="BF29" s="435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5"/>
      <c r="DE29" s="435"/>
      <c r="DF29" s="435"/>
      <c r="DG29" s="435"/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435"/>
      <c r="DT29" s="435"/>
      <c r="DU29" s="435"/>
      <c r="DV29" s="435"/>
      <c r="DW29" s="435"/>
      <c r="DX29" s="435"/>
      <c r="DY29" s="435"/>
      <c r="DZ29" s="435"/>
      <c r="EA29" s="435"/>
      <c r="EB29" s="435"/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5"/>
      <c r="EW29" s="435"/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5"/>
      <c r="FK29" s="435"/>
      <c r="FL29" s="435"/>
      <c r="FM29" s="435"/>
      <c r="FN29" s="435"/>
      <c r="FO29" s="435"/>
      <c r="FP29" s="435"/>
      <c r="FQ29" s="435"/>
      <c r="FR29" s="435"/>
      <c r="FS29" s="435"/>
      <c r="FT29" s="435"/>
      <c r="FU29" s="435"/>
      <c r="FV29" s="435"/>
      <c r="FW29" s="435"/>
      <c r="FX29" s="435"/>
      <c r="FY29" s="435"/>
      <c r="FZ29" s="435"/>
      <c r="GA29" s="435"/>
      <c r="GB29" s="435"/>
      <c r="GC29" s="435"/>
      <c r="GD29" s="435"/>
      <c r="GE29" s="435"/>
      <c r="GF29" s="435"/>
      <c r="GG29" s="435"/>
      <c r="GH29" s="435"/>
      <c r="GI29" s="435"/>
      <c r="GJ29" s="435"/>
      <c r="GK29" s="435"/>
      <c r="GL29" s="435"/>
      <c r="GM29" s="435"/>
      <c r="GN29" s="435"/>
      <c r="GO29" s="435"/>
      <c r="GP29" s="435"/>
      <c r="GQ29" s="435"/>
      <c r="GR29" s="435"/>
      <c r="GS29" s="435"/>
      <c r="GT29" s="435"/>
      <c r="GU29" s="435"/>
      <c r="GV29" s="435"/>
      <c r="GW29" s="435"/>
      <c r="GX29" s="435"/>
      <c r="GY29" s="435"/>
      <c r="GZ29" s="435"/>
      <c r="HA29" s="435"/>
      <c r="HB29" s="435"/>
      <c r="HC29" s="435"/>
      <c r="HD29" s="435"/>
      <c r="HE29" s="435"/>
      <c r="HF29" s="435"/>
      <c r="HG29" s="435"/>
      <c r="HH29" s="435"/>
      <c r="HI29" s="435"/>
      <c r="HJ29" s="435"/>
      <c r="HK29" s="435"/>
      <c r="HL29" s="435"/>
      <c r="HM29" s="435"/>
      <c r="HN29" s="435"/>
      <c r="HO29" s="435"/>
      <c r="HP29" s="435"/>
      <c r="HQ29" s="435"/>
      <c r="HR29" s="435"/>
      <c r="HS29" s="435"/>
      <c r="HT29" s="435"/>
      <c r="HU29" s="435"/>
      <c r="HV29" s="435"/>
      <c r="HW29" s="435"/>
      <c r="HX29" s="435"/>
      <c r="HY29" s="435"/>
      <c r="HZ29" s="435"/>
      <c r="IA29" s="435"/>
      <c r="IB29" s="435"/>
      <c r="IC29" s="435"/>
      <c r="ID29" s="435"/>
      <c r="IE29" s="435"/>
      <c r="IF29" s="435"/>
      <c r="IG29" s="435"/>
      <c r="IH29" s="435"/>
      <c r="II29" s="435"/>
      <c r="IJ29" s="435"/>
      <c r="IK29" s="435"/>
      <c r="IL29" s="435"/>
      <c r="IM29" s="435"/>
      <c r="IN29" s="435"/>
      <c r="IO29" s="435"/>
      <c r="IP29" s="435"/>
      <c r="IQ29" s="435"/>
      <c r="IR29" s="435"/>
      <c r="IS29" s="435"/>
      <c r="IT29" s="435"/>
      <c r="IU29" s="435"/>
      <c r="IV29" s="435"/>
    </row>
    <row r="30" spans="1:256" s="765" customFormat="1" ht="22.5" customHeight="1">
      <c r="A30" s="778">
        <v>22</v>
      </c>
      <c r="B30" s="772"/>
      <c r="C30" s="1210">
        <v>11</v>
      </c>
      <c r="D30" s="1209" t="s">
        <v>757</v>
      </c>
      <c r="E30" s="447"/>
      <c r="F30" s="768"/>
      <c r="G30" s="448"/>
      <c r="H30" s="1029" t="s">
        <v>24</v>
      </c>
      <c r="I30" s="1047"/>
      <c r="J30" s="1043"/>
      <c r="K30" s="1043"/>
      <c r="L30" s="1043"/>
      <c r="M30" s="1043"/>
      <c r="N30" s="1043"/>
      <c r="O30" s="1016"/>
      <c r="P30" s="769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435"/>
      <c r="DW30" s="435"/>
      <c r="DX30" s="435"/>
      <c r="DY30" s="435"/>
      <c r="DZ30" s="435"/>
      <c r="EA30" s="435"/>
      <c r="EB30" s="435"/>
      <c r="EC30" s="435"/>
      <c r="ED30" s="435"/>
      <c r="EE30" s="435"/>
      <c r="EF30" s="435"/>
      <c r="EG30" s="435"/>
      <c r="EH30" s="435"/>
      <c r="EI30" s="435"/>
      <c r="EJ30" s="435"/>
      <c r="EK30" s="435"/>
      <c r="EL30" s="435"/>
      <c r="EM30" s="435"/>
      <c r="EN30" s="435"/>
      <c r="EO30" s="435"/>
      <c r="EP30" s="435"/>
      <c r="EQ30" s="435"/>
      <c r="ER30" s="435"/>
      <c r="ES30" s="435"/>
      <c r="ET30" s="435"/>
      <c r="EU30" s="435"/>
      <c r="EV30" s="435"/>
      <c r="EW30" s="435"/>
      <c r="EX30" s="435"/>
      <c r="EY30" s="435"/>
      <c r="EZ30" s="435"/>
      <c r="FA30" s="435"/>
      <c r="FB30" s="435"/>
      <c r="FC30" s="435"/>
      <c r="FD30" s="435"/>
      <c r="FE30" s="435"/>
      <c r="FF30" s="435"/>
      <c r="FG30" s="435"/>
      <c r="FH30" s="435"/>
      <c r="FI30" s="435"/>
      <c r="FJ30" s="435"/>
      <c r="FK30" s="435"/>
      <c r="FL30" s="435"/>
      <c r="FM30" s="435"/>
      <c r="FN30" s="435"/>
      <c r="FO30" s="435"/>
      <c r="FP30" s="435"/>
      <c r="FQ30" s="435"/>
      <c r="FR30" s="435"/>
      <c r="FS30" s="435"/>
      <c r="FT30" s="435"/>
      <c r="FU30" s="435"/>
      <c r="FV30" s="435"/>
      <c r="FW30" s="435"/>
      <c r="FX30" s="435"/>
      <c r="FY30" s="435"/>
      <c r="FZ30" s="435"/>
      <c r="GA30" s="435"/>
      <c r="GB30" s="435"/>
      <c r="GC30" s="435"/>
      <c r="GD30" s="435"/>
      <c r="GE30" s="435"/>
      <c r="GF30" s="435"/>
      <c r="GG30" s="435"/>
      <c r="GH30" s="435"/>
      <c r="GI30" s="435"/>
      <c r="GJ30" s="435"/>
      <c r="GK30" s="435"/>
      <c r="GL30" s="435"/>
      <c r="GM30" s="435"/>
      <c r="GN30" s="435"/>
      <c r="GO30" s="435"/>
      <c r="GP30" s="435"/>
      <c r="GQ30" s="435"/>
      <c r="GR30" s="435"/>
      <c r="GS30" s="435"/>
      <c r="GT30" s="435"/>
      <c r="GU30" s="435"/>
      <c r="GV30" s="435"/>
      <c r="GW30" s="435"/>
      <c r="GX30" s="435"/>
      <c r="GY30" s="435"/>
      <c r="GZ30" s="435"/>
      <c r="HA30" s="435"/>
      <c r="HB30" s="435"/>
      <c r="HC30" s="435"/>
      <c r="HD30" s="435"/>
      <c r="HE30" s="435"/>
      <c r="HF30" s="435"/>
      <c r="HG30" s="435"/>
      <c r="HH30" s="435"/>
      <c r="HI30" s="435"/>
      <c r="HJ30" s="435"/>
      <c r="HK30" s="435"/>
      <c r="HL30" s="435"/>
      <c r="HM30" s="435"/>
      <c r="HN30" s="435"/>
      <c r="HO30" s="435"/>
      <c r="HP30" s="435"/>
      <c r="HQ30" s="435"/>
      <c r="HR30" s="435"/>
      <c r="HS30" s="435"/>
      <c r="HT30" s="435"/>
      <c r="HU30" s="435"/>
      <c r="HV30" s="435"/>
      <c r="HW30" s="435"/>
      <c r="HX30" s="435"/>
      <c r="HY30" s="435"/>
      <c r="HZ30" s="435"/>
      <c r="IA30" s="435"/>
      <c r="IB30" s="435"/>
      <c r="IC30" s="435"/>
      <c r="ID30" s="435"/>
      <c r="IE30" s="435"/>
      <c r="IF30" s="435"/>
      <c r="IG30" s="435"/>
      <c r="IH30" s="435"/>
      <c r="II30" s="435"/>
      <c r="IJ30" s="435"/>
      <c r="IK30" s="435"/>
      <c r="IL30" s="435"/>
      <c r="IM30" s="435"/>
      <c r="IN30" s="435"/>
      <c r="IO30" s="435"/>
      <c r="IP30" s="435"/>
      <c r="IQ30" s="435"/>
      <c r="IR30" s="435"/>
      <c r="IS30" s="435"/>
      <c r="IT30" s="435"/>
      <c r="IU30" s="435"/>
      <c r="IV30" s="435"/>
    </row>
    <row r="31" spans="1:256" s="765" customFormat="1" ht="18" customHeight="1">
      <c r="A31" s="778">
        <v>23</v>
      </c>
      <c r="B31" s="772"/>
      <c r="C31" s="437"/>
      <c r="D31" s="1024" t="s">
        <v>293</v>
      </c>
      <c r="E31" s="447">
        <f>F31+G31+O31+P31</f>
        <v>500000</v>
      </c>
      <c r="F31" s="768"/>
      <c r="G31" s="448"/>
      <c r="H31" s="1029"/>
      <c r="I31" s="1047"/>
      <c r="J31" s="1043"/>
      <c r="K31" s="1043"/>
      <c r="L31" s="1043"/>
      <c r="M31" s="1043">
        <v>217000</v>
      </c>
      <c r="N31" s="1043"/>
      <c r="O31" s="1016">
        <f>SUM(I31:N31)</f>
        <v>217000</v>
      </c>
      <c r="P31" s="769">
        <v>283000</v>
      </c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5"/>
      <c r="EG31" s="435"/>
      <c r="EH31" s="435"/>
      <c r="EI31" s="435"/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5"/>
      <c r="EW31" s="435"/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435"/>
      <c r="FL31" s="435"/>
      <c r="FM31" s="435"/>
      <c r="FN31" s="435"/>
      <c r="FO31" s="435"/>
      <c r="FP31" s="435"/>
      <c r="FQ31" s="435"/>
      <c r="FR31" s="435"/>
      <c r="FS31" s="435"/>
      <c r="FT31" s="435"/>
      <c r="FU31" s="435"/>
      <c r="FV31" s="435"/>
      <c r="FW31" s="435"/>
      <c r="FX31" s="435"/>
      <c r="FY31" s="435"/>
      <c r="FZ31" s="435"/>
      <c r="GA31" s="435"/>
      <c r="GB31" s="435"/>
      <c r="GC31" s="435"/>
      <c r="GD31" s="435"/>
      <c r="GE31" s="435"/>
      <c r="GF31" s="435"/>
      <c r="GG31" s="435"/>
      <c r="GH31" s="435"/>
      <c r="GI31" s="435"/>
      <c r="GJ31" s="435"/>
      <c r="GK31" s="435"/>
      <c r="GL31" s="435"/>
      <c r="GM31" s="435"/>
      <c r="GN31" s="435"/>
      <c r="GO31" s="435"/>
      <c r="GP31" s="435"/>
      <c r="GQ31" s="435"/>
      <c r="GR31" s="435"/>
      <c r="GS31" s="435"/>
      <c r="GT31" s="435"/>
      <c r="GU31" s="435"/>
      <c r="GV31" s="435"/>
      <c r="GW31" s="435"/>
      <c r="GX31" s="435"/>
      <c r="GY31" s="435"/>
      <c r="GZ31" s="435"/>
      <c r="HA31" s="435"/>
      <c r="HB31" s="435"/>
      <c r="HC31" s="435"/>
      <c r="HD31" s="435"/>
      <c r="HE31" s="435"/>
      <c r="HF31" s="435"/>
      <c r="HG31" s="435"/>
      <c r="HH31" s="435"/>
      <c r="HI31" s="435"/>
      <c r="HJ31" s="435"/>
      <c r="HK31" s="435"/>
      <c r="HL31" s="435"/>
      <c r="HM31" s="435"/>
      <c r="HN31" s="435"/>
      <c r="HO31" s="435"/>
      <c r="HP31" s="435"/>
      <c r="HQ31" s="435"/>
      <c r="HR31" s="435"/>
      <c r="HS31" s="435"/>
      <c r="HT31" s="435"/>
      <c r="HU31" s="435"/>
      <c r="HV31" s="435"/>
      <c r="HW31" s="435"/>
      <c r="HX31" s="435"/>
      <c r="HY31" s="435"/>
      <c r="HZ31" s="435"/>
      <c r="IA31" s="435"/>
      <c r="IB31" s="435"/>
      <c r="IC31" s="435"/>
      <c r="ID31" s="435"/>
      <c r="IE31" s="435"/>
      <c r="IF31" s="435"/>
      <c r="IG31" s="435"/>
      <c r="IH31" s="435"/>
      <c r="II31" s="435"/>
      <c r="IJ31" s="435"/>
      <c r="IK31" s="435"/>
      <c r="IL31" s="435"/>
      <c r="IM31" s="435"/>
      <c r="IN31" s="435"/>
      <c r="IO31" s="435"/>
      <c r="IP31" s="435"/>
      <c r="IQ31" s="435"/>
      <c r="IR31" s="435"/>
      <c r="IS31" s="435"/>
      <c r="IT31" s="435"/>
      <c r="IU31" s="435"/>
      <c r="IV31" s="435"/>
    </row>
    <row r="32" spans="1:256" s="765" customFormat="1" ht="22.5" customHeight="1">
      <c r="A32" s="778">
        <v>24</v>
      </c>
      <c r="B32" s="772"/>
      <c r="C32" s="437">
        <v>12</v>
      </c>
      <c r="D32" s="1209" t="s">
        <v>758</v>
      </c>
      <c r="E32" s="447"/>
      <c r="F32" s="768"/>
      <c r="G32" s="448"/>
      <c r="H32" s="1029" t="s">
        <v>24</v>
      </c>
      <c r="I32" s="1047"/>
      <c r="J32" s="1043"/>
      <c r="K32" s="1043"/>
      <c r="L32" s="1043"/>
      <c r="M32" s="1043"/>
      <c r="N32" s="1043"/>
      <c r="O32" s="1016"/>
      <c r="P32" s="769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5"/>
      <c r="EB32" s="435"/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5"/>
      <c r="EN32" s="435"/>
      <c r="EO32" s="435"/>
      <c r="EP32" s="435"/>
      <c r="EQ32" s="435"/>
      <c r="ER32" s="435"/>
      <c r="ES32" s="435"/>
      <c r="ET32" s="435"/>
      <c r="EU32" s="435"/>
      <c r="EV32" s="435"/>
      <c r="EW32" s="435"/>
      <c r="EX32" s="435"/>
      <c r="EY32" s="435"/>
      <c r="EZ32" s="435"/>
      <c r="FA32" s="435"/>
      <c r="FB32" s="435"/>
      <c r="FC32" s="435"/>
      <c r="FD32" s="435"/>
      <c r="FE32" s="435"/>
      <c r="FF32" s="435"/>
      <c r="FG32" s="435"/>
      <c r="FH32" s="435"/>
      <c r="FI32" s="435"/>
      <c r="FJ32" s="435"/>
      <c r="FK32" s="435"/>
      <c r="FL32" s="435"/>
      <c r="FM32" s="435"/>
      <c r="FN32" s="435"/>
      <c r="FO32" s="435"/>
      <c r="FP32" s="435"/>
      <c r="FQ32" s="435"/>
      <c r="FR32" s="435"/>
      <c r="FS32" s="435"/>
      <c r="FT32" s="435"/>
      <c r="FU32" s="435"/>
      <c r="FV32" s="435"/>
      <c r="FW32" s="435"/>
      <c r="FX32" s="435"/>
      <c r="FY32" s="435"/>
      <c r="FZ32" s="435"/>
      <c r="GA32" s="435"/>
      <c r="GB32" s="435"/>
      <c r="GC32" s="435"/>
      <c r="GD32" s="435"/>
      <c r="GE32" s="435"/>
      <c r="GF32" s="435"/>
      <c r="GG32" s="435"/>
      <c r="GH32" s="435"/>
      <c r="GI32" s="435"/>
      <c r="GJ32" s="435"/>
      <c r="GK32" s="435"/>
      <c r="GL32" s="435"/>
      <c r="GM32" s="435"/>
      <c r="GN32" s="435"/>
      <c r="GO32" s="435"/>
      <c r="GP32" s="435"/>
      <c r="GQ32" s="435"/>
      <c r="GR32" s="435"/>
      <c r="GS32" s="435"/>
      <c r="GT32" s="435"/>
      <c r="GU32" s="435"/>
      <c r="GV32" s="435"/>
      <c r="GW32" s="435"/>
      <c r="GX32" s="435"/>
      <c r="GY32" s="435"/>
      <c r="GZ32" s="435"/>
      <c r="HA32" s="435"/>
      <c r="HB32" s="435"/>
      <c r="HC32" s="435"/>
      <c r="HD32" s="435"/>
      <c r="HE32" s="435"/>
      <c r="HF32" s="435"/>
      <c r="HG32" s="435"/>
      <c r="HH32" s="435"/>
      <c r="HI32" s="435"/>
      <c r="HJ32" s="435"/>
      <c r="HK32" s="435"/>
      <c r="HL32" s="435"/>
      <c r="HM32" s="435"/>
      <c r="HN32" s="435"/>
      <c r="HO32" s="435"/>
      <c r="HP32" s="435"/>
      <c r="HQ32" s="435"/>
      <c r="HR32" s="435"/>
      <c r="HS32" s="435"/>
      <c r="HT32" s="435"/>
      <c r="HU32" s="435"/>
      <c r="HV32" s="435"/>
      <c r="HW32" s="435"/>
      <c r="HX32" s="435"/>
      <c r="HY32" s="435"/>
      <c r="HZ32" s="435"/>
      <c r="IA32" s="435"/>
      <c r="IB32" s="435"/>
      <c r="IC32" s="435"/>
      <c r="ID32" s="435"/>
      <c r="IE32" s="435"/>
      <c r="IF32" s="435"/>
      <c r="IG32" s="435"/>
      <c r="IH32" s="435"/>
      <c r="II32" s="435"/>
      <c r="IJ32" s="435"/>
      <c r="IK32" s="435"/>
      <c r="IL32" s="435"/>
      <c r="IM32" s="435"/>
      <c r="IN32" s="435"/>
      <c r="IO32" s="435"/>
      <c r="IP32" s="435"/>
      <c r="IQ32" s="435"/>
      <c r="IR32" s="435"/>
      <c r="IS32" s="435"/>
      <c r="IT32" s="435"/>
      <c r="IU32" s="435"/>
      <c r="IV32" s="435"/>
    </row>
    <row r="33" spans="1:256" s="765" customFormat="1" ht="18" customHeight="1">
      <c r="A33" s="778">
        <v>25</v>
      </c>
      <c r="B33" s="772"/>
      <c r="C33" s="437"/>
      <c r="D33" s="1024" t="s">
        <v>293</v>
      </c>
      <c r="E33" s="447">
        <f>F33+G33+O33+P33</f>
        <v>10</v>
      </c>
      <c r="F33" s="768"/>
      <c r="G33" s="448"/>
      <c r="H33" s="1029"/>
      <c r="I33" s="1047"/>
      <c r="J33" s="1043"/>
      <c r="K33" s="1043"/>
      <c r="L33" s="1043"/>
      <c r="M33" s="1043">
        <v>10</v>
      </c>
      <c r="N33" s="1043"/>
      <c r="O33" s="1016">
        <f>SUM(I33:N33)</f>
        <v>10</v>
      </c>
      <c r="P33" s="769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5"/>
      <c r="CK33" s="435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5"/>
      <c r="DQ33" s="435"/>
      <c r="DR33" s="435"/>
      <c r="DS33" s="435"/>
      <c r="DT33" s="435"/>
      <c r="DU33" s="435"/>
      <c r="DV33" s="435"/>
      <c r="DW33" s="435"/>
      <c r="DX33" s="435"/>
      <c r="DY33" s="435"/>
      <c r="DZ33" s="435"/>
      <c r="EA33" s="435"/>
      <c r="EB33" s="435"/>
      <c r="EC33" s="435"/>
      <c r="ED33" s="435"/>
      <c r="EE33" s="435"/>
      <c r="EF33" s="435"/>
      <c r="EG33" s="435"/>
      <c r="EH33" s="435"/>
      <c r="EI33" s="435"/>
      <c r="EJ33" s="435"/>
      <c r="EK33" s="435"/>
      <c r="EL33" s="435"/>
      <c r="EM33" s="435"/>
      <c r="EN33" s="435"/>
      <c r="EO33" s="435"/>
      <c r="EP33" s="435"/>
      <c r="EQ33" s="435"/>
      <c r="ER33" s="435"/>
      <c r="ES33" s="435"/>
      <c r="ET33" s="435"/>
      <c r="EU33" s="435"/>
      <c r="EV33" s="435"/>
      <c r="EW33" s="435"/>
      <c r="EX33" s="435"/>
      <c r="EY33" s="435"/>
      <c r="EZ33" s="435"/>
      <c r="FA33" s="435"/>
      <c r="FB33" s="435"/>
      <c r="FC33" s="435"/>
      <c r="FD33" s="435"/>
      <c r="FE33" s="435"/>
      <c r="FF33" s="435"/>
      <c r="FG33" s="435"/>
      <c r="FH33" s="435"/>
      <c r="FI33" s="435"/>
      <c r="FJ33" s="435"/>
      <c r="FK33" s="435"/>
      <c r="FL33" s="435"/>
      <c r="FM33" s="435"/>
      <c r="FN33" s="435"/>
      <c r="FO33" s="435"/>
      <c r="FP33" s="435"/>
      <c r="FQ33" s="435"/>
      <c r="FR33" s="435"/>
      <c r="FS33" s="435"/>
      <c r="FT33" s="435"/>
      <c r="FU33" s="435"/>
      <c r="FV33" s="435"/>
      <c r="FW33" s="435"/>
      <c r="FX33" s="435"/>
      <c r="FY33" s="435"/>
      <c r="FZ33" s="435"/>
      <c r="GA33" s="435"/>
      <c r="GB33" s="435"/>
      <c r="GC33" s="435"/>
      <c r="GD33" s="435"/>
      <c r="GE33" s="435"/>
      <c r="GF33" s="435"/>
      <c r="GG33" s="435"/>
      <c r="GH33" s="435"/>
      <c r="GI33" s="435"/>
      <c r="GJ33" s="435"/>
      <c r="GK33" s="435"/>
      <c r="GL33" s="435"/>
      <c r="GM33" s="435"/>
      <c r="GN33" s="435"/>
      <c r="GO33" s="435"/>
      <c r="GP33" s="435"/>
      <c r="GQ33" s="435"/>
      <c r="GR33" s="435"/>
      <c r="GS33" s="435"/>
      <c r="GT33" s="435"/>
      <c r="GU33" s="435"/>
      <c r="GV33" s="435"/>
      <c r="GW33" s="435"/>
      <c r="GX33" s="435"/>
      <c r="GY33" s="435"/>
      <c r="GZ33" s="435"/>
      <c r="HA33" s="435"/>
      <c r="HB33" s="435"/>
      <c r="HC33" s="435"/>
      <c r="HD33" s="435"/>
      <c r="HE33" s="435"/>
      <c r="HF33" s="435"/>
      <c r="HG33" s="435"/>
      <c r="HH33" s="435"/>
      <c r="HI33" s="435"/>
      <c r="HJ33" s="435"/>
      <c r="HK33" s="435"/>
      <c r="HL33" s="435"/>
      <c r="HM33" s="435"/>
      <c r="HN33" s="435"/>
      <c r="HO33" s="435"/>
      <c r="HP33" s="435"/>
      <c r="HQ33" s="435"/>
      <c r="HR33" s="435"/>
      <c r="HS33" s="435"/>
      <c r="HT33" s="435"/>
      <c r="HU33" s="435"/>
      <c r="HV33" s="435"/>
      <c r="HW33" s="435"/>
      <c r="HX33" s="435"/>
      <c r="HY33" s="435"/>
      <c r="HZ33" s="435"/>
      <c r="IA33" s="435"/>
      <c r="IB33" s="435"/>
      <c r="IC33" s="435"/>
      <c r="ID33" s="435"/>
      <c r="IE33" s="435"/>
      <c r="IF33" s="435"/>
      <c r="IG33" s="435"/>
      <c r="IH33" s="435"/>
      <c r="II33" s="435"/>
      <c r="IJ33" s="435"/>
      <c r="IK33" s="435"/>
      <c r="IL33" s="435"/>
      <c r="IM33" s="435"/>
      <c r="IN33" s="435"/>
      <c r="IO33" s="435"/>
      <c r="IP33" s="435"/>
      <c r="IQ33" s="435"/>
      <c r="IR33" s="435"/>
      <c r="IS33" s="435"/>
      <c r="IT33" s="435"/>
      <c r="IU33" s="435"/>
      <c r="IV33" s="435"/>
    </row>
    <row r="34" spans="1:256" s="765" customFormat="1" ht="22.5" customHeight="1">
      <c r="A34" s="778">
        <v>26</v>
      </c>
      <c r="B34" s="772"/>
      <c r="C34" s="437">
        <v>13</v>
      </c>
      <c r="D34" s="1209" t="s">
        <v>758</v>
      </c>
      <c r="E34" s="447"/>
      <c r="F34" s="768"/>
      <c r="G34" s="448"/>
      <c r="H34" s="1029" t="s">
        <v>24</v>
      </c>
      <c r="I34" s="1047"/>
      <c r="J34" s="1043"/>
      <c r="K34" s="1043"/>
      <c r="L34" s="1043"/>
      <c r="M34" s="1043"/>
      <c r="N34" s="1043"/>
      <c r="O34" s="1016"/>
      <c r="P34" s="769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5"/>
      <c r="CC34" s="435"/>
      <c r="CD34" s="435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5"/>
      <c r="DB34" s="435"/>
      <c r="DC34" s="435"/>
      <c r="DD34" s="435"/>
      <c r="DE34" s="435"/>
      <c r="DF34" s="435"/>
      <c r="DG34" s="435"/>
      <c r="DH34" s="435"/>
      <c r="DI34" s="435"/>
      <c r="DJ34" s="435"/>
      <c r="DK34" s="435"/>
      <c r="DL34" s="435"/>
      <c r="DM34" s="435"/>
      <c r="DN34" s="435"/>
      <c r="DO34" s="435"/>
      <c r="DP34" s="435"/>
      <c r="DQ34" s="435"/>
      <c r="DR34" s="435"/>
      <c r="DS34" s="435"/>
      <c r="DT34" s="435"/>
      <c r="DU34" s="435"/>
      <c r="DV34" s="435"/>
      <c r="DW34" s="435"/>
      <c r="DX34" s="435"/>
      <c r="DY34" s="435"/>
      <c r="DZ34" s="435"/>
      <c r="EA34" s="435"/>
      <c r="EB34" s="435"/>
      <c r="EC34" s="435"/>
      <c r="ED34" s="435"/>
      <c r="EE34" s="435"/>
      <c r="EF34" s="435"/>
      <c r="EG34" s="435"/>
      <c r="EH34" s="435"/>
      <c r="EI34" s="435"/>
      <c r="EJ34" s="435"/>
      <c r="EK34" s="435"/>
      <c r="EL34" s="435"/>
      <c r="EM34" s="435"/>
      <c r="EN34" s="435"/>
      <c r="EO34" s="435"/>
      <c r="EP34" s="435"/>
      <c r="EQ34" s="435"/>
      <c r="ER34" s="435"/>
      <c r="ES34" s="435"/>
      <c r="ET34" s="435"/>
      <c r="EU34" s="435"/>
      <c r="EV34" s="435"/>
      <c r="EW34" s="435"/>
      <c r="EX34" s="435"/>
      <c r="EY34" s="435"/>
      <c r="EZ34" s="435"/>
      <c r="FA34" s="435"/>
      <c r="FB34" s="435"/>
      <c r="FC34" s="435"/>
      <c r="FD34" s="435"/>
      <c r="FE34" s="435"/>
      <c r="FF34" s="435"/>
      <c r="FG34" s="435"/>
      <c r="FH34" s="435"/>
      <c r="FI34" s="435"/>
      <c r="FJ34" s="435"/>
      <c r="FK34" s="435"/>
      <c r="FL34" s="435"/>
      <c r="FM34" s="435"/>
      <c r="FN34" s="435"/>
      <c r="FO34" s="435"/>
      <c r="FP34" s="435"/>
      <c r="FQ34" s="435"/>
      <c r="FR34" s="435"/>
      <c r="FS34" s="435"/>
      <c r="FT34" s="435"/>
      <c r="FU34" s="435"/>
      <c r="FV34" s="435"/>
      <c r="FW34" s="435"/>
      <c r="FX34" s="435"/>
      <c r="FY34" s="435"/>
      <c r="FZ34" s="435"/>
      <c r="GA34" s="435"/>
      <c r="GB34" s="435"/>
      <c r="GC34" s="435"/>
      <c r="GD34" s="435"/>
      <c r="GE34" s="435"/>
      <c r="GF34" s="435"/>
      <c r="GG34" s="435"/>
      <c r="GH34" s="435"/>
      <c r="GI34" s="435"/>
      <c r="GJ34" s="435"/>
      <c r="GK34" s="435"/>
      <c r="GL34" s="435"/>
      <c r="GM34" s="435"/>
      <c r="GN34" s="435"/>
      <c r="GO34" s="435"/>
      <c r="GP34" s="435"/>
      <c r="GQ34" s="435"/>
      <c r="GR34" s="435"/>
      <c r="GS34" s="435"/>
      <c r="GT34" s="435"/>
      <c r="GU34" s="435"/>
      <c r="GV34" s="435"/>
      <c r="GW34" s="435"/>
      <c r="GX34" s="435"/>
      <c r="GY34" s="435"/>
      <c r="GZ34" s="435"/>
      <c r="HA34" s="435"/>
      <c r="HB34" s="435"/>
      <c r="HC34" s="435"/>
      <c r="HD34" s="435"/>
      <c r="HE34" s="435"/>
      <c r="HF34" s="435"/>
      <c r="HG34" s="435"/>
      <c r="HH34" s="435"/>
      <c r="HI34" s="435"/>
      <c r="HJ34" s="435"/>
      <c r="HK34" s="435"/>
      <c r="HL34" s="435"/>
      <c r="HM34" s="435"/>
      <c r="HN34" s="435"/>
      <c r="HO34" s="435"/>
      <c r="HP34" s="435"/>
      <c r="HQ34" s="435"/>
      <c r="HR34" s="435"/>
      <c r="HS34" s="435"/>
      <c r="HT34" s="435"/>
      <c r="HU34" s="435"/>
      <c r="HV34" s="435"/>
      <c r="HW34" s="435"/>
      <c r="HX34" s="435"/>
      <c r="HY34" s="435"/>
      <c r="HZ34" s="435"/>
      <c r="IA34" s="435"/>
      <c r="IB34" s="435"/>
      <c r="IC34" s="435"/>
      <c r="ID34" s="435"/>
      <c r="IE34" s="435"/>
      <c r="IF34" s="435"/>
      <c r="IG34" s="435"/>
      <c r="IH34" s="435"/>
      <c r="II34" s="435"/>
      <c r="IJ34" s="435"/>
      <c r="IK34" s="435"/>
      <c r="IL34" s="435"/>
      <c r="IM34" s="435"/>
      <c r="IN34" s="435"/>
      <c r="IO34" s="435"/>
      <c r="IP34" s="435"/>
      <c r="IQ34" s="435"/>
      <c r="IR34" s="435"/>
      <c r="IS34" s="435"/>
      <c r="IT34" s="435"/>
      <c r="IU34" s="435"/>
      <c r="IV34" s="435"/>
    </row>
    <row r="35" spans="1:256" s="765" customFormat="1" ht="18" customHeight="1">
      <c r="A35" s="778">
        <v>27</v>
      </c>
      <c r="B35" s="772"/>
      <c r="C35" s="437"/>
      <c r="D35" s="1024" t="s">
        <v>293</v>
      </c>
      <c r="E35" s="447">
        <f>F35+G35+O35+P35</f>
        <v>499990</v>
      </c>
      <c r="F35" s="768"/>
      <c r="G35" s="448"/>
      <c r="H35" s="1029"/>
      <c r="I35" s="1047"/>
      <c r="J35" s="1043"/>
      <c r="K35" s="1043"/>
      <c r="L35" s="1043"/>
      <c r="M35" s="1043">
        <v>499990</v>
      </c>
      <c r="N35" s="1043"/>
      <c r="O35" s="1016">
        <f>SUM(I35:N35)</f>
        <v>499990</v>
      </c>
      <c r="P35" s="769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5"/>
      <c r="DQ35" s="435"/>
      <c r="DR35" s="435"/>
      <c r="DS35" s="435"/>
      <c r="DT35" s="435"/>
      <c r="DU35" s="435"/>
      <c r="DV35" s="435"/>
      <c r="DW35" s="435"/>
      <c r="DX35" s="435"/>
      <c r="DY35" s="435"/>
      <c r="DZ35" s="435"/>
      <c r="EA35" s="435"/>
      <c r="EB35" s="435"/>
      <c r="EC35" s="435"/>
      <c r="ED35" s="435"/>
      <c r="EE35" s="435"/>
      <c r="EF35" s="435"/>
      <c r="EG35" s="435"/>
      <c r="EH35" s="435"/>
      <c r="EI35" s="435"/>
      <c r="EJ35" s="435"/>
      <c r="EK35" s="435"/>
      <c r="EL35" s="435"/>
      <c r="EM35" s="435"/>
      <c r="EN35" s="435"/>
      <c r="EO35" s="435"/>
      <c r="EP35" s="435"/>
      <c r="EQ35" s="435"/>
      <c r="ER35" s="435"/>
      <c r="ES35" s="435"/>
      <c r="ET35" s="435"/>
      <c r="EU35" s="435"/>
      <c r="EV35" s="435"/>
      <c r="EW35" s="435"/>
      <c r="EX35" s="435"/>
      <c r="EY35" s="435"/>
      <c r="EZ35" s="435"/>
      <c r="FA35" s="435"/>
      <c r="FB35" s="435"/>
      <c r="FC35" s="435"/>
      <c r="FD35" s="435"/>
      <c r="FE35" s="435"/>
      <c r="FF35" s="435"/>
      <c r="FG35" s="435"/>
      <c r="FH35" s="435"/>
      <c r="FI35" s="435"/>
      <c r="FJ35" s="435"/>
      <c r="FK35" s="435"/>
      <c r="FL35" s="435"/>
      <c r="FM35" s="435"/>
      <c r="FN35" s="435"/>
      <c r="FO35" s="435"/>
      <c r="FP35" s="435"/>
      <c r="FQ35" s="435"/>
      <c r="FR35" s="435"/>
      <c r="FS35" s="435"/>
      <c r="FT35" s="435"/>
      <c r="FU35" s="435"/>
      <c r="FV35" s="435"/>
      <c r="FW35" s="435"/>
      <c r="FX35" s="435"/>
      <c r="FY35" s="435"/>
      <c r="FZ35" s="435"/>
      <c r="GA35" s="435"/>
      <c r="GB35" s="435"/>
      <c r="GC35" s="435"/>
      <c r="GD35" s="435"/>
      <c r="GE35" s="435"/>
      <c r="GF35" s="435"/>
      <c r="GG35" s="435"/>
      <c r="GH35" s="435"/>
      <c r="GI35" s="435"/>
      <c r="GJ35" s="435"/>
      <c r="GK35" s="435"/>
      <c r="GL35" s="435"/>
      <c r="GM35" s="435"/>
      <c r="GN35" s="435"/>
      <c r="GO35" s="435"/>
      <c r="GP35" s="435"/>
      <c r="GQ35" s="435"/>
      <c r="GR35" s="435"/>
      <c r="GS35" s="435"/>
      <c r="GT35" s="435"/>
      <c r="GU35" s="435"/>
      <c r="GV35" s="435"/>
      <c r="GW35" s="435"/>
      <c r="GX35" s="435"/>
      <c r="GY35" s="435"/>
      <c r="GZ35" s="435"/>
      <c r="HA35" s="435"/>
      <c r="HB35" s="435"/>
      <c r="HC35" s="435"/>
      <c r="HD35" s="435"/>
      <c r="HE35" s="435"/>
      <c r="HF35" s="435"/>
      <c r="HG35" s="435"/>
      <c r="HH35" s="435"/>
      <c r="HI35" s="435"/>
      <c r="HJ35" s="435"/>
      <c r="HK35" s="435"/>
      <c r="HL35" s="435"/>
      <c r="HM35" s="435"/>
      <c r="HN35" s="435"/>
      <c r="HO35" s="435"/>
      <c r="HP35" s="435"/>
      <c r="HQ35" s="435"/>
      <c r="HR35" s="435"/>
      <c r="HS35" s="435"/>
      <c r="HT35" s="435"/>
      <c r="HU35" s="435"/>
      <c r="HV35" s="435"/>
      <c r="HW35" s="435"/>
      <c r="HX35" s="435"/>
      <c r="HY35" s="435"/>
      <c r="HZ35" s="435"/>
      <c r="IA35" s="435"/>
      <c r="IB35" s="435"/>
      <c r="IC35" s="435"/>
      <c r="ID35" s="435"/>
      <c r="IE35" s="435"/>
      <c r="IF35" s="435"/>
      <c r="IG35" s="435"/>
      <c r="IH35" s="435"/>
      <c r="II35" s="435"/>
      <c r="IJ35" s="435"/>
      <c r="IK35" s="435"/>
      <c r="IL35" s="435"/>
      <c r="IM35" s="435"/>
      <c r="IN35" s="435"/>
      <c r="IO35" s="435"/>
      <c r="IP35" s="435"/>
      <c r="IQ35" s="435"/>
      <c r="IR35" s="435"/>
      <c r="IS35" s="435"/>
      <c r="IT35" s="435"/>
      <c r="IU35" s="435"/>
      <c r="IV35" s="435"/>
    </row>
    <row r="36" spans="1:256" s="765" customFormat="1" ht="22.5" customHeight="1">
      <c r="A36" s="778">
        <v>28</v>
      </c>
      <c r="B36" s="772"/>
      <c r="C36" s="437">
        <v>14</v>
      </c>
      <c r="D36" s="776" t="s">
        <v>756</v>
      </c>
      <c r="E36" s="447"/>
      <c r="F36" s="768"/>
      <c r="G36" s="448"/>
      <c r="H36" s="1029" t="s">
        <v>24</v>
      </c>
      <c r="I36" s="1047"/>
      <c r="J36" s="1043"/>
      <c r="K36" s="1043"/>
      <c r="L36" s="1043"/>
      <c r="M36" s="1043"/>
      <c r="N36" s="1043"/>
      <c r="O36" s="1016"/>
      <c r="P36" s="769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5"/>
      <c r="DB36" s="435"/>
      <c r="DC36" s="435"/>
      <c r="DD36" s="435"/>
      <c r="DE36" s="435"/>
      <c r="DF36" s="435"/>
      <c r="DG36" s="435"/>
      <c r="DH36" s="435"/>
      <c r="DI36" s="435"/>
      <c r="DJ36" s="435"/>
      <c r="DK36" s="435"/>
      <c r="DL36" s="435"/>
      <c r="DM36" s="435"/>
      <c r="DN36" s="435"/>
      <c r="DO36" s="435"/>
      <c r="DP36" s="435"/>
      <c r="DQ36" s="435"/>
      <c r="DR36" s="435"/>
      <c r="DS36" s="435"/>
      <c r="DT36" s="435"/>
      <c r="DU36" s="435"/>
      <c r="DV36" s="435"/>
      <c r="DW36" s="435"/>
      <c r="DX36" s="435"/>
      <c r="DY36" s="435"/>
      <c r="DZ36" s="435"/>
      <c r="EA36" s="435"/>
      <c r="EB36" s="435"/>
      <c r="EC36" s="435"/>
      <c r="ED36" s="435"/>
      <c r="EE36" s="435"/>
      <c r="EF36" s="435"/>
      <c r="EG36" s="435"/>
      <c r="EH36" s="435"/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5"/>
      <c r="FF36" s="435"/>
      <c r="FG36" s="435"/>
      <c r="FH36" s="435"/>
      <c r="FI36" s="435"/>
      <c r="FJ36" s="435"/>
      <c r="FK36" s="435"/>
      <c r="FL36" s="435"/>
      <c r="FM36" s="435"/>
      <c r="FN36" s="435"/>
      <c r="FO36" s="435"/>
      <c r="FP36" s="435"/>
      <c r="FQ36" s="435"/>
      <c r="FR36" s="435"/>
      <c r="FS36" s="435"/>
      <c r="FT36" s="435"/>
      <c r="FU36" s="435"/>
      <c r="FV36" s="435"/>
      <c r="FW36" s="435"/>
      <c r="FX36" s="435"/>
      <c r="FY36" s="435"/>
      <c r="FZ36" s="435"/>
      <c r="GA36" s="435"/>
      <c r="GB36" s="435"/>
      <c r="GC36" s="435"/>
      <c r="GD36" s="435"/>
      <c r="GE36" s="435"/>
      <c r="GF36" s="435"/>
      <c r="GG36" s="435"/>
      <c r="GH36" s="435"/>
      <c r="GI36" s="435"/>
      <c r="GJ36" s="435"/>
      <c r="GK36" s="435"/>
      <c r="GL36" s="435"/>
      <c r="GM36" s="435"/>
      <c r="GN36" s="435"/>
      <c r="GO36" s="435"/>
      <c r="GP36" s="435"/>
      <c r="GQ36" s="435"/>
      <c r="GR36" s="435"/>
      <c r="GS36" s="435"/>
      <c r="GT36" s="435"/>
      <c r="GU36" s="435"/>
      <c r="GV36" s="435"/>
      <c r="GW36" s="435"/>
      <c r="GX36" s="435"/>
      <c r="GY36" s="435"/>
      <c r="GZ36" s="435"/>
      <c r="HA36" s="435"/>
      <c r="HB36" s="435"/>
      <c r="HC36" s="435"/>
      <c r="HD36" s="435"/>
      <c r="HE36" s="435"/>
      <c r="HF36" s="435"/>
      <c r="HG36" s="435"/>
      <c r="HH36" s="435"/>
      <c r="HI36" s="435"/>
      <c r="HJ36" s="435"/>
      <c r="HK36" s="435"/>
      <c r="HL36" s="435"/>
      <c r="HM36" s="435"/>
      <c r="HN36" s="435"/>
      <c r="HO36" s="435"/>
      <c r="HP36" s="435"/>
      <c r="HQ36" s="435"/>
      <c r="HR36" s="435"/>
      <c r="HS36" s="435"/>
      <c r="HT36" s="435"/>
      <c r="HU36" s="435"/>
      <c r="HV36" s="435"/>
      <c r="HW36" s="435"/>
      <c r="HX36" s="435"/>
      <c r="HY36" s="435"/>
      <c r="HZ36" s="435"/>
      <c r="IA36" s="435"/>
      <c r="IB36" s="435"/>
      <c r="IC36" s="435"/>
      <c r="ID36" s="435"/>
      <c r="IE36" s="435"/>
      <c r="IF36" s="435"/>
      <c r="IG36" s="435"/>
      <c r="IH36" s="435"/>
      <c r="II36" s="435"/>
      <c r="IJ36" s="435"/>
      <c r="IK36" s="435"/>
      <c r="IL36" s="435"/>
      <c r="IM36" s="435"/>
      <c r="IN36" s="435"/>
      <c r="IO36" s="435"/>
      <c r="IP36" s="435"/>
      <c r="IQ36" s="435"/>
      <c r="IR36" s="435"/>
      <c r="IS36" s="435"/>
      <c r="IT36" s="435"/>
      <c r="IU36" s="435"/>
      <c r="IV36" s="435"/>
    </row>
    <row r="37" spans="1:256" s="765" customFormat="1" ht="18" customHeight="1">
      <c r="A37" s="778">
        <v>29</v>
      </c>
      <c r="B37" s="772"/>
      <c r="C37" s="437"/>
      <c r="D37" s="1024" t="s">
        <v>293</v>
      </c>
      <c r="E37" s="447">
        <f>F37+G37+O37+P37</f>
        <v>1500</v>
      </c>
      <c r="F37" s="768"/>
      <c r="G37" s="448"/>
      <c r="H37" s="1029"/>
      <c r="I37" s="1047"/>
      <c r="J37" s="1043"/>
      <c r="K37" s="1043">
        <v>1500</v>
      </c>
      <c r="L37" s="1043"/>
      <c r="M37" s="1043"/>
      <c r="N37" s="1043"/>
      <c r="O37" s="1016">
        <f>SUM(I37:N37)</f>
        <v>1500</v>
      </c>
      <c r="P37" s="769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5"/>
      <c r="CL37" s="435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5"/>
      <c r="DE37" s="435"/>
      <c r="DF37" s="435"/>
      <c r="DG37" s="435"/>
      <c r="DH37" s="435"/>
      <c r="DI37" s="435"/>
      <c r="DJ37" s="435"/>
      <c r="DK37" s="435"/>
      <c r="DL37" s="435"/>
      <c r="DM37" s="435"/>
      <c r="DN37" s="435"/>
      <c r="DO37" s="435"/>
      <c r="DP37" s="435"/>
      <c r="DQ37" s="435"/>
      <c r="DR37" s="435"/>
      <c r="DS37" s="435"/>
      <c r="DT37" s="435"/>
      <c r="DU37" s="435"/>
      <c r="DV37" s="435"/>
      <c r="DW37" s="435"/>
      <c r="DX37" s="435"/>
      <c r="DY37" s="435"/>
      <c r="DZ37" s="435"/>
      <c r="EA37" s="435"/>
      <c r="EB37" s="435"/>
      <c r="EC37" s="435"/>
      <c r="ED37" s="435"/>
      <c r="EE37" s="435"/>
      <c r="EF37" s="435"/>
      <c r="EG37" s="435"/>
      <c r="EH37" s="435"/>
      <c r="EI37" s="435"/>
      <c r="EJ37" s="435"/>
      <c r="EK37" s="435"/>
      <c r="EL37" s="435"/>
      <c r="EM37" s="435"/>
      <c r="EN37" s="435"/>
      <c r="EO37" s="435"/>
      <c r="EP37" s="435"/>
      <c r="EQ37" s="435"/>
      <c r="ER37" s="435"/>
      <c r="ES37" s="435"/>
      <c r="ET37" s="435"/>
      <c r="EU37" s="435"/>
      <c r="EV37" s="435"/>
      <c r="EW37" s="435"/>
      <c r="EX37" s="435"/>
      <c r="EY37" s="435"/>
      <c r="EZ37" s="435"/>
      <c r="FA37" s="435"/>
      <c r="FB37" s="435"/>
      <c r="FC37" s="435"/>
      <c r="FD37" s="435"/>
      <c r="FE37" s="435"/>
      <c r="FF37" s="435"/>
      <c r="FG37" s="435"/>
      <c r="FH37" s="435"/>
      <c r="FI37" s="435"/>
      <c r="FJ37" s="435"/>
      <c r="FK37" s="435"/>
      <c r="FL37" s="435"/>
      <c r="FM37" s="435"/>
      <c r="FN37" s="435"/>
      <c r="FO37" s="435"/>
      <c r="FP37" s="435"/>
      <c r="FQ37" s="435"/>
      <c r="FR37" s="435"/>
      <c r="FS37" s="435"/>
      <c r="FT37" s="435"/>
      <c r="FU37" s="435"/>
      <c r="FV37" s="435"/>
      <c r="FW37" s="435"/>
      <c r="FX37" s="435"/>
      <c r="FY37" s="435"/>
      <c r="FZ37" s="435"/>
      <c r="GA37" s="435"/>
      <c r="GB37" s="435"/>
      <c r="GC37" s="435"/>
      <c r="GD37" s="435"/>
      <c r="GE37" s="435"/>
      <c r="GF37" s="435"/>
      <c r="GG37" s="435"/>
      <c r="GH37" s="435"/>
      <c r="GI37" s="435"/>
      <c r="GJ37" s="435"/>
      <c r="GK37" s="435"/>
      <c r="GL37" s="435"/>
      <c r="GM37" s="435"/>
      <c r="GN37" s="435"/>
      <c r="GO37" s="435"/>
      <c r="GP37" s="435"/>
      <c r="GQ37" s="435"/>
      <c r="GR37" s="435"/>
      <c r="GS37" s="435"/>
      <c r="GT37" s="435"/>
      <c r="GU37" s="435"/>
      <c r="GV37" s="435"/>
      <c r="GW37" s="435"/>
      <c r="GX37" s="435"/>
      <c r="GY37" s="435"/>
      <c r="GZ37" s="435"/>
      <c r="HA37" s="435"/>
      <c r="HB37" s="435"/>
      <c r="HC37" s="435"/>
      <c r="HD37" s="435"/>
      <c r="HE37" s="435"/>
      <c r="HF37" s="435"/>
      <c r="HG37" s="435"/>
      <c r="HH37" s="435"/>
      <c r="HI37" s="435"/>
      <c r="HJ37" s="435"/>
      <c r="HK37" s="435"/>
      <c r="HL37" s="435"/>
      <c r="HM37" s="435"/>
      <c r="HN37" s="435"/>
      <c r="HO37" s="435"/>
      <c r="HP37" s="435"/>
      <c r="HQ37" s="435"/>
      <c r="HR37" s="435"/>
      <c r="HS37" s="435"/>
      <c r="HT37" s="435"/>
      <c r="HU37" s="435"/>
      <c r="HV37" s="435"/>
      <c r="HW37" s="435"/>
      <c r="HX37" s="435"/>
      <c r="HY37" s="435"/>
      <c r="HZ37" s="435"/>
      <c r="IA37" s="435"/>
      <c r="IB37" s="435"/>
      <c r="IC37" s="435"/>
      <c r="ID37" s="435"/>
      <c r="IE37" s="435"/>
      <c r="IF37" s="435"/>
      <c r="IG37" s="435"/>
      <c r="IH37" s="435"/>
      <c r="II37" s="435"/>
      <c r="IJ37" s="435"/>
      <c r="IK37" s="435"/>
      <c r="IL37" s="435"/>
      <c r="IM37" s="435"/>
      <c r="IN37" s="435"/>
      <c r="IO37" s="435"/>
      <c r="IP37" s="435"/>
      <c r="IQ37" s="435"/>
      <c r="IR37" s="435"/>
      <c r="IS37" s="435"/>
      <c r="IT37" s="435"/>
      <c r="IU37" s="435"/>
      <c r="IV37" s="435"/>
    </row>
    <row r="38" spans="1:256" s="765" customFormat="1" ht="22.5" customHeight="1">
      <c r="A38" s="778">
        <v>30</v>
      </c>
      <c r="B38" s="772"/>
      <c r="C38" s="480">
        <v>15</v>
      </c>
      <c r="D38" s="776" t="s">
        <v>555</v>
      </c>
      <c r="E38" s="447"/>
      <c r="F38" s="768"/>
      <c r="G38" s="448"/>
      <c r="H38" s="1029" t="s">
        <v>24</v>
      </c>
      <c r="I38" s="1047"/>
      <c r="J38" s="1043"/>
      <c r="K38" s="1043"/>
      <c r="L38" s="1043"/>
      <c r="M38" s="1043"/>
      <c r="N38" s="1043"/>
      <c r="O38" s="1016"/>
      <c r="P38" s="769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  <c r="CA38" s="435"/>
      <c r="CB38" s="435"/>
      <c r="CC38" s="435"/>
      <c r="CD38" s="435"/>
      <c r="CE38" s="435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5"/>
      <c r="DE38" s="435"/>
      <c r="DF38" s="435"/>
      <c r="DG38" s="435"/>
      <c r="DH38" s="435"/>
      <c r="DI38" s="435"/>
      <c r="DJ38" s="435"/>
      <c r="DK38" s="435"/>
      <c r="DL38" s="435"/>
      <c r="DM38" s="435"/>
      <c r="DN38" s="435"/>
      <c r="DO38" s="435"/>
      <c r="DP38" s="435"/>
      <c r="DQ38" s="435"/>
      <c r="DR38" s="435"/>
      <c r="DS38" s="435"/>
      <c r="DT38" s="435"/>
      <c r="DU38" s="435"/>
      <c r="DV38" s="435"/>
      <c r="DW38" s="435"/>
      <c r="DX38" s="435"/>
      <c r="DY38" s="435"/>
      <c r="DZ38" s="435"/>
      <c r="EA38" s="435"/>
      <c r="EB38" s="435"/>
      <c r="EC38" s="435"/>
      <c r="ED38" s="435"/>
      <c r="EE38" s="435"/>
      <c r="EF38" s="435"/>
      <c r="EG38" s="435"/>
      <c r="EH38" s="435"/>
      <c r="EI38" s="435"/>
      <c r="EJ38" s="435"/>
      <c r="EK38" s="435"/>
      <c r="EL38" s="435"/>
      <c r="EM38" s="435"/>
      <c r="EN38" s="435"/>
      <c r="EO38" s="435"/>
      <c r="EP38" s="435"/>
      <c r="EQ38" s="435"/>
      <c r="ER38" s="435"/>
      <c r="ES38" s="435"/>
      <c r="ET38" s="435"/>
      <c r="EU38" s="435"/>
      <c r="EV38" s="435"/>
      <c r="EW38" s="435"/>
      <c r="EX38" s="435"/>
      <c r="EY38" s="435"/>
      <c r="EZ38" s="435"/>
      <c r="FA38" s="435"/>
      <c r="FB38" s="435"/>
      <c r="FC38" s="435"/>
      <c r="FD38" s="435"/>
      <c r="FE38" s="435"/>
      <c r="FF38" s="435"/>
      <c r="FG38" s="435"/>
      <c r="FH38" s="435"/>
      <c r="FI38" s="435"/>
      <c r="FJ38" s="435"/>
      <c r="FK38" s="435"/>
      <c r="FL38" s="435"/>
      <c r="FM38" s="435"/>
      <c r="FN38" s="435"/>
      <c r="FO38" s="435"/>
      <c r="FP38" s="435"/>
      <c r="FQ38" s="435"/>
      <c r="FR38" s="435"/>
      <c r="FS38" s="435"/>
      <c r="FT38" s="435"/>
      <c r="FU38" s="435"/>
      <c r="FV38" s="435"/>
      <c r="FW38" s="435"/>
      <c r="FX38" s="435"/>
      <c r="FY38" s="435"/>
      <c r="FZ38" s="435"/>
      <c r="GA38" s="435"/>
      <c r="GB38" s="435"/>
      <c r="GC38" s="435"/>
      <c r="GD38" s="435"/>
      <c r="GE38" s="435"/>
      <c r="GF38" s="435"/>
      <c r="GG38" s="435"/>
      <c r="GH38" s="435"/>
      <c r="GI38" s="435"/>
      <c r="GJ38" s="435"/>
      <c r="GK38" s="435"/>
      <c r="GL38" s="435"/>
      <c r="GM38" s="435"/>
      <c r="GN38" s="435"/>
      <c r="GO38" s="435"/>
      <c r="GP38" s="435"/>
      <c r="GQ38" s="435"/>
      <c r="GR38" s="435"/>
      <c r="GS38" s="435"/>
      <c r="GT38" s="435"/>
      <c r="GU38" s="435"/>
      <c r="GV38" s="435"/>
      <c r="GW38" s="435"/>
      <c r="GX38" s="435"/>
      <c r="GY38" s="435"/>
      <c r="GZ38" s="435"/>
      <c r="HA38" s="435"/>
      <c r="HB38" s="435"/>
      <c r="HC38" s="435"/>
      <c r="HD38" s="435"/>
      <c r="HE38" s="435"/>
      <c r="HF38" s="435"/>
      <c r="HG38" s="435"/>
      <c r="HH38" s="435"/>
      <c r="HI38" s="435"/>
      <c r="HJ38" s="435"/>
      <c r="HK38" s="435"/>
      <c r="HL38" s="435"/>
      <c r="HM38" s="435"/>
      <c r="HN38" s="435"/>
      <c r="HO38" s="435"/>
      <c r="HP38" s="435"/>
      <c r="HQ38" s="435"/>
      <c r="HR38" s="435"/>
      <c r="HS38" s="435"/>
      <c r="HT38" s="435"/>
      <c r="HU38" s="435"/>
      <c r="HV38" s="435"/>
      <c r="HW38" s="435"/>
      <c r="HX38" s="435"/>
      <c r="HY38" s="435"/>
      <c r="HZ38" s="435"/>
      <c r="IA38" s="435"/>
      <c r="IB38" s="435"/>
      <c r="IC38" s="435"/>
      <c r="ID38" s="435"/>
      <c r="IE38" s="435"/>
      <c r="IF38" s="435"/>
      <c r="IG38" s="435"/>
      <c r="IH38" s="435"/>
      <c r="II38" s="435"/>
      <c r="IJ38" s="435"/>
      <c r="IK38" s="435"/>
      <c r="IL38" s="435"/>
      <c r="IM38" s="435"/>
      <c r="IN38" s="435"/>
      <c r="IO38" s="435"/>
      <c r="IP38" s="435"/>
      <c r="IQ38" s="435"/>
      <c r="IR38" s="435"/>
      <c r="IS38" s="435"/>
      <c r="IT38" s="435"/>
      <c r="IU38" s="435"/>
      <c r="IV38" s="435"/>
    </row>
    <row r="39" spans="1:256" s="765" customFormat="1" ht="18" customHeight="1">
      <c r="A39" s="778">
        <v>31</v>
      </c>
      <c r="B39" s="772"/>
      <c r="C39" s="437"/>
      <c r="D39" s="1024" t="s">
        <v>293</v>
      </c>
      <c r="E39" s="447">
        <f>F39+G39+O39+P39</f>
        <v>5521</v>
      </c>
      <c r="F39" s="768"/>
      <c r="G39" s="448"/>
      <c r="H39" s="1029"/>
      <c r="I39" s="1047"/>
      <c r="J39" s="1043"/>
      <c r="K39" s="1043">
        <v>79</v>
      </c>
      <c r="L39" s="1043"/>
      <c r="M39" s="1043">
        <v>5442</v>
      </c>
      <c r="N39" s="1043"/>
      <c r="O39" s="1016">
        <f>SUM(I39:N39)</f>
        <v>5521</v>
      </c>
      <c r="P39" s="769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5"/>
      <c r="DL39" s="435"/>
      <c r="DM39" s="435"/>
      <c r="DN39" s="435"/>
      <c r="DO39" s="435"/>
      <c r="DP39" s="435"/>
      <c r="DQ39" s="435"/>
      <c r="DR39" s="435"/>
      <c r="DS39" s="435"/>
      <c r="DT39" s="435"/>
      <c r="DU39" s="435"/>
      <c r="DV39" s="435"/>
      <c r="DW39" s="435"/>
      <c r="DX39" s="435"/>
      <c r="DY39" s="435"/>
      <c r="DZ39" s="435"/>
      <c r="EA39" s="435"/>
      <c r="EB39" s="435"/>
      <c r="EC39" s="435"/>
      <c r="ED39" s="435"/>
      <c r="EE39" s="435"/>
      <c r="EF39" s="435"/>
      <c r="EG39" s="435"/>
      <c r="EH39" s="435"/>
      <c r="EI39" s="435"/>
      <c r="EJ39" s="435"/>
      <c r="EK39" s="435"/>
      <c r="EL39" s="435"/>
      <c r="EM39" s="435"/>
      <c r="EN39" s="435"/>
      <c r="EO39" s="435"/>
      <c r="EP39" s="435"/>
      <c r="EQ39" s="435"/>
      <c r="ER39" s="435"/>
      <c r="ES39" s="435"/>
      <c r="ET39" s="435"/>
      <c r="EU39" s="435"/>
      <c r="EV39" s="435"/>
      <c r="EW39" s="435"/>
      <c r="EX39" s="435"/>
      <c r="EY39" s="435"/>
      <c r="EZ39" s="435"/>
      <c r="FA39" s="435"/>
      <c r="FB39" s="435"/>
      <c r="FC39" s="435"/>
      <c r="FD39" s="435"/>
      <c r="FE39" s="435"/>
      <c r="FF39" s="435"/>
      <c r="FG39" s="435"/>
      <c r="FH39" s="435"/>
      <c r="FI39" s="435"/>
      <c r="FJ39" s="435"/>
      <c r="FK39" s="435"/>
      <c r="FL39" s="435"/>
      <c r="FM39" s="435"/>
      <c r="FN39" s="435"/>
      <c r="FO39" s="435"/>
      <c r="FP39" s="435"/>
      <c r="FQ39" s="435"/>
      <c r="FR39" s="435"/>
      <c r="FS39" s="435"/>
      <c r="FT39" s="435"/>
      <c r="FU39" s="435"/>
      <c r="FV39" s="435"/>
      <c r="FW39" s="435"/>
      <c r="FX39" s="435"/>
      <c r="FY39" s="435"/>
      <c r="FZ39" s="435"/>
      <c r="GA39" s="435"/>
      <c r="GB39" s="435"/>
      <c r="GC39" s="435"/>
      <c r="GD39" s="435"/>
      <c r="GE39" s="435"/>
      <c r="GF39" s="435"/>
      <c r="GG39" s="435"/>
      <c r="GH39" s="435"/>
      <c r="GI39" s="435"/>
      <c r="GJ39" s="435"/>
      <c r="GK39" s="435"/>
      <c r="GL39" s="435"/>
      <c r="GM39" s="435"/>
      <c r="GN39" s="435"/>
      <c r="GO39" s="435"/>
      <c r="GP39" s="435"/>
      <c r="GQ39" s="435"/>
      <c r="GR39" s="435"/>
      <c r="GS39" s="435"/>
      <c r="GT39" s="435"/>
      <c r="GU39" s="435"/>
      <c r="GV39" s="435"/>
      <c r="GW39" s="435"/>
      <c r="GX39" s="435"/>
      <c r="GY39" s="435"/>
      <c r="GZ39" s="435"/>
      <c r="HA39" s="435"/>
      <c r="HB39" s="435"/>
      <c r="HC39" s="435"/>
      <c r="HD39" s="435"/>
      <c r="HE39" s="435"/>
      <c r="HF39" s="435"/>
      <c r="HG39" s="435"/>
      <c r="HH39" s="435"/>
      <c r="HI39" s="435"/>
      <c r="HJ39" s="435"/>
      <c r="HK39" s="435"/>
      <c r="HL39" s="435"/>
      <c r="HM39" s="435"/>
      <c r="HN39" s="435"/>
      <c r="HO39" s="435"/>
      <c r="HP39" s="435"/>
      <c r="HQ39" s="435"/>
      <c r="HR39" s="435"/>
      <c r="HS39" s="435"/>
      <c r="HT39" s="435"/>
      <c r="HU39" s="435"/>
      <c r="HV39" s="435"/>
      <c r="HW39" s="435"/>
      <c r="HX39" s="435"/>
      <c r="HY39" s="435"/>
      <c r="HZ39" s="435"/>
      <c r="IA39" s="435"/>
      <c r="IB39" s="435"/>
      <c r="IC39" s="435"/>
      <c r="ID39" s="435"/>
      <c r="IE39" s="435"/>
      <c r="IF39" s="435"/>
      <c r="IG39" s="435"/>
      <c r="IH39" s="435"/>
      <c r="II39" s="435"/>
      <c r="IJ39" s="435"/>
      <c r="IK39" s="435"/>
      <c r="IL39" s="435"/>
      <c r="IM39" s="435"/>
      <c r="IN39" s="435"/>
      <c r="IO39" s="435"/>
      <c r="IP39" s="435"/>
      <c r="IQ39" s="435"/>
      <c r="IR39" s="435"/>
      <c r="IS39" s="435"/>
      <c r="IT39" s="435"/>
      <c r="IU39" s="435"/>
      <c r="IV39" s="435"/>
    </row>
    <row r="40" spans="1:256" s="765" customFormat="1" ht="22.5" customHeight="1">
      <c r="A40" s="778">
        <v>32</v>
      </c>
      <c r="B40" s="772"/>
      <c r="C40" s="480">
        <v>16</v>
      </c>
      <c r="D40" s="776" t="s">
        <v>755</v>
      </c>
      <c r="E40" s="447"/>
      <c r="F40" s="768"/>
      <c r="G40" s="448"/>
      <c r="H40" s="1029" t="s">
        <v>24</v>
      </c>
      <c r="I40" s="1047"/>
      <c r="J40" s="1043"/>
      <c r="K40" s="1043"/>
      <c r="L40" s="1043"/>
      <c r="M40" s="1043"/>
      <c r="N40" s="1043"/>
      <c r="O40" s="1016"/>
      <c r="P40" s="769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5"/>
      <c r="BT40" s="435"/>
      <c r="BU40" s="435"/>
      <c r="BV40" s="435"/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5"/>
      <c r="CH40" s="435"/>
      <c r="CI40" s="435"/>
      <c r="CJ40" s="435"/>
      <c r="CK40" s="435"/>
      <c r="CL40" s="435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5"/>
      <c r="DE40" s="435"/>
      <c r="DF40" s="435"/>
      <c r="DG40" s="435"/>
      <c r="DH40" s="435"/>
      <c r="DI40" s="435"/>
      <c r="DJ40" s="435"/>
      <c r="DK40" s="435"/>
      <c r="DL40" s="435"/>
      <c r="DM40" s="435"/>
      <c r="DN40" s="435"/>
      <c r="DO40" s="435"/>
      <c r="DP40" s="435"/>
      <c r="DQ40" s="435"/>
      <c r="DR40" s="435"/>
      <c r="DS40" s="435"/>
      <c r="DT40" s="435"/>
      <c r="DU40" s="435"/>
      <c r="DV40" s="435"/>
      <c r="DW40" s="435"/>
      <c r="DX40" s="435"/>
      <c r="DY40" s="435"/>
      <c r="DZ40" s="435"/>
      <c r="EA40" s="435"/>
      <c r="EB40" s="435"/>
      <c r="EC40" s="435"/>
      <c r="ED40" s="435"/>
      <c r="EE40" s="435"/>
      <c r="EF40" s="435"/>
      <c r="EG40" s="435"/>
      <c r="EH40" s="435"/>
      <c r="EI40" s="435"/>
      <c r="EJ40" s="435"/>
      <c r="EK40" s="435"/>
      <c r="EL40" s="435"/>
      <c r="EM40" s="435"/>
      <c r="EN40" s="435"/>
      <c r="EO40" s="435"/>
      <c r="EP40" s="435"/>
      <c r="EQ40" s="435"/>
      <c r="ER40" s="435"/>
      <c r="ES40" s="435"/>
      <c r="ET40" s="435"/>
      <c r="EU40" s="435"/>
      <c r="EV40" s="435"/>
      <c r="EW40" s="435"/>
      <c r="EX40" s="435"/>
      <c r="EY40" s="435"/>
      <c r="EZ40" s="435"/>
      <c r="FA40" s="435"/>
      <c r="FB40" s="435"/>
      <c r="FC40" s="435"/>
      <c r="FD40" s="435"/>
      <c r="FE40" s="435"/>
      <c r="FF40" s="435"/>
      <c r="FG40" s="435"/>
      <c r="FH40" s="435"/>
      <c r="FI40" s="435"/>
      <c r="FJ40" s="435"/>
      <c r="FK40" s="435"/>
      <c r="FL40" s="435"/>
      <c r="FM40" s="435"/>
      <c r="FN40" s="435"/>
      <c r="FO40" s="435"/>
      <c r="FP40" s="435"/>
      <c r="FQ40" s="435"/>
      <c r="FR40" s="435"/>
      <c r="FS40" s="435"/>
      <c r="FT40" s="435"/>
      <c r="FU40" s="435"/>
      <c r="FV40" s="435"/>
      <c r="FW40" s="435"/>
      <c r="FX40" s="435"/>
      <c r="FY40" s="435"/>
      <c r="FZ40" s="435"/>
      <c r="GA40" s="435"/>
      <c r="GB40" s="435"/>
      <c r="GC40" s="435"/>
      <c r="GD40" s="435"/>
      <c r="GE40" s="435"/>
      <c r="GF40" s="435"/>
      <c r="GG40" s="435"/>
      <c r="GH40" s="435"/>
      <c r="GI40" s="435"/>
      <c r="GJ40" s="435"/>
      <c r="GK40" s="435"/>
      <c r="GL40" s="435"/>
      <c r="GM40" s="435"/>
      <c r="GN40" s="435"/>
      <c r="GO40" s="435"/>
      <c r="GP40" s="435"/>
      <c r="GQ40" s="435"/>
      <c r="GR40" s="435"/>
      <c r="GS40" s="435"/>
      <c r="GT40" s="435"/>
      <c r="GU40" s="435"/>
      <c r="GV40" s="435"/>
      <c r="GW40" s="435"/>
      <c r="GX40" s="435"/>
      <c r="GY40" s="435"/>
      <c r="GZ40" s="435"/>
      <c r="HA40" s="435"/>
      <c r="HB40" s="435"/>
      <c r="HC40" s="435"/>
      <c r="HD40" s="435"/>
      <c r="HE40" s="435"/>
      <c r="HF40" s="435"/>
      <c r="HG40" s="435"/>
      <c r="HH40" s="435"/>
      <c r="HI40" s="435"/>
      <c r="HJ40" s="435"/>
      <c r="HK40" s="435"/>
      <c r="HL40" s="435"/>
      <c r="HM40" s="435"/>
      <c r="HN40" s="435"/>
      <c r="HO40" s="435"/>
      <c r="HP40" s="435"/>
      <c r="HQ40" s="435"/>
      <c r="HR40" s="435"/>
      <c r="HS40" s="435"/>
      <c r="HT40" s="435"/>
      <c r="HU40" s="435"/>
      <c r="HV40" s="435"/>
      <c r="HW40" s="435"/>
      <c r="HX40" s="435"/>
      <c r="HY40" s="435"/>
      <c r="HZ40" s="435"/>
      <c r="IA40" s="435"/>
      <c r="IB40" s="435"/>
      <c r="IC40" s="435"/>
      <c r="ID40" s="435"/>
      <c r="IE40" s="435"/>
      <c r="IF40" s="435"/>
      <c r="IG40" s="435"/>
      <c r="IH40" s="435"/>
      <c r="II40" s="435"/>
      <c r="IJ40" s="435"/>
      <c r="IK40" s="435"/>
      <c r="IL40" s="435"/>
      <c r="IM40" s="435"/>
      <c r="IN40" s="435"/>
      <c r="IO40" s="435"/>
      <c r="IP40" s="435"/>
      <c r="IQ40" s="435"/>
      <c r="IR40" s="435"/>
      <c r="IS40" s="435"/>
      <c r="IT40" s="435"/>
      <c r="IU40" s="435"/>
      <c r="IV40" s="435"/>
    </row>
    <row r="41" spans="1:256" s="765" customFormat="1" ht="18" customHeight="1" thickBot="1">
      <c r="A41" s="778">
        <v>33</v>
      </c>
      <c r="B41" s="772"/>
      <c r="C41" s="437"/>
      <c r="D41" s="1024" t="s">
        <v>293</v>
      </c>
      <c r="E41" s="447">
        <f>F41+G41+O41+P41</f>
        <v>18903</v>
      </c>
      <c r="F41" s="768"/>
      <c r="G41" s="448"/>
      <c r="H41" s="1029"/>
      <c r="I41" s="1047"/>
      <c r="J41" s="1043"/>
      <c r="K41" s="1043">
        <v>18903</v>
      </c>
      <c r="L41" s="1043"/>
      <c r="M41" s="1043"/>
      <c r="N41" s="1043"/>
      <c r="O41" s="1016">
        <f>SUM(I41:N41)</f>
        <v>18903</v>
      </c>
      <c r="P41" s="769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435"/>
      <c r="CA41" s="435"/>
      <c r="CB41" s="435"/>
      <c r="CC41" s="435"/>
      <c r="CD41" s="435"/>
      <c r="CE41" s="435"/>
      <c r="CF41" s="435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  <c r="FG41" s="435"/>
      <c r="FH41" s="435"/>
      <c r="FI41" s="435"/>
      <c r="FJ41" s="435"/>
      <c r="FK41" s="435"/>
      <c r="FL41" s="435"/>
      <c r="FM41" s="435"/>
      <c r="FN41" s="435"/>
      <c r="FO41" s="435"/>
      <c r="FP41" s="435"/>
      <c r="FQ41" s="435"/>
      <c r="FR41" s="435"/>
      <c r="FS41" s="435"/>
      <c r="FT41" s="435"/>
      <c r="FU41" s="435"/>
      <c r="FV41" s="435"/>
      <c r="FW41" s="435"/>
      <c r="FX41" s="435"/>
      <c r="FY41" s="435"/>
      <c r="FZ41" s="435"/>
      <c r="GA41" s="435"/>
      <c r="GB41" s="435"/>
      <c r="GC41" s="435"/>
      <c r="GD41" s="435"/>
      <c r="GE41" s="435"/>
      <c r="GF41" s="435"/>
      <c r="GG41" s="435"/>
      <c r="GH41" s="435"/>
      <c r="GI41" s="435"/>
      <c r="GJ41" s="435"/>
      <c r="GK41" s="435"/>
      <c r="GL41" s="435"/>
      <c r="GM41" s="435"/>
      <c r="GN41" s="435"/>
      <c r="GO41" s="435"/>
      <c r="GP41" s="435"/>
      <c r="GQ41" s="435"/>
      <c r="GR41" s="435"/>
      <c r="GS41" s="435"/>
      <c r="GT41" s="435"/>
      <c r="GU41" s="435"/>
      <c r="GV41" s="435"/>
      <c r="GW41" s="435"/>
      <c r="GX41" s="435"/>
      <c r="GY41" s="435"/>
      <c r="GZ41" s="435"/>
      <c r="HA41" s="435"/>
      <c r="HB41" s="435"/>
      <c r="HC41" s="435"/>
      <c r="HD41" s="435"/>
      <c r="HE41" s="435"/>
      <c r="HF41" s="435"/>
      <c r="HG41" s="435"/>
      <c r="HH41" s="435"/>
      <c r="HI41" s="435"/>
      <c r="HJ41" s="435"/>
      <c r="HK41" s="435"/>
      <c r="HL41" s="435"/>
      <c r="HM41" s="435"/>
      <c r="HN41" s="435"/>
      <c r="HO41" s="435"/>
      <c r="HP41" s="435"/>
      <c r="HQ41" s="435"/>
      <c r="HR41" s="435"/>
      <c r="HS41" s="435"/>
      <c r="HT41" s="435"/>
      <c r="HU41" s="435"/>
      <c r="HV41" s="435"/>
      <c r="HW41" s="435"/>
      <c r="HX41" s="435"/>
      <c r="HY41" s="435"/>
      <c r="HZ41" s="435"/>
      <c r="IA41" s="435"/>
      <c r="IB41" s="435"/>
      <c r="IC41" s="435"/>
      <c r="ID41" s="435"/>
      <c r="IE41" s="435"/>
      <c r="IF41" s="435"/>
      <c r="IG41" s="435"/>
      <c r="IH41" s="435"/>
      <c r="II41" s="435"/>
      <c r="IJ41" s="435"/>
      <c r="IK41" s="435"/>
      <c r="IL41" s="435"/>
      <c r="IM41" s="435"/>
      <c r="IN41" s="435"/>
      <c r="IO41" s="435"/>
      <c r="IP41" s="435"/>
      <c r="IQ41" s="435"/>
      <c r="IR41" s="435"/>
      <c r="IS41" s="435"/>
      <c r="IT41" s="435"/>
      <c r="IU41" s="435"/>
      <c r="IV41" s="435"/>
    </row>
    <row r="42" spans="1:16" s="440" customFormat="1" ht="36" customHeight="1" thickBot="1">
      <c r="A42" s="778">
        <v>34</v>
      </c>
      <c r="B42" s="1778" t="s">
        <v>13</v>
      </c>
      <c r="C42" s="1779"/>
      <c r="D42" s="1779"/>
      <c r="E42" s="1779"/>
      <c r="F42" s="1779"/>
      <c r="G42" s="1780"/>
      <c r="H42" s="1079"/>
      <c r="I42" s="1075">
        <f>I27+I25+I23+I21+I19+I17+I15+I13+I11+I31+I39+I41+I29+I37+I35+I33</f>
        <v>0</v>
      </c>
      <c r="J42" s="1075">
        <f aca="true" t="shared" si="0" ref="J42:O42">J27+J25+J23+J21+J19+J17+J15+J13+J11+J31+J39+J41+J29+J37+J35+J33</f>
        <v>0</v>
      </c>
      <c r="K42" s="1075">
        <f t="shared" si="0"/>
        <v>209396</v>
      </c>
      <c r="L42" s="1075">
        <f t="shared" si="0"/>
        <v>0</v>
      </c>
      <c r="M42" s="1075">
        <f t="shared" si="0"/>
        <v>16186034</v>
      </c>
      <c r="N42" s="1075">
        <f t="shared" si="0"/>
        <v>40493</v>
      </c>
      <c r="O42" s="1075">
        <f t="shared" si="0"/>
        <v>16435923</v>
      </c>
      <c r="P42" s="1076">
        <f>SUM(P10:P41)</f>
        <v>12880287</v>
      </c>
    </row>
    <row r="43" spans="2:15" ht="18" customHeight="1">
      <c r="B43" s="770" t="s">
        <v>27</v>
      </c>
      <c r="C43" s="771"/>
      <c r="D43" s="770"/>
      <c r="E43" s="449"/>
      <c r="F43" s="450"/>
      <c r="G43" s="449"/>
      <c r="H43" s="758"/>
      <c r="I43" s="449"/>
      <c r="J43" s="449"/>
      <c r="K43" s="449"/>
      <c r="L43" s="449"/>
      <c r="M43" s="449"/>
      <c r="N43" s="449"/>
      <c r="O43" s="780"/>
    </row>
    <row r="44" spans="2:15" ht="18" customHeight="1">
      <c r="B44" s="770" t="s">
        <v>28</v>
      </c>
      <c r="C44" s="771"/>
      <c r="D44" s="770"/>
      <c r="E44" s="642"/>
      <c r="F44" s="450"/>
      <c r="G44" s="449"/>
      <c r="H44" s="758"/>
      <c r="I44" s="449"/>
      <c r="J44" s="449"/>
      <c r="K44" s="449"/>
      <c r="L44" s="449"/>
      <c r="M44" s="449"/>
      <c r="N44" s="449"/>
      <c r="O44" s="780"/>
    </row>
    <row r="45" spans="2:15" ht="18" customHeight="1">
      <c r="B45" s="770" t="s">
        <v>29</v>
      </c>
      <c r="C45" s="771"/>
      <c r="D45" s="770"/>
      <c r="E45" s="642"/>
      <c r="F45" s="450"/>
      <c r="G45" s="449"/>
      <c r="H45" s="758"/>
      <c r="I45" s="449"/>
      <c r="J45" s="449"/>
      <c r="K45" s="449"/>
      <c r="L45" s="449"/>
      <c r="M45" s="449"/>
      <c r="N45" s="449"/>
      <c r="O45" s="780"/>
    </row>
    <row r="46" spans="2:3" ht="17.25">
      <c r="B46" s="446" t="s">
        <v>637</v>
      </c>
      <c r="C46" s="446"/>
    </row>
  </sheetData>
  <sheetProtection/>
  <mergeCells count="18">
    <mergeCell ref="Q6:R6"/>
    <mergeCell ref="I7:L7"/>
    <mergeCell ref="M7:N7"/>
    <mergeCell ref="O7:O8"/>
    <mergeCell ref="B42:G42"/>
    <mergeCell ref="I6:O6"/>
    <mergeCell ref="P6:P8"/>
    <mergeCell ref="C6:C8"/>
    <mergeCell ref="D6:D8"/>
    <mergeCell ref="E6:E8"/>
    <mergeCell ref="F6:F8"/>
    <mergeCell ref="G6:G8"/>
    <mergeCell ref="H6:H8"/>
    <mergeCell ref="A1:D1"/>
    <mergeCell ref="I1:P1"/>
    <mergeCell ref="A2:P2"/>
    <mergeCell ref="A3:P3"/>
    <mergeCell ref="B6:B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view="pageBreakPreview" zoomScale="75" zoomScaleSheetLayoutView="75" zoomScalePageLayoutView="0" workbookViewId="0" topLeftCell="A28">
      <selection activeCell="L16" sqref="L16"/>
    </sheetView>
  </sheetViews>
  <sheetFormatPr defaultColWidth="9.00390625" defaultRowHeight="12.75"/>
  <cols>
    <col min="1" max="1" width="3.75390625" style="1450" customWidth="1"/>
    <col min="2" max="3" width="5.75390625" style="1590" customWidth="1"/>
    <col min="4" max="4" width="62.75390625" style="1449" customWidth="1"/>
    <col min="5" max="5" width="12.75390625" style="1586" customWidth="1"/>
    <col min="6" max="7" width="10.75390625" style="1586" customWidth="1"/>
    <col min="8" max="8" width="6.75390625" style="1588" customWidth="1"/>
    <col min="9" max="15" width="14.875" style="1586" customWidth="1"/>
    <col min="16" max="16" width="15.75390625" style="1589" customWidth="1"/>
    <col min="17" max="17" width="13.875" style="1586" customWidth="1"/>
    <col min="18" max="16384" width="9.125" style="1449" customWidth="1"/>
  </cols>
  <sheetData>
    <row r="1" spans="1:251" ht="18" customHeight="1">
      <c r="A1" s="1829" t="s">
        <v>950</v>
      </c>
      <c r="B1" s="1829"/>
      <c r="C1" s="1829"/>
      <c r="D1" s="1829"/>
      <c r="E1" s="1446"/>
      <c r="F1" s="1446"/>
      <c r="G1" s="1446"/>
      <c r="H1" s="1447"/>
      <c r="I1" s="1830"/>
      <c r="J1" s="1830"/>
      <c r="K1" s="1830"/>
      <c r="L1" s="1830"/>
      <c r="M1" s="1830"/>
      <c r="N1" s="1830"/>
      <c r="O1" s="1830"/>
      <c r="P1" s="1830"/>
      <c r="Q1" s="1830"/>
      <c r="R1" s="1448"/>
      <c r="S1" s="1448"/>
      <c r="T1" s="1448"/>
      <c r="U1" s="1448"/>
      <c r="V1" s="1448"/>
      <c r="W1" s="1448"/>
      <c r="X1" s="1448"/>
      <c r="Y1" s="1448"/>
      <c r="Z1" s="1448"/>
      <c r="AA1" s="1448"/>
      <c r="AB1" s="1448"/>
      <c r="AC1" s="1448"/>
      <c r="AD1" s="1448"/>
      <c r="AE1" s="1448"/>
      <c r="AF1" s="1448"/>
      <c r="AG1" s="1448"/>
      <c r="AH1" s="1448"/>
      <c r="AI1" s="1448"/>
      <c r="AJ1" s="1448"/>
      <c r="AK1" s="1448"/>
      <c r="AL1" s="1448"/>
      <c r="AM1" s="1448"/>
      <c r="AN1" s="1448"/>
      <c r="AO1" s="1448"/>
      <c r="AP1" s="1448"/>
      <c r="AQ1" s="1448"/>
      <c r="AR1" s="1448"/>
      <c r="AS1" s="1448"/>
      <c r="AT1" s="1448"/>
      <c r="AU1" s="1448"/>
      <c r="AV1" s="1448"/>
      <c r="AW1" s="1448"/>
      <c r="AX1" s="1448"/>
      <c r="AY1" s="1448"/>
      <c r="AZ1" s="1448"/>
      <c r="BA1" s="1448"/>
      <c r="BB1" s="1448"/>
      <c r="BC1" s="1448"/>
      <c r="BD1" s="1448"/>
      <c r="BE1" s="1448"/>
      <c r="BF1" s="1448"/>
      <c r="BG1" s="1448"/>
      <c r="BH1" s="1448"/>
      <c r="BI1" s="1448"/>
      <c r="BJ1" s="1448"/>
      <c r="BK1" s="1448"/>
      <c r="BL1" s="1448"/>
      <c r="BM1" s="1448"/>
      <c r="BN1" s="1448"/>
      <c r="BO1" s="1448"/>
      <c r="BP1" s="1448"/>
      <c r="BQ1" s="1448"/>
      <c r="BR1" s="1448"/>
      <c r="BS1" s="1448"/>
      <c r="BT1" s="1448"/>
      <c r="BU1" s="1448"/>
      <c r="BV1" s="1448"/>
      <c r="BW1" s="1448"/>
      <c r="BX1" s="1448"/>
      <c r="BY1" s="1448"/>
      <c r="BZ1" s="1448"/>
      <c r="CA1" s="1448"/>
      <c r="CB1" s="1448"/>
      <c r="CC1" s="1448"/>
      <c r="CD1" s="1448"/>
      <c r="CE1" s="1448"/>
      <c r="CF1" s="1448"/>
      <c r="CG1" s="1448"/>
      <c r="CH1" s="1448"/>
      <c r="CI1" s="1448"/>
      <c r="CJ1" s="1448"/>
      <c r="CK1" s="1448"/>
      <c r="CL1" s="1448"/>
      <c r="CM1" s="1448"/>
      <c r="CN1" s="1448"/>
      <c r="CO1" s="1448"/>
      <c r="CP1" s="1448"/>
      <c r="CQ1" s="1448"/>
      <c r="CR1" s="1448"/>
      <c r="CS1" s="1448"/>
      <c r="CT1" s="1448"/>
      <c r="CU1" s="1448"/>
      <c r="CV1" s="1448"/>
      <c r="CW1" s="1448"/>
      <c r="CX1" s="1448"/>
      <c r="CY1" s="1448"/>
      <c r="CZ1" s="1448"/>
      <c r="DA1" s="1448"/>
      <c r="DB1" s="1448"/>
      <c r="DC1" s="1448"/>
      <c r="DD1" s="1448"/>
      <c r="DE1" s="1448"/>
      <c r="DF1" s="1448"/>
      <c r="DG1" s="1448"/>
      <c r="DH1" s="1448"/>
      <c r="DI1" s="1448"/>
      <c r="DJ1" s="1448"/>
      <c r="DK1" s="1448"/>
      <c r="DL1" s="1448"/>
      <c r="DM1" s="1448"/>
      <c r="DN1" s="1448"/>
      <c r="DO1" s="1448"/>
      <c r="DP1" s="1448"/>
      <c r="DQ1" s="1448"/>
      <c r="DR1" s="1448"/>
      <c r="DS1" s="1448"/>
      <c r="DT1" s="1448"/>
      <c r="DU1" s="1448"/>
      <c r="DV1" s="1448"/>
      <c r="DW1" s="1448"/>
      <c r="DX1" s="1448"/>
      <c r="DY1" s="1448"/>
      <c r="DZ1" s="1448"/>
      <c r="EA1" s="1448"/>
      <c r="EB1" s="1448"/>
      <c r="EC1" s="1448"/>
      <c r="ED1" s="1448"/>
      <c r="EE1" s="1448"/>
      <c r="EF1" s="1448"/>
      <c r="EG1" s="1448"/>
      <c r="EH1" s="1448"/>
      <c r="EI1" s="1448"/>
      <c r="EJ1" s="1448"/>
      <c r="EK1" s="1448"/>
      <c r="EL1" s="1448"/>
      <c r="EM1" s="1448"/>
      <c r="EN1" s="1448"/>
      <c r="EO1" s="1448"/>
      <c r="EP1" s="1448"/>
      <c r="EQ1" s="1448"/>
      <c r="ER1" s="1448"/>
      <c r="ES1" s="1448"/>
      <c r="ET1" s="1448"/>
      <c r="EU1" s="1448"/>
      <c r="EV1" s="1448"/>
      <c r="EW1" s="1448"/>
      <c r="EX1" s="1448"/>
      <c r="EY1" s="1448"/>
      <c r="EZ1" s="1448"/>
      <c r="FA1" s="1448"/>
      <c r="FB1" s="1448"/>
      <c r="FC1" s="1448"/>
      <c r="FD1" s="1448"/>
      <c r="FE1" s="1448"/>
      <c r="FF1" s="1448"/>
      <c r="FG1" s="1448"/>
      <c r="FH1" s="1448"/>
      <c r="FI1" s="1448"/>
      <c r="FJ1" s="1448"/>
      <c r="FK1" s="1448"/>
      <c r="FL1" s="1448"/>
      <c r="FM1" s="1448"/>
      <c r="FN1" s="1448"/>
      <c r="FO1" s="1448"/>
      <c r="FP1" s="1448"/>
      <c r="FQ1" s="1448"/>
      <c r="FR1" s="1448"/>
      <c r="FS1" s="1448"/>
      <c r="FT1" s="1448"/>
      <c r="FU1" s="1448"/>
      <c r="FV1" s="1448"/>
      <c r="FW1" s="1448"/>
      <c r="FX1" s="1448"/>
      <c r="FY1" s="1448"/>
      <c r="FZ1" s="1448"/>
      <c r="GA1" s="1448"/>
      <c r="GB1" s="1448"/>
      <c r="GC1" s="1448"/>
      <c r="GD1" s="1448"/>
      <c r="GE1" s="1448"/>
      <c r="GF1" s="1448"/>
      <c r="GG1" s="1448"/>
      <c r="GH1" s="1448"/>
      <c r="GI1" s="1448"/>
      <c r="GJ1" s="1448"/>
      <c r="GK1" s="1448"/>
      <c r="GL1" s="1448"/>
      <c r="GM1" s="1448"/>
      <c r="GN1" s="1448"/>
      <c r="GO1" s="1448"/>
      <c r="GP1" s="1448"/>
      <c r="GQ1" s="1448"/>
      <c r="GR1" s="1448"/>
      <c r="GS1" s="1448"/>
      <c r="GT1" s="1448"/>
      <c r="GU1" s="1448"/>
      <c r="GV1" s="1448"/>
      <c r="GW1" s="1448"/>
      <c r="GX1" s="1448"/>
      <c r="GY1" s="1448"/>
      <c r="GZ1" s="1448"/>
      <c r="HA1" s="1448"/>
      <c r="HB1" s="1448"/>
      <c r="HC1" s="1448"/>
      <c r="HD1" s="1448"/>
      <c r="HE1" s="1448"/>
      <c r="HF1" s="1448"/>
      <c r="HG1" s="1448"/>
      <c r="HH1" s="1448"/>
      <c r="HI1" s="1448"/>
      <c r="HJ1" s="1448"/>
      <c r="HK1" s="1448"/>
      <c r="HL1" s="1448"/>
      <c r="HM1" s="1448"/>
      <c r="HN1" s="1448"/>
      <c r="HO1" s="1448"/>
      <c r="HP1" s="1448"/>
      <c r="HQ1" s="1448"/>
      <c r="HR1" s="1448"/>
      <c r="HS1" s="1448"/>
      <c r="HT1" s="1448"/>
      <c r="HU1" s="1448"/>
      <c r="HV1" s="1448"/>
      <c r="HW1" s="1448"/>
      <c r="HX1" s="1448"/>
      <c r="HY1" s="1448"/>
      <c r="HZ1" s="1448"/>
      <c r="IA1" s="1448"/>
      <c r="IB1" s="1448"/>
      <c r="IC1" s="1448"/>
      <c r="ID1" s="1448"/>
      <c r="IE1" s="1448"/>
      <c r="IF1" s="1448"/>
      <c r="IG1" s="1448"/>
      <c r="IH1" s="1448"/>
      <c r="II1" s="1448"/>
      <c r="IJ1" s="1448"/>
      <c r="IK1" s="1448"/>
      <c r="IL1" s="1448"/>
      <c r="IM1" s="1448"/>
      <c r="IN1" s="1448"/>
      <c r="IO1" s="1448"/>
      <c r="IP1" s="1448"/>
      <c r="IQ1" s="1448"/>
    </row>
    <row r="2" spans="1:17" ht="24.75" customHeight="1">
      <c r="A2" s="1831" t="s">
        <v>14</v>
      </c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</row>
    <row r="3" spans="1:17" ht="24.75" customHeight="1">
      <c r="A3" s="1832" t="s">
        <v>759</v>
      </c>
      <c r="B3" s="1832"/>
      <c r="C3" s="1832"/>
      <c r="D3" s="1832"/>
      <c r="E3" s="1832"/>
      <c r="F3" s="1832"/>
      <c r="G3" s="1832"/>
      <c r="H3" s="1832"/>
      <c r="I3" s="1832"/>
      <c r="J3" s="1832"/>
      <c r="K3" s="1832"/>
      <c r="L3" s="1832"/>
      <c r="M3" s="1832"/>
      <c r="N3" s="1832"/>
      <c r="O3" s="1832"/>
      <c r="P3" s="1832"/>
      <c r="Q3" s="1832"/>
    </row>
    <row r="4" spans="1:17" s="1451" customFormat="1" ht="18" customHeight="1">
      <c r="A4" s="1450"/>
      <c r="B4" s="1450"/>
      <c r="C4" s="1450"/>
      <c r="E4" s="1452"/>
      <c r="F4" s="1452"/>
      <c r="G4" s="1452"/>
      <c r="H4" s="1453"/>
      <c r="I4" s="1452"/>
      <c r="J4" s="1452"/>
      <c r="K4" s="1452"/>
      <c r="L4" s="1452"/>
      <c r="M4" s="1452"/>
      <c r="N4" s="1452"/>
      <c r="O4" s="1452"/>
      <c r="P4" s="1454"/>
      <c r="Q4" s="1455" t="s">
        <v>0</v>
      </c>
    </row>
    <row r="5" spans="1:251" s="1459" customFormat="1" ht="18" customHeight="1" thickBot="1">
      <c r="A5" s="1456"/>
      <c r="B5" s="1457" t="s">
        <v>1</v>
      </c>
      <c r="C5" s="1458" t="s">
        <v>3</v>
      </c>
      <c r="D5" s="1458" t="s">
        <v>2</v>
      </c>
      <c r="E5" s="1458" t="s">
        <v>4</v>
      </c>
      <c r="F5" s="1458" t="s">
        <v>5</v>
      </c>
      <c r="G5" s="1458" t="s">
        <v>15</v>
      </c>
      <c r="H5" s="1458" t="s">
        <v>16</v>
      </c>
      <c r="I5" s="1458" t="s">
        <v>17</v>
      </c>
      <c r="J5" s="1458" t="s">
        <v>34</v>
      </c>
      <c r="K5" s="1458" t="s">
        <v>30</v>
      </c>
      <c r="L5" s="1458" t="s">
        <v>23</v>
      </c>
      <c r="M5" s="1458" t="s">
        <v>35</v>
      </c>
      <c r="N5" s="1458" t="s">
        <v>36</v>
      </c>
      <c r="O5" s="1458" t="s">
        <v>151</v>
      </c>
      <c r="P5" s="1458" t="s">
        <v>152</v>
      </c>
      <c r="Q5" s="1458" t="s">
        <v>153</v>
      </c>
      <c r="R5" s="1456"/>
      <c r="S5" s="1456"/>
      <c r="T5" s="1456"/>
      <c r="U5" s="1456"/>
      <c r="V5" s="1456"/>
      <c r="W5" s="1456"/>
      <c r="X5" s="1456"/>
      <c r="Y5" s="1456"/>
      <c r="Z5" s="1456"/>
      <c r="AA5" s="1456"/>
      <c r="AB5" s="1456"/>
      <c r="AC5" s="1456"/>
      <c r="AD5" s="1456"/>
      <c r="AE5" s="1456"/>
      <c r="AF5" s="1456"/>
      <c r="AG5" s="1456"/>
      <c r="AH5" s="1456"/>
      <c r="AI5" s="1456"/>
      <c r="AJ5" s="1456"/>
      <c r="AK5" s="1456"/>
      <c r="AL5" s="1456"/>
      <c r="AM5" s="1456"/>
      <c r="AN5" s="1456"/>
      <c r="AO5" s="1456"/>
      <c r="AP5" s="1456"/>
      <c r="AQ5" s="1456"/>
      <c r="AR5" s="1456"/>
      <c r="AS5" s="1456"/>
      <c r="AT5" s="1456"/>
      <c r="AU5" s="1456"/>
      <c r="AV5" s="1456"/>
      <c r="AW5" s="1456"/>
      <c r="AX5" s="1456"/>
      <c r="AY5" s="1456"/>
      <c r="AZ5" s="1456"/>
      <c r="BA5" s="1456"/>
      <c r="BB5" s="1456"/>
      <c r="BC5" s="1456"/>
      <c r="BD5" s="1456"/>
      <c r="BE5" s="1456"/>
      <c r="BF5" s="1456"/>
      <c r="BG5" s="1456"/>
      <c r="BH5" s="1456"/>
      <c r="BI5" s="1456"/>
      <c r="BJ5" s="1456"/>
      <c r="BK5" s="1456"/>
      <c r="BL5" s="1456"/>
      <c r="BM5" s="1456"/>
      <c r="BN5" s="1456"/>
      <c r="BO5" s="1456"/>
      <c r="BP5" s="1456"/>
      <c r="BQ5" s="1456"/>
      <c r="BR5" s="1456"/>
      <c r="BS5" s="1456"/>
      <c r="BT5" s="1456"/>
      <c r="BU5" s="1456"/>
      <c r="BV5" s="1456"/>
      <c r="BW5" s="1456"/>
      <c r="BX5" s="1456"/>
      <c r="BY5" s="1456"/>
      <c r="BZ5" s="1456"/>
      <c r="CA5" s="1456"/>
      <c r="CB5" s="1456"/>
      <c r="CC5" s="1456"/>
      <c r="CD5" s="1456"/>
      <c r="CE5" s="1456"/>
      <c r="CF5" s="1456"/>
      <c r="CG5" s="1456"/>
      <c r="CH5" s="1456"/>
      <c r="CI5" s="1456"/>
      <c r="CJ5" s="1456"/>
      <c r="CK5" s="1456"/>
      <c r="CL5" s="1456"/>
      <c r="CM5" s="1456"/>
      <c r="CN5" s="1456"/>
      <c r="CO5" s="1456"/>
      <c r="CP5" s="1456"/>
      <c r="CQ5" s="1456"/>
      <c r="CR5" s="1456"/>
      <c r="CS5" s="1456"/>
      <c r="CT5" s="1456"/>
      <c r="CU5" s="1456"/>
      <c r="CV5" s="1456"/>
      <c r="CW5" s="1456"/>
      <c r="CX5" s="1456"/>
      <c r="CY5" s="1456"/>
      <c r="CZ5" s="1456"/>
      <c r="DA5" s="1456"/>
      <c r="DB5" s="1456"/>
      <c r="DC5" s="1456"/>
      <c r="DD5" s="1456"/>
      <c r="DE5" s="1456"/>
      <c r="DF5" s="1456"/>
      <c r="DG5" s="1456"/>
      <c r="DH5" s="1456"/>
      <c r="DI5" s="1456"/>
      <c r="DJ5" s="1456"/>
      <c r="DK5" s="1456"/>
      <c r="DL5" s="1456"/>
      <c r="DM5" s="1456"/>
      <c r="DN5" s="1456"/>
      <c r="DO5" s="1456"/>
      <c r="DP5" s="1456"/>
      <c r="DQ5" s="1456"/>
      <c r="DR5" s="1456"/>
      <c r="DS5" s="1456"/>
      <c r="DT5" s="1456"/>
      <c r="DU5" s="1456"/>
      <c r="DV5" s="1456"/>
      <c r="DW5" s="1456"/>
      <c r="DX5" s="1456"/>
      <c r="DY5" s="1456"/>
      <c r="DZ5" s="1456"/>
      <c r="EA5" s="1456"/>
      <c r="EB5" s="1456"/>
      <c r="EC5" s="1456"/>
      <c r="ED5" s="1456"/>
      <c r="EE5" s="1456"/>
      <c r="EF5" s="1456"/>
      <c r="EG5" s="1456"/>
      <c r="EH5" s="1456"/>
      <c r="EI5" s="1456"/>
      <c r="EJ5" s="1456"/>
      <c r="EK5" s="1456"/>
      <c r="EL5" s="1456"/>
      <c r="EM5" s="1456"/>
      <c r="EN5" s="1456"/>
      <c r="EO5" s="1456"/>
      <c r="EP5" s="1456"/>
      <c r="EQ5" s="1456"/>
      <c r="ER5" s="1456"/>
      <c r="ES5" s="1456"/>
      <c r="ET5" s="1456"/>
      <c r="EU5" s="1456"/>
      <c r="EV5" s="1456"/>
      <c r="EW5" s="1456"/>
      <c r="EX5" s="1456"/>
      <c r="EY5" s="1456"/>
      <c r="EZ5" s="1456"/>
      <c r="FA5" s="1456"/>
      <c r="FB5" s="1456"/>
      <c r="FC5" s="1456"/>
      <c r="FD5" s="1456"/>
      <c r="FE5" s="1456"/>
      <c r="FF5" s="1456"/>
      <c r="FG5" s="1456"/>
      <c r="FH5" s="1456"/>
      <c r="FI5" s="1456"/>
      <c r="FJ5" s="1456"/>
      <c r="FK5" s="1456"/>
      <c r="FL5" s="1456"/>
      <c r="FM5" s="1456"/>
      <c r="FN5" s="1456"/>
      <c r="FO5" s="1456"/>
      <c r="FP5" s="1456"/>
      <c r="FQ5" s="1456"/>
      <c r="FR5" s="1456"/>
      <c r="FS5" s="1456"/>
      <c r="FT5" s="1456"/>
      <c r="FU5" s="1456"/>
      <c r="FV5" s="1456"/>
      <c r="FW5" s="1456"/>
      <c r="FX5" s="1456"/>
      <c r="FY5" s="1456"/>
      <c r="FZ5" s="1456"/>
      <c r="GA5" s="1456"/>
      <c r="GB5" s="1456"/>
      <c r="GC5" s="1456"/>
      <c r="GD5" s="1456"/>
      <c r="GE5" s="1456"/>
      <c r="GF5" s="1456"/>
      <c r="GG5" s="1456"/>
      <c r="GH5" s="1456"/>
      <c r="GI5" s="1456"/>
      <c r="GJ5" s="1456"/>
      <c r="GK5" s="1456"/>
      <c r="GL5" s="1456"/>
      <c r="GM5" s="1456"/>
      <c r="GN5" s="1456"/>
      <c r="GO5" s="1456"/>
      <c r="GP5" s="1456"/>
      <c r="GQ5" s="1456"/>
      <c r="GR5" s="1456"/>
      <c r="GS5" s="1456"/>
      <c r="GT5" s="1456"/>
      <c r="GU5" s="1456"/>
      <c r="GV5" s="1456"/>
      <c r="GW5" s="1456"/>
      <c r="GX5" s="1456"/>
      <c r="GY5" s="1456"/>
      <c r="GZ5" s="1456"/>
      <c r="HA5" s="1456"/>
      <c r="HB5" s="1456"/>
      <c r="HC5" s="1456"/>
      <c r="HD5" s="1456"/>
      <c r="HE5" s="1456"/>
      <c r="HF5" s="1456"/>
      <c r="HG5" s="1456"/>
      <c r="HH5" s="1456"/>
      <c r="HI5" s="1456"/>
      <c r="HJ5" s="1456"/>
      <c r="HK5" s="1456"/>
      <c r="HL5" s="1456"/>
      <c r="HM5" s="1456"/>
      <c r="HN5" s="1456"/>
      <c r="HO5" s="1456"/>
      <c r="HP5" s="1456"/>
      <c r="HQ5" s="1456"/>
      <c r="HR5" s="1456"/>
      <c r="HS5" s="1456"/>
      <c r="HT5" s="1456"/>
      <c r="HU5" s="1456"/>
      <c r="HV5" s="1456"/>
      <c r="HW5" s="1456"/>
      <c r="HX5" s="1456"/>
      <c r="HY5" s="1456"/>
      <c r="HZ5" s="1456"/>
      <c r="IA5" s="1456"/>
      <c r="IB5" s="1456"/>
      <c r="IC5" s="1456"/>
      <c r="ID5" s="1456"/>
      <c r="IE5" s="1456"/>
      <c r="IF5" s="1456"/>
      <c r="IG5" s="1456"/>
      <c r="IH5" s="1456"/>
      <c r="II5" s="1456"/>
      <c r="IJ5" s="1456"/>
      <c r="IK5" s="1456"/>
      <c r="IL5" s="1456"/>
      <c r="IM5" s="1456"/>
      <c r="IN5" s="1456"/>
      <c r="IO5" s="1456"/>
      <c r="IP5" s="1456"/>
      <c r="IQ5" s="1456"/>
    </row>
    <row r="6" spans="2:19" ht="22.5" customHeight="1">
      <c r="B6" s="1833" t="s">
        <v>18</v>
      </c>
      <c r="C6" s="1836" t="s">
        <v>19</v>
      </c>
      <c r="D6" s="1839" t="s">
        <v>6</v>
      </c>
      <c r="E6" s="1817" t="s">
        <v>491</v>
      </c>
      <c r="F6" s="1817" t="s">
        <v>754</v>
      </c>
      <c r="G6" s="1844" t="s">
        <v>748</v>
      </c>
      <c r="H6" s="1813" t="s">
        <v>20</v>
      </c>
      <c r="I6" s="1816" t="s">
        <v>663</v>
      </c>
      <c r="J6" s="1817"/>
      <c r="K6" s="1817"/>
      <c r="L6" s="1817"/>
      <c r="M6" s="1817"/>
      <c r="N6" s="1817"/>
      <c r="O6" s="1817"/>
      <c r="P6" s="1818"/>
      <c r="Q6" s="1819" t="s">
        <v>746</v>
      </c>
      <c r="R6" s="1822"/>
      <c r="S6" s="1822"/>
    </row>
    <row r="7" spans="2:17" ht="33" customHeight="1">
      <c r="B7" s="1834"/>
      <c r="C7" s="1837"/>
      <c r="D7" s="1840"/>
      <c r="E7" s="1842"/>
      <c r="F7" s="1842"/>
      <c r="G7" s="1845"/>
      <c r="H7" s="1814"/>
      <c r="I7" s="1823" t="s">
        <v>493</v>
      </c>
      <c r="J7" s="1824"/>
      <c r="K7" s="1825"/>
      <c r="L7" s="1825"/>
      <c r="M7" s="1826" t="s">
        <v>154</v>
      </c>
      <c r="N7" s="1826"/>
      <c r="O7" s="1826"/>
      <c r="P7" s="1827" t="s">
        <v>120</v>
      </c>
      <c r="Q7" s="1820"/>
    </row>
    <row r="8" spans="2:17" ht="53.25" customHeight="1" thickBot="1">
      <c r="B8" s="1835"/>
      <c r="C8" s="1838"/>
      <c r="D8" s="1841"/>
      <c r="E8" s="1843"/>
      <c r="F8" s="1843"/>
      <c r="G8" s="1846"/>
      <c r="H8" s="1815"/>
      <c r="I8" s="1460" t="s">
        <v>38</v>
      </c>
      <c r="J8" s="1461" t="s">
        <v>488</v>
      </c>
      <c r="K8" s="1462" t="s">
        <v>40</v>
      </c>
      <c r="L8" s="1462" t="s">
        <v>490</v>
      </c>
      <c r="M8" s="1461" t="s">
        <v>220</v>
      </c>
      <c r="N8" s="1461" t="s">
        <v>221</v>
      </c>
      <c r="O8" s="1461" t="s">
        <v>155</v>
      </c>
      <c r="P8" s="1828"/>
      <c r="Q8" s="1821"/>
    </row>
    <row r="9" spans="1:256" s="1475" customFormat="1" ht="22.5" customHeight="1">
      <c r="A9" s="1463">
        <v>1</v>
      </c>
      <c r="B9" s="1464">
        <v>18</v>
      </c>
      <c r="C9" s="1465" t="s">
        <v>14</v>
      </c>
      <c r="D9" s="1466"/>
      <c r="E9" s="1467"/>
      <c r="F9" s="1468"/>
      <c r="G9" s="1469"/>
      <c r="H9" s="1470"/>
      <c r="I9" s="1471"/>
      <c r="J9" s="1472"/>
      <c r="K9" s="1472"/>
      <c r="L9" s="1472"/>
      <c r="M9" s="1472"/>
      <c r="N9" s="1472"/>
      <c r="O9" s="1472"/>
      <c r="P9" s="1473"/>
      <c r="Q9" s="1474"/>
      <c r="R9" s="1449"/>
      <c r="S9" s="1449"/>
      <c r="T9" s="1449"/>
      <c r="U9" s="1449"/>
      <c r="V9" s="1449"/>
      <c r="W9" s="1449"/>
      <c r="X9" s="1449"/>
      <c r="Y9" s="1449"/>
      <c r="Z9" s="1449"/>
      <c r="AA9" s="1449"/>
      <c r="AB9" s="1449"/>
      <c r="AC9" s="1449"/>
      <c r="AD9" s="1449"/>
      <c r="AE9" s="1449"/>
      <c r="AF9" s="1449"/>
      <c r="AG9" s="1449"/>
      <c r="AH9" s="1449"/>
      <c r="AI9" s="1449"/>
      <c r="AJ9" s="1449"/>
      <c r="AK9" s="1449"/>
      <c r="AL9" s="1449"/>
      <c r="AM9" s="1449"/>
      <c r="AN9" s="1449"/>
      <c r="AO9" s="1449"/>
      <c r="AP9" s="1449"/>
      <c r="AQ9" s="1449"/>
      <c r="AR9" s="1449"/>
      <c r="AS9" s="1449"/>
      <c r="AT9" s="1449"/>
      <c r="AU9" s="1449"/>
      <c r="AV9" s="1449"/>
      <c r="AW9" s="1449"/>
      <c r="AX9" s="1449"/>
      <c r="AY9" s="1449"/>
      <c r="AZ9" s="1449"/>
      <c r="BA9" s="1449"/>
      <c r="BB9" s="1449"/>
      <c r="BC9" s="1449"/>
      <c r="BD9" s="1449"/>
      <c r="BE9" s="1449"/>
      <c r="BF9" s="1449"/>
      <c r="BG9" s="1449"/>
      <c r="BH9" s="1449"/>
      <c r="BI9" s="1449"/>
      <c r="BJ9" s="1449"/>
      <c r="BK9" s="1449"/>
      <c r="BL9" s="1449"/>
      <c r="BM9" s="1449"/>
      <c r="BN9" s="1449"/>
      <c r="BO9" s="1449"/>
      <c r="BP9" s="1449"/>
      <c r="BQ9" s="1449"/>
      <c r="BR9" s="1449"/>
      <c r="BS9" s="1449"/>
      <c r="BT9" s="1449"/>
      <c r="BU9" s="1449"/>
      <c r="BV9" s="1449"/>
      <c r="BW9" s="1449"/>
      <c r="BX9" s="1449"/>
      <c r="BY9" s="1449"/>
      <c r="BZ9" s="1449"/>
      <c r="CA9" s="1449"/>
      <c r="CB9" s="1449"/>
      <c r="CC9" s="1449"/>
      <c r="CD9" s="1449"/>
      <c r="CE9" s="1449"/>
      <c r="CF9" s="1449"/>
      <c r="CG9" s="1449"/>
      <c r="CH9" s="1449"/>
      <c r="CI9" s="1449"/>
      <c r="CJ9" s="1449"/>
      <c r="CK9" s="1449"/>
      <c r="CL9" s="1449"/>
      <c r="CM9" s="1449"/>
      <c r="CN9" s="1449"/>
      <c r="CO9" s="1449"/>
      <c r="CP9" s="1449"/>
      <c r="CQ9" s="1449"/>
      <c r="CR9" s="1449"/>
      <c r="CS9" s="1449"/>
      <c r="CT9" s="1449"/>
      <c r="CU9" s="1449"/>
      <c r="CV9" s="1449"/>
      <c r="CW9" s="1449"/>
      <c r="CX9" s="1449"/>
      <c r="CY9" s="1449"/>
      <c r="CZ9" s="1449"/>
      <c r="DA9" s="1449"/>
      <c r="DB9" s="1449"/>
      <c r="DC9" s="1449"/>
      <c r="DD9" s="1449"/>
      <c r="DE9" s="1449"/>
      <c r="DF9" s="1449"/>
      <c r="DG9" s="1449"/>
      <c r="DH9" s="1449"/>
      <c r="DI9" s="1449"/>
      <c r="DJ9" s="1449"/>
      <c r="DK9" s="1449"/>
      <c r="DL9" s="1449"/>
      <c r="DM9" s="1449"/>
      <c r="DN9" s="1449"/>
      <c r="DO9" s="1449"/>
      <c r="DP9" s="1449"/>
      <c r="DQ9" s="1449"/>
      <c r="DR9" s="1449"/>
      <c r="DS9" s="1449"/>
      <c r="DT9" s="1449"/>
      <c r="DU9" s="1449"/>
      <c r="DV9" s="1449"/>
      <c r="DW9" s="1449"/>
      <c r="DX9" s="1449"/>
      <c r="DY9" s="1449"/>
      <c r="DZ9" s="1449"/>
      <c r="EA9" s="1449"/>
      <c r="EB9" s="1449"/>
      <c r="EC9" s="1449"/>
      <c r="ED9" s="1449"/>
      <c r="EE9" s="1449"/>
      <c r="EF9" s="1449"/>
      <c r="EG9" s="1449"/>
      <c r="EH9" s="1449"/>
      <c r="EI9" s="1449"/>
      <c r="EJ9" s="1449"/>
      <c r="EK9" s="1449"/>
      <c r="EL9" s="1449"/>
      <c r="EM9" s="1449"/>
      <c r="EN9" s="1449"/>
      <c r="EO9" s="1449"/>
      <c r="EP9" s="1449"/>
      <c r="EQ9" s="1449"/>
      <c r="ER9" s="1449"/>
      <c r="ES9" s="1449"/>
      <c r="ET9" s="1449"/>
      <c r="EU9" s="1449"/>
      <c r="EV9" s="1449"/>
      <c r="EW9" s="1449"/>
      <c r="EX9" s="1449"/>
      <c r="EY9" s="1449"/>
      <c r="EZ9" s="1449"/>
      <c r="FA9" s="1449"/>
      <c r="FB9" s="1449"/>
      <c r="FC9" s="1449"/>
      <c r="FD9" s="1449"/>
      <c r="FE9" s="1449"/>
      <c r="FF9" s="1449"/>
      <c r="FG9" s="1449"/>
      <c r="FH9" s="1449"/>
      <c r="FI9" s="1449"/>
      <c r="FJ9" s="1449"/>
      <c r="FK9" s="1449"/>
      <c r="FL9" s="1449"/>
      <c r="FM9" s="1449"/>
      <c r="FN9" s="1449"/>
      <c r="FO9" s="1449"/>
      <c r="FP9" s="1449"/>
      <c r="FQ9" s="1449"/>
      <c r="FR9" s="1449"/>
      <c r="FS9" s="1449"/>
      <c r="FT9" s="1449"/>
      <c r="FU9" s="1449"/>
      <c r="FV9" s="1449"/>
      <c r="FW9" s="1449"/>
      <c r="FX9" s="1449"/>
      <c r="FY9" s="1449"/>
      <c r="FZ9" s="1449"/>
      <c r="GA9" s="1449"/>
      <c r="GB9" s="1449"/>
      <c r="GC9" s="1449"/>
      <c r="GD9" s="1449"/>
      <c r="GE9" s="1449"/>
      <c r="GF9" s="1449"/>
      <c r="GG9" s="1449"/>
      <c r="GH9" s="1449"/>
      <c r="GI9" s="1449"/>
      <c r="GJ9" s="1449"/>
      <c r="GK9" s="1449"/>
      <c r="GL9" s="1449"/>
      <c r="GM9" s="1449"/>
      <c r="GN9" s="1449"/>
      <c r="GO9" s="1449"/>
      <c r="GP9" s="1449"/>
      <c r="GQ9" s="1449"/>
      <c r="GR9" s="1449"/>
      <c r="GS9" s="1449"/>
      <c r="GT9" s="1449"/>
      <c r="GU9" s="1449"/>
      <c r="GV9" s="1449"/>
      <c r="GW9" s="1449"/>
      <c r="GX9" s="1449"/>
      <c r="GY9" s="1449"/>
      <c r="GZ9" s="1449"/>
      <c r="HA9" s="1449"/>
      <c r="HB9" s="1449"/>
      <c r="HC9" s="1449"/>
      <c r="HD9" s="1449"/>
      <c r="HE9" s="1449"/>
      <c r="HF9" s="1449"/>
      <c r="HG9" s="1449"/>
      <c r="HH9" s="1449"/>
      <c r="HI9" s="1449"/>
      <c r="HJ9" s="1449"/>
      <c r="HK9" s="1449"/>
      <c r="HL9" s="1449"/>
      <c r="HM9" s="1449"/>
      <c r="HN9" s="1449"/>
      <c r="HO9" s="1449"/>
      <c r="HP9" s="1449"/>
      <c r="HQ9" s="1449"/>
      <c r="HR9" s="1449"/>
      <c r="HS9" s="1449"/>
      <c r="HT9" s="1449"/>
      <c r="HU9" s="1449"/>
      <c r="HV9" s="1449"/>
      <c r="HW9" s="1449"/>
      <c r="HX9" s="1449"/>
      <c r="HY9" s="1449"/>
      <c r="HZ9" s="1449"/>
      <c r="IA9" s="1449"/>
      <c r="IB9" s="1449"/>
      <c r="IC9" s="1449"/>
      <c r="ID9" s="1449"/>
      <c r="IE9" s="1449"/>
      <c r="IF9" s="1449"/>
      <c r="IG9" s="1449"/>
      <c r="IH9" s="1449"/>
      <c r="II9" s="1449"/>
      <c r="IJ9" s="1449"/>
      <c r="IK9" s="1449"/>
      <c r="IL9" s="1449"/>
      <c r="IM9" s="1449"/>
      <c r="IN9" s="1449"/>
      <c r="IO9" s="1449"/>
      <c r="IP9" s="1449"/>
      <c r="IQ9" s="1449"/>
      <c r="IR9" s="1449"/>
      <c r="IS9" s="1449"/>
      <c r="IT9" s="1449"/>
      <c r="IU9" s="1449"/>
      <c r="IV9" s="1449"/>
    </row>
    <row r="10" spans="1:256" s="1475" customFormat="1" ht="24.75" customHeight="1">
      <c r="A10" s="1463">
        <v>2</v>
      </c>
      <c r="B10" s="1464"/>
      <c r="C10" s="1476">
        <v>1</v>
      </c>
      <c r="D10" s="1477" t="s">
        <v>543</v>
      </c>
      <c r="E10" s="1467"/>
      <c r="F10" s="1468"/>
      <c r="G10" s="1469"/>
      <c r="H10" s="1470" t="s">
        <v>24</v>
      </c>
      <c r="I10" s="1478"/>
      <c r="J10" s="1478"/>
      <c r="K10" s="1478"/>
      <c r="L10" s="1478"/>
      <c r="M10" s="1478"/>
      <c r="N10" s="1478"/>
      <c r="O10" s="1478"/>
      <c r="P10" s="1479"/>
      <c r="Q10" s="1474"/>
      <c r="R10" s="1449"/>
      <c r="S10" s="1449"/>
      <c r="T10" s="1449"/>
      <c r="U10" s="1449"/>
      <c r="V10" s="1449"/>
      <c r="W10" s="1449"/>
      <c r="X10" s="1449"/>
      <c r="Y10" s="1449"/>
      <c r="Z10" s="1449"/>
      <c r="AA10" s="1449"/>
      <c r="AB10" s="1449"/>
      <c r="AC10" s="1449"/>
      <c r="AD10" s="1449"/>
      <c r="AE10" s="1449"/>
      <c r="AF10" s="1449"/>
      <c r="AG10" s="1449"/>
      <c r="AH10" s="1449"/>
      <c r="AI10" s="1449"/>
      <c r="AJ10" s="1449"/>
      <c r="AK10" s="1449"/>
      <c r="AL10" s="1449"/>
      <c r="AM10" s="1449"/>
      <c r="AN10" s="1449"/>
      <c r="AO10" s="1449"/>
      <c r="AP10" s="1449"/>
      <c r="AQ10" s="1449"/>
      <c r="AR10" s="1449"/>
      <c r="AS10" s="1449"/>
      <c r="AT10" s="1449"/>
      <c r="AU10" s="1449"/>
      <c r="AV10" s="1449"/>
      <c r="AW10" s="1449"/>
      <c r="AX10" s="1449"/>
      <c r="AY10" s="1449"/>
      <c r="AZ10" s="1449"/>
      <c r="BA10" s="1449"/>
      <c r="BB10" s="1449"/>
      <c r="BC10" s="1449"/>
      <c r="BD10" s="1449"/>
      <c r="BE10" s="1449"/>
      <c r="BF10" s="1449"/>
      <c r="BG10" s="1449"/>
      <c r="BH10" s="1449"/>
      <c r="BI10" s="1449"/>
      <c r="BJ10" s="1449"/>
      <c r="BK10" s="1449"/>
      <c r="BL10" s="1449"/>
      <c r="BM10" s="1449"/>
      <c r="BN10" s="1449"/>
      <c r="BO10" s="1449"/>
      <c r="BP10" s="1449"/>
      <c r="BQ10" s="1449"/>
      <c r="BR10" s="1449"/>
      <c r="BS10" s="1449"/>
      <c r="BT10" s="1449"/>
      <c r="BU10" s="1449"/>
      <c r="BV10" s="1449"/>
      <c r="BW10" s="1449"/>
      <c r="BX10" s="1449"/>
      <c r="BY10" s="1449"/>
      <c r="BZ10" s="1449"/>
      <c r="CA10" s="1449"/>
      <c r="CB10" s="1449"/>
      <c r="CC10" s="1449"/>
      <c r="CD10" s="1449"/>
      <c r="CE10" s="1449"/>
      <c r="CF10" s="1449"/>
      <c r="CG10" s="1449"/>
      <c r="CH10" s="1449"/>
      <c r="CI10" s="1449"/>
      <c r="CJ10" s="1449"/>
      <c r="CK10" s="1449"/>
      <c r="CL10" s="1449"/>
      <c r="CM10" s="1449"/>
      <c r="CN10" s="1449"/>
      <c r="CO10" s="1449"/>
      <c r="CP10" s="1449"/>
      <c r="CQ10" s="1449"/>
      <c r="CR10" s="1449"/>
      <c r="CS10" s="1449"/>
      <c r="CT10" s="1449"/>
      <c r="CU10" s="1449"/>
      <c r="CV10" s="1449"/>
      <c r="CW10" s="1449"/>
      <c r="CX10" s="1449"/>
      <c r="CY10" s="1449"/>
      <c r="CZ10" s="1449"/>
      <c r="DA10" s="1449"/>
      <c r="DB10" s="1449"/>
      <c r="DC10" s="1449"/>
      <c r="DD10" s="1449"/>
      <c r="DE10" s="1449"/>
      <c r="DF10" s="1449"/>
      <c r="DG10" s="1449"/>
      <c r="DH10" s="1449"/>
      <c r="DI10" s="1449"/>
      <c r="DJ10" s="1449"/>
      <c r="DK10" s="1449"/>
      <c r="DL10" s="1449"/>
      <c r="DM10" s="1449"/>
      <c r="DN10" s="1449"/>
      <c r="DO10" s="1449"/>
      <c r="DP10" s="1449"/>
      <c r="DQ10" s="1449"/>
      <c r="DR10" s="1449"/>
      <c r="DS10" s="1449"/>
      <c r="DT10" s="1449"/>
      <c r="DU10" s="1449"/>
      <c r="DV10" s="1449"/>
      <c r="DW10" s="1449"/>
      <c r="DX10" s="1449"/>
      <c r="DY10" s="1449"/>
      <c r="DZ10" s="1449"/>
      <c r="EA10" s="1449"/>
      <c r="EB10" s="1449"/>
      <c r="EC10" s="1449"/>
      <c r="ED10" s="1449"/>
      <c r="EE10" s="1449"/>
      <c r="EF10" s="1449"/>
      <c r="EG10" s="1449"/>
      <c r="EH10" s="1449"/>
      <c r="EI10" s="1449"/>
      <c r="EJ10" s="1449"/>
      <c r="EK10" s="1449"/>
      <c r="EL10" s="1449"/>
      <c r="EM10" s="1449"/>
      <c r="EN10" s="1449"/>
      <c r="EO10" s="1449"/>
      <c r="EP10" s="1449"/>
      <c r="EQ10" s="1449"/>
      <c r="ER10" s="1449"/>
      <c r="ES10" s="1449"/>
      <c r="ET10" s="1449"/>
      <c r="EU10" s="1449"/>
      <c r="EV10" s="1449"/>
      <c r="EW10" s="1449"/>
      <c r="EX10" s="1449"/>
      <c r="EY10" s="1449"/>
      <c r="EZ10" s="1449"/>
      <c r="FA10" s="1449"/>
      <c r="FB10" s="1449"/>
      <c r="FC10" s="1449"/>
      <c r="FD10" s="1449"/>
      <c r="FE10" s="1449"/>
      <c r="FF10" s="1449"/>
      <c r="FG10" s="1449"/>
      <c r="FH10" s="1449"/>
      <c r="FI10" s="1449"/>
      <c r="FJ10" s="1449"/>
      <c r="FK10" s="1449"/>
      <c r="FL10" s="1449"/>
      <c r="FM10" s="1449"/>
      <c r="FN10" s="1449"/>
      <c r="FO10" s="1449"/>
      <c r="FP10" s="1449"/>
      <c r="FQ10" s="1449"/>
      <c r="FR10" s="1449"/>
      <c r="FS10" s="1449"/>
      <c r="FT10" s="1449"/>
      <c r="FU10" s="1449"/>
      <c r="FV10" s="1449"/>
      <c r="FW10" s="1449"/>
      <c r="FX10" s="1449"/>
      <c r="FY10" s="1449"/>
      <c r="FZ10" s="1449"/>
      <c r="GA10" s="1449"/>
      <c r="GB10" s="1449"/>
      <c r="GC10" s="1449"/>
      <c r="GD10" s="1449"/>
      <c r="GE10" s="1449"/>
      <c r="GF10" s="1449"/>
      <c r="GG10" s="1449"/>
      <c r="GH10" s="1449"/>
      <c r="GI10" s="1449"/>
      <c r="GJ10" s="1449"/>
      <c r="GK10" s="1449"/>
      <c r="GL10" s="1449"/>
      <c r="GM10" s="1449"/>
      <c r="GN10" s="1449"/>
      <c r="GO10" s="1449"/>
      <c r="GP10" s="1449"/>
      <c r="GQ10" s="1449"/>
      <c r="GR10" s="1449"/>
      <c r="GS10" s="1449"/>
      <c r="GT10" s="1449"/>
      <c r="GU10" s="1449"/>
      <c r="GV10" s="1449"/>
      <c r="GW10" s="1449"/>
      <c r="GX10" s="1449"/>
      <c r="GY10" s="1449"/>
      <c r="GZ10" s="1449"/>
      <c r="HA10" s="1449"/>
      <c r="HB10" s="1449"/>
      <c r="HC10" s="1449"/>
      <c r="HD10" s="1449"/>
      <c r="HE10" s="1449"/>
      <c r="HF10" s="1449"/>
      <c r="HG10" s="1449"/>
      <c r="HH10" s="1449"/>
      <c r="HI10" s="1449"/>
      <c r="HJ10" s="1449"/>
      <c r="HK10" s="1449"/>
      <c r="HL10" s="1449"/>
      <c r="HM10" s="1449"/>
      <c r="HN10" s="1449"/>
      <c r="HO10" s="1449"/>
      <c r="HP10" s="1449"/>
      <c r="HQ10" s="1449"/>
      <c r="HR10" s="1449"/>
      <c r="HS10" s="1449"/>
      <c r="HT10" s="1449"/>
      <c r="HU10" s="1449"/>
      <c r="HV10" s="1449"/>
      <c r="HW10" s="1449"/>
      <c r="HX10" s="1449"/>
      <c r="HY10" s="1449"/>
      <c r="HZ10" s="1449"/>
      <c r="IA10" s="1449"/>
      <c r="IB10" s="1449"/>
      <c r="IC10" s="1449"/>
      <c r="ID10" s="1449"/>
      <c r="IE10" s="1449"/>
      <c r="IF10" s="1449"/>
      <c r="IG10" s="1449"/>
      <c r="IH10" s="1449"/>
      <c r="II10" s="1449"/>
      <c r="IJ10" s="1449"/>
      <c r="IK10" s="1449"/>
      <c r="IL10" s="1449"/>
      <c r="IM10" s="1449"/>
      <c r="IN10" s="1449"/>
      <c r="IO10" s="1449"/>
      <c r="IP10" s="1449"/>
      <c r="IQ10" s="1449"/>
      <c r="IR10" s="1449"/>
      <c r="IS10" s="1449"/>
      <c r="IT10" s="1449"/>
      <c r="IU10" s="1449"/>
      <c r="IV10" s="1449"/>
    </row>
    <row r="11" spans="1:256" s="1475" customFormat="1" ht="22.5" customHeight="1">
      <c r="A11" s="1463">
        <v>3</v>
      </c>
      <c r="B11" s="1480"/>
      <c r="C11" s="1481"/>
      <c r="D11" s="1482" t="s">
        <v>544</v>
      </c>
      <c r="E11" s="1483"/>
      <c r="F11" s="1484"/>
      <c r="G11" s="1485"/>
      <c r="H11" s="1486"/>
      <c r="I11" s="1487"/>
      <c r="J11" s="1478"/>
      <c r="K11" s="1478"/>
      <c r="L11" s="1478"/>
      <c r="M11" s="1478"/>
      <c r="N11" s="1478"/>
      <c r="O11" s="1478"/>
      <c r="P11" s="1479"/>
      <c r="Q11" s="1488"/>
      <c r="R11" s="1449"/>
      <c r="S11" s="1449"/>
      <c r="T11" s="1449"/>
      <c r="U11" s="1449"/>
      <c r="V11" s="1449"/>
      <c r="W11" s="1449"/>
      <c r="X11" s="1449"/>
      <c r="Y11" s="1449"/>
      <c r="Z11" s="1449"/>
      <c r="AA11" s="1449"/>
      <c r="AB11" s="1449"/>
      <c r="AC11" s="1449"/>
      <c r="AD11" s="1449"/>
      <c r="AE11" s="1449"/>
      <c r="AF11" s="1449"/>
      <c r="AG11" s="1449"/>
      <c r="AH11" s="1449"/>
      <c r="AI11" s="1449"/>
      <c r="AJ11" s="1449"/>
      <c r="AK11" s="1449"/>
      <c r="AL11" s="1449"/>
      <c r="AM11" s="1449"/>
      <c r="AN11" s="1449"/>
      <c r="AO11" s="1449"/>
      <c r="AP11" s="1449"/>
      <c r="AQ11" s="1449"/>
      <c r="AR11" s="1449"/>
      <c r="AS11" s="1449"/>
      <c r="AT11" s="1449"/>
      <c r="AU11" s="1449"/>
      <c r="AV11" s="1449"/>
      <c r="AW11" s="1449"/>
      <c r="AX11" s="1449"/>
      <c r="AY11" s="1449"/>
      <c r="AZ11" s="1449"/>
      <c r="BA11" s="1449"/>
      <c r="BB11" s="1449"/>
      <c r="BC11" s="1449"/>
      <c r="BD11" s="1449"/>
      <c r="BE11" s="1449"/>
      <c r="BF11" s="1449"/>
      <c r="BG11" s="1449"/>
      <c r="BH11" s="1449"/>
      <c r="BI11" s="1449"/>
      <c r="BJ11" s="1449"/>
      <c r="BK11" s="1449"/>
      <c r="BL11" s="1449"/>
      <c r="BM11" s="1449"/>
      <c r="BN11" s="1449"/>
      <c r="BO11" s="1449"/>
      <c r="BP11" s="1449"/>
      <c r="BQ11" s="1449"/>
      <c r="BR11" s="1449"/>
      <c r="BS11" s="1449"/>
      <c r="BT11" s="1449"/>
      <c r="BU11" s="1449"/>
      <c r="BV11" s="1449"/>
      <c r="BW11" s="1449"/>
      <c r="BX11" s="1449"/>
      <c r="BY11" s="1449"/>
      <c r="BZ11" s="1449"/>
      <c r="CA11" s="1449"/>
      <c r="CB11" s="1449"/>
      <c r="CC11" s="1449"/>
      <c r="CD11" s="1449"/>
      <c r="CE11" s="1449"/>
      <c r="CF11" s="1449"/>
      <c r="CG11" s="1449"/>
      <c r="CH11" s="1449"/>
      <c r="CI11" s="1449"/>
      <c r="CJ11" s="1449"/>
      <c r="CK11" s="1449"/>
      <c r="CL11" s="1449"/>
      <c r="CM11" s="1449"/>
      <c r="CN11" s="1449"/>
      <c r="CO11" s="1449"/>
      <c r="CP11" s="1449"/>
      <c r="CQ11" s="1449"/>
      <c r="CR11" s="1449"/>
      <c r="CS11" s="1449"/>
      <c r="CT11" s="1449"/>
      <c r="CU11" s="1449"/>
      <c r="CV11" s="1449"/>
      <c r="CW11" s="1449"/>
      <c r="CX11" s="1449"/>
      <c r="CY11" s="1449"/>
      <c r="CZ11" s="1449"/>
      <c r="DA11" s="1449"/>
      <c r="DB11" s="1449"/>
      <c r="DC11" s="1449"/>
      <c r="DD11" s="1449"/>
      <c r="DE11" s="1449"/>
      <c r="DF11" s="1449"/>
      <c r="DG11" s="1449"/>
      <c r="DH11" s="1449"/>
      <c r="DI11" s="1449"/>
      <c r="DJ11" s="1449"/>
      <c r="DK11" s="1449"/>
      <c r="DL11" s="1449"/>
      <c r="DM11" s="1449"/>
      <c r="DN11" s="1449"/>
      <c r="DO11" s="1449"/>
      <c r="DP11" s="1449"/>
      <c r="DQ11" s="1449"/>
      <c r="DR11" s="1449"/>
      <c r="DS11" s="1449"/>
      <c r="DT11" s="1449"/>
      <c r="DU11" s="1449"/>
      <c r="DV11" s="1449"/>
      <c r="DW11" s="1449"/>
      <c r="DX11" s="1449"/>
      <c r="DY11" s="1449"/>
      <c r="DZ11" s="1449"/>
      <c r="EA11" s="1449"/>
      <c r="EB11" s="1449"/>
      <c r="EC11" s="1449"/>
      <c r="ED11" s="1449"/>
      <c r="EE11" s="1449"/>
      <c r="EF11" s="1449"/>
      <c r="EG11" s="1449"/>
      <c r="EH11" s="1449"/>
      <c r="EI11" s="1449"/>
      <c r="EJ11" s="1449"/>
      <c r="EK11" s="1449"/>
      <c r="EL11" s="1449"/>
      <c r="EM11" s="1449"/>
      <c r="EN11" s="1449"/>
      <c r="EO11" s="1449"/>
      <c r="EP11" s="1449"/>
      <c r="EQ11" s="1449"/>
      <c r="ER11" s="1449"/>
      <c r="ES11" s="1449"/>
      <c r="ET11" s="1449"/>
      <c r="EU11" s="1449"/>
      <c r="EV11" s="1449"/>
      <c r="EW11" s="1449"/>
      <c r="EX11" s="1449"/>
      <c r="EY11" s="1449"/>
      <c r="EZ11" s="1449"/>
      <c r="FA11" s="1449"/>
      <c r="FB11" s="1449"/>
      <c r="FC11" s="1449"/>
      <c r="FD11" s="1449"/>
      <c r="FE11" s="1449"/>
      <c r="FF11" s="1449"/>
      <c r="FG11" s="1449"/>
      <c r="FH11" s="1449"/>
      <c r="FI11" s="1449"/>
      <c r="FJ11" s="1449"/>
      <c r="FK11" s="1449"/>
      <c r="FL11" s="1449"/>
      <c r="FM11" s="1449"/>
      <c r="FN11" s="1449"/>
      <c r="FO11" s="1449"/>
      <c r="FP11" s="1449"/>
      <c r="FQ11" s="1449"/>
      <c r="FR11" s="1449"/>
      <c r="FS11" s="1449"/>
      <c r="FT11" s="1449"/>
      <c r="FU11" s="1449"/>
      <c r="FV11" s="1449"/>
      <c r="FW11" s="1449"/>
      <c r="FX11" s="1449"/>
      <c r="FY11" s="1449"/>
      <c r="FZ11" s="1449"/>
      <c r="GA11" s="1449"/>
      <c r="GB11" s="1449"/>
      <c r="GC11" s="1449"/>
      <c r="GD11" s="1449"/>
      <c r="GE11" s="1449"/>
      <c r="GF11" s="1449"/>
      <c r="GG11" s="1449"/>
      <c r="GH11" s="1449"/>
      <c r="GI11" s="1449"/>
      <c r="GJ11" s="1449"/>
      <c r="GK11" s="1449"/>
      <c r="GL11" s="1449"/>
      <c r="GM11" s="1449"/>
      <c r="GN11" s="1449"/>
      <c r="GO11" s="1449"/>
      <c r="GP11" s="1449"/>
      <c r="GQ11" s="1449"/>
      <c r="GR11" s="1449"/>
      <c r="GS11" s="1449"/>
      <c r="GT11" s="1449"/>
      <c r="GU11" s="1449"/>
      <c r="GV11" s="1449"/>
      <c r="GW11" s="1449"/>
      <c r="GX11" s="1449"/>
      <c r="GY11" s="1449"/>
      <c r="GZ11" s="1449"/>
      <c r="HA11" s="1449"/>
      <c r="HB11" s="1449"/>
      <c r="HC11" s="1449"/>
      <c r="HD11" s="1449"/>
      <c r="HE11" s="1449"/>
      <c r="HF11" s="1449"/>
      <c r="HG11" s="1449"/>
      <c r="HH11" s="1449"/>
      <c r="HI11" s="1449"/>
      <c r="HJ11" s="1449"/>
      <c r="HK11" s="1449"/>
      <c r="HL11" s="1449"/>
      <c r="HM11" s="1449"/>
      <c r="HN11" s="1449"/>
      <c r="HO11" s="1449"/>
      <c r="HP11" s="1449"/>
      <c r="HQ11" s="1449"/>
      <c r="HR11" s="1449"/>
      <c r="HS11" s="1449"/>
      <c r="HT11" s="1449"/>
      <c r="HU11" s="1449"/>
      <c r="HV11" s="1449"/>
      <c r="HW11" s="1449"/>
      <c r="HX11" s="1449"/>
      <c r="HY11" s="1449"/>
      <c r="HZ11" s="1449"/>
      <c r="IA11" s="1449"/>
      <c r="IB11" s="1449"/>
      <c r="IC11" s="1449"/>
      <c r="ID11" s="1449"/>
      <c r="IE11" s="1449"/>
      <c r="IF11" s="1449"/>
      <c r="IG11" s="1449"/>
      <c r="IH11" s="1449"/>
      <c r="II11" s="1449"/>
      <c r="IJ11" s="1449"/>
      <c r="IK11" s="1449"/>
      <c r="IL11" s="1449"/>
      <c r="IM11" s="1449"/>
      <c r="IN11" s="1449"/>
      <c r="IO11" s="1449"/>
      <c r="IP11" s="1449"/>
      <c r="IQ11" s="1449"/>
      <c r="IR11" s="1449"/>
      <c r="IS11" s="1449"/>
      <c r="IT11" s="1449"/>
      <c r="IU11" s="1449"/>
      <c r="IV11" s="1449"/>
    </row>
    <row r="12" spans="1:17" s="1498" customFormat="1" ht="18" customHeight="1">
      <c r="A12" s="1463">
        <v>4</v>
      </c>
      <c r="B12" s="1489"/>
      <c r="C12" s="1481"/>
      <c r="D12" s="1490" t="s">
        <v>293</v>
      </c>
      <c r="E12" s="1483">
        <f>F12+G12+P12</f>
        <v>6205</v>
      </c>
      <c r="F12" s="1491"/>
      <c r="G12" s="1485">
        <v>3869</v>
      </c>
      <c r="H12" s="1492"/>
      <c r="I12" s="1493">
        <v>300</v>
      </c>
      <c r="J12" s="1494">
        <v>42</v>
      </c>
      <c r="K12" s="1494">
        <v>1994</v>
      </c>
      <c r="L12" s="1495"/>
      <c r="M12" s="1494"/>
      <c r="N12" s="1494"/>
      <c r="O12" s="1495"/>
      <c r="P12" s="1496">
        <f>SUM(I12:O12)</f>
        <v>2336</v>
      </c>
      <c r="Q12" s="1497"/>
    </row>
    <row r="13" spans="1:17" s="1498" customFormat="1" ht="22.5" customHeight="1">
      <c r="A13" s="1463">
        <v>5</v>
      </c>
      <c r="B13" s="1489"/>
      <c r="C13" s="1481"/>
      <c r="D13" s="1482" t="s">
        <v>545</v>
      </c>
      <c r="E13" s="1483"/>
      <c r="F13" s="1491"/>
      <c r="G13" s="1485"/>
      <c r="H13" s="1492"/>
      <c r="I13" s="1499"/>
      <c r="J13" s="1495"/>
      <c r="K13" s="1494"/>
      <c r="L13" s="1495"/>
      <c r="M13" s="1494"/>
      <c r="N13" s="1494"/>
      <c r="O13" s="1495"/>
      <c r="P13" s="1496"/>
      <c r="Q13" s="1497"/>
    </row>
    <row r="14" spans="1:17" s="1498" customFormat="1" ht="22.5" customHeight="1">
      <c r="A14" s="1463">
        <v>6</v>
      </c>
      <c r="B14" s="1489"/>
      <c r="C14" s="1481"/>
      <c r="D14" s="1500" t="s">
        <v>760</v>
      </c>
      <c r="E14" s="1483"/>
      <c r="F14" s="1491"/>
      <c r="G14" s="1485"/>
      <c r="H14" s="1492"/>
      <c r="I14" s="1499"/>
      <c r="J14" s="1495"/>
      <c r="K14" s="1494"/>
      <c r="L14" s="1495"/>
      <c r="M14" s="1494"/>
      <c r="N14" s="1494"/>
      <c r="O14" s="1495"/>
      <c r="P14" s="1496"/>
      <c r="Q14" s="1497"/>
    </row>
    <row r="15" spans="1:17" s="1498" customFormat="1" ht="18" customHeight="1">
      <c r="A15" s="1463">
        <v>7</v>
      </c>
      <c r="B15" s="1489"/>
      <c r="C15" s="1481"/>
      <c r="D15" s="1490" t="s">
        <v>293</v>
      </c>
      <c r="E15" s="1483">
        <f>F15+G15+P15</f>
        <v>1500</v>
      </c>
      <c r="F15" s="1491"/>
      <c r="G15" s="1485"/>
      <c r="H15" s="1492"/>
      <c r="I15" s="1499"/>
      <c r="J15" s="1495"/>
      <c r="K15" s="1494"/>
      <c r="L15" s="1495"/>
      <c r="M15" s="1494">
        <v>1500</v>
      </c>
      <c r="N15" s="1494"/>
      <c r="O15" s="1495"/>
      <c r="P15" s="1496">
        <f>SUM(I15:O15)</f>
        <v>1500</v>
      </c>
      <c r="Q15" s="1497"/>
    </row>
    <row r="16" spans="1:17" s="1498" customFormat="1" ht="22.5" customHeight="1">
      <c r="A16" s="1463">
        <v>8</v>
      </c>
      <c r="B16" s="1489"/>
      <c r="C16" s="1481"/>
      <c r="D16" s="1500" t="s">
        <v>761</v>
      </c>
      <c r="E16" s="1483"/>
      <c r="F16" s="1491"/>
      <c r="G16" s="1485"/>
      <c r="H16" s="1492"/>
      <c r="I16" s="1499"/>
      <c r="J16" s="1495"/>
      <c r="K16" s="1494"/>
      <c r="L16" s="1495"/>
      <c r="M16" s="1494"/>
      <c r="N16" s="1494"/>
      <c r="O16" s="1495"/>
      <c r="P16" s="1496"/>
      <c r="Q16" s="1497"/>
    </row>
    <row r="17" spans="1:17" s="1498" customFormat="1" ht="18" customHeight="1">
      <c r="A17" s="1463">
        <v>9</v>
      </c>
      <c r="B17" s="1489"/>
      <c r="C17" s="1481"/>
      <c r="D17" s="1490" t="s">
        <v>293</v>
      </c>
      <c r="E17" s="1483">
        <f>F17+G17+P17</f>
        <v>54932</v>
      </c>
      <c r="F17" s="1491"/>
      <c r="G17" s="1485">
        <v>15138</v>
      </c>
      <c r="H17" s="1492"/>
      <c r="I17" s="1499"/>
      <c r="J17" s="1495"/>
      <c r="K17" s="1494"/>
      <c r="L17" s="1495"/>
      <c r="M17" s="1494">
        <v>39794</v>
      </c>
      <c r="N17" s="1494"/>
      <c r="O17" s="1495"/>
      <c r="P17" s="1496">
        <f>SUM(I17:O17)</f>
        <v>39794</v>
      </c>
      <c r="Q17" s="1497"/>
    </row>
    <row r="18" spans="1:17" s="1498" customFormat="1" ht="22.5" customHeight="1">
      <c r="A18" s="1463">
        <v>10</v>
      </c>
      <c r="B18" s="1489"/>
      <c r="C18" s="1481"/>
      <c r="D18" s="1500" t="s">
        <v>762</v>
      </c>
      <c r="E18" s="1483"/>
      <c r="F18" s="1491"/>
      <c r="G18" s="1485"/>
      <c r="H18" s="1492"/>
      <c r="I18" s="1499"/>
      <c r="J18" s="1495"/>
      <c r="K18" s="1494"/>
      <c r="L18" s="1495"/>
      <c r="M18" s="1494"/>
      <c r="N18" s="1494"/>
      <c r="O18" s="1495"/>
      <c r="P18" s="1496"/>
      <c r="Q18" s="1497"/>
    </row>
    <row r="19" spans="1:17" s="1498" customFormat="1" ht="18" customHeight="1">
      <c r="A19" s="1463">
        <v>11</v>
      </c>
      <c r="B19" s="1489"/>
      <c r="C19" s="1481"/>
      <c r="D19" s="1490" t="s">
        <v>293</v>
      </c>
      <c r="E19" s="1483">
        <f>F19+G19+P19</f>
        <v>108404</v>
      </c>
      <c r="F19" s="1491"/>
      <c r="G19" s="1485">
        <v>25527</v>
      </c>
      <c r="H19" s="1492"/>
      <c r="I19" s="1499"/>
      <c r="J19" s="1495"/>
      <c r="K19" s="1494"/>
      <c r="L19" s="1495"/>
      <c r="M19" s="1494">
        <v>82877</v>
      </c>
      <c r="N19" s="1494"/>
      <c r="O19" s="1495"/>
      <c r="P19" s="1496">
        <f>SUM(I19:O19)</f>
        <v>82877</v>
      </c>
      <c r="Q19" s="1497"/>
    </row>
    <row r="20" spans="1:17" s="1498" customFormat="1" ht="22.5" customHeight="1">
      <c r="A20" s="1463">
        <v>12</v>
      </c>
      <c r="B20" s="1489"/>
      <c r="C20" s="1481"/>
      <c r="D20" s="1500" t="s">
        <v>762</v>
      </c>
      <c r="E20" s="1483"/>
      <c r="F20" s="1491"/>
      <c r="G20" s="1485"/>
      <c r="H20" s="1492"/>
      <c r="I20" s="1499"/>
      <c r="J20" s="1495"/>
      <c r="K20" s="1494"/>
      <c r="L20" s="1495"/>
      <c r="M20" s="1494"/>
      <c r="N20" s="1494"/>
      <c r="O20" s="1495"/>
      <c r="P20" s="1496"/>
      <c r="Q20" s="1497"/>
    </row>
    <row r="21" spans="1:17" s="1498" customFormat="1" ht="18" customHeight="1">
      <c r="A21" s="1463">
        <v>13</v>
      </c>
      <c r="B21" s="1489"/>
      <c r="C21" s="1481"/>
      <c r="D21" s="1490" t="s">
        <v>293</v>
      </c>
      <c r="E21" s="1483">
        <f>F21+G21+P21</f>
        <v>37500</v>
      </c>
      <c r="F21" s="1491"/>
      <c r="G21" s="1485">
        <v>7620</v>
      </c>
      <c r="H21" s="1492"/>
      <c r="I21" s="1499"/>
      <c r="J21" s="1495"/>
      <c r="K21" s="1494"/>
      <c r="L21" s="1495"/>
      <c r="M21" s="1494">
        <v>29880</v>
      </c>
      <c r="N21" s="1494"/>
      <c r="O21" s="1495"/>
      <c r="P21" s="1496">
        <f>SUM(I21:O21)</f>
        <v>29880</v>
      </c>
      <c r="Q21" s="1497"/>
    </row>
    <row r="22" spans="1:256" s="1475" customFormat="1" ht="22.5" customHeight="1">
      <c r="A22" s="1463">
        <v>14</v>
      </c>
      <c r="B22" s="1480"/>
      <c r="C22" s="1481"/>
      <c r="D22" s="1500" t="s">
        <v>763</v>
      </c>
      <c r="E22" s="1483"/>
      <c r="F22" s="1484"/>
      <c r="G22" s="1485"/>
      <c r="H22" s="1486"/>
      <c r="I22" s="1487"/>
      <c r="J22" s="1478"/>
      <c r="K22" s="1478"/>
      <c r="L22" s="1478"/>
      <c r="M22" s="1478"/>
      <c r="N22" s="1478"/>
      <c r="O22" s="1478"/>
      <c r="P22" s="1479"/>
      <c r="Q22" s="1488"/>
      <c r="R22" s="1449"/>
      <c r="S22" s="1449"/>
      <c r="T22" s="1449"/>
      <c r="U22" s="1449"/>
      <c r="V22" s="1449"/>
      <c r="W22" s="1449"/>
      <c r="X22" s="1449"/>
      <c r="Y22" s="1449"/>
      <c r="Z22" s="1449"/>
      <c r="AA22" s="1449"/>
      <c r="AB22" s="1449"/>
      <c r="AC22" s="1449"/>
      <c r="AD22" s="1449"/>
      <c r="AE22" s="1449"/>
      <c r="AF22" s="1449"/>
      <c r="AG22" s="1449"/>
      <c r="AH22" s="1449"/>
      <c r="AI22" s="1449"/>
      <c r="AJ22" s="1449"/>
      <c r="AK22" s="1449"/>
      <c r="AL22" s="1449"/>
      <c r="AM22" s="1449"/>
      <c r="AN22" s="1449"/>
      <c r="AO22" s="1449"/>
      <c r="AP22" s="1449"/>
      <c r="AQ22" s="1449"/>
      <c r="AR22" s="1449"/>
      <c r="AS22" s="1449"/>
      <c r="AT22" s="1449"/>
      <c r="AU22" s="1449"/>
      <c r="AV22" s="1449"/>
      <c r="AW22" s="1449"/>
      <c r="AX22" s="1449"/>
      <c r="AY22" s="1449"/>
      <c r="AZ22" s="1449"/>
      <c r="BA22" s="1449"/>
      <c r="BB22" s="1449"/>
      <c r="BC22" s="1449"/>
      <c r="BD22" s="1449"/>
      <c r="BE22" s="1449"/>
      <c r="BF22" s="1449"/>
      <c r="BG22" s="1449"/>
      <c r="BH22" s="1449"/>
      <c r="BI22" s="1449"/>
      <c r="BJ22" s="1449"/>
      <c r="BK22" s="1449"/>
      <c r="BL22" s="1449"/>
      <c r="BM22" s="1449"/>
      <c r="BN22" s="1449"/>
      <c r="BO22" s="1449"/>
      <c r="BP22" s="1449"/>
      <c r="BQ22" s="1449"/>
      <c r="BR22" s="1449"/>
      <c r="BS22" s="1449"/>
      <c r="BT22" s="1449"/>
      <c r="BU22" s="1449"/>
      <c r="BV22" s="1449"/>
      <c r="BW22" s="1449"/>
      <c r="BX22" s="1449"/>
      <c r="BY22" s="1449"/>
      <c r="BZ22" s="1449"/>
      <c r="CA22" s="1449"/>
      <c r="CB22" s="1449"/>
      <c r="CC22" s="1449"/>
      <c r="CD22" s="1449"/>
      <c r="CE22" s="1449"/>
      <c r="CF22" s="1449"/>
      <c r="CG22" s="1449"/>
      <c r="CH22" s="1449"/>
      <c r="CI22" s="1449"/>
      <c r="CJ22" s="1449"/>
      <c r="CK22" s="1449"/>
      <c r="CL22" s="1449"/>
      <c r="CM22" s="1449"/>
      <c r="CN22" s="1449"/>
      <c r="CO22" s="1449"/>
      <c r="CP22" s="1449"/>
      <c r="CQ22" s="1449"/>
      <c r="CR22" s="1449"/>
      <c r="CS22" s="1449"/>
      <c r="CT22" s="1449"/>
      <c r="CU22" s="1449"/>
      <c r="CV22" s="1449"/>
      <c r="CW22" s="1449"/>
      <c r="CX22" s="1449"/>
      <c r="CY22" s="1449"/>
      <c r="CZ22" s="1449"/>
      <c r="DA22" s="1449"/>
      <c r="DB22" s="1449"/>
      <c r="DC22" s="1449"/>
      <c r="DD22" s="1449"/>
      <c r="DE22" s="1449"/>
      <c r="DF22" s="1449"/>
      <c r="DG22" s="1449"/>
      <c r="DH22" s="1449"/>
      <c r="DI22" s="1449"/>
      <c r="DJ22" s="1449"/>
      <c r="DK22" s="1449"/>
      <c r="DL22" s="1449"/>
      <c r="DM22" s="1449"/>
      <c r="DN22" s="1449"/>
      <c r="DO22" s="1449"/>
      <c r="DP22" s="1449"/>
      <c r="DQ22" s="1449"/>
      <c r="DR22" s="1449"/>
      <c r="DS22" s="1449"/>
      <c r="DT22" s="1449"/>
      <c r="DU22" s="1449"/>
      <c r="DV22" s="1449"/>
      <c r="DW22" s="1449"/>
      <c r="DX22" s="1449"/>
      <c r="DY22" s="1449"/>
      <c r="DZ22" s="1449"/>
      <c r="EA22" s="1449"/>
      <c r="EB22" s="1449"/>
      <c r="EC22" s="1449"/>
      <c r="ED22" s="1449"/>
      <c r="EE22" s="1449"/>
      <c r="EF22" s="1449"/>
      <c r="EG22" s="1449"/>
      <c r="EH22" s="1449"/>
      <c r="EI22" s="1449"/>
      <c r="EJ22" s="1449"/>
      <c r="EK22" s="1449"/>
      <c r="EL22" s="1449"/>
      <c r="EM22" s="1449"/>
      <c r="EN22" s="1449"/>
      <c r="EO22" s="1449"/>
      <c r="EP22" s="1449"/>
      <c r="EQ22" s="1449"/>
      <c r="ER22" s="1449"/>
      <c r="ES22" s="1449"/>
      <c r="ET22" s="1449"/>
      <c r="EU22" s="1449"/>
      <c r="EV22" s="1449"/>
      <c r="EW22" s="1449"/>
      <c r="EX22" s="1449"/>
      <c r="EY22" s="1449"/>
      <c r="EZ22" s="1449"/>
      <c r="FA22" s="1449"/>
      <c r="FB22" s="1449"/>
      <c r="FC22" s="1449"/>
      <c r="FD22" s="1449"/>
      <c r="FE22" s="1449"/>
      <c r="FF22" s="1449"/>
      <c r="FG22" s="1449"/>
      <c r="FH22" s="1449"/>
      <c r="FI22" s="1449"/>
      <c r="FJ22" s="1449"/>
      <c r="FK22" s="1449"/>
      <c r="FL22" s="1449"/>
      <c r="FM22" s="1449"/>
      <c r="FN22" s="1449"/>
      <c r="FO22" s="1449"/>
      <c r="FP22" s="1449"/>
      <c r="FQ22" s="1449"/>
      <c r="FR22" s="1449"/>
      <c r="FS22" s="1449"/>
      <c r="FT22" s="1449"/>
      <c r="FU22" s="1449"/>
      <c r="FV22" s="1449"/>
      <c r="FW22" s="1449"/>
      <c r="FX22" s="1449"/>
      <c r="FY22" s="1449"/>
      <c r="FZ22" s="1449"/>
      <c r="GA22" s="1449"/>
      <c r="GB22" s="1449"/>
      <c r="GC22" s="1449"/>
      <c r="GD22" s="1449"/>
      <c r="GE22" s="1449"/>
      <c r="GF22" s="1449"/>
      <c r="GG22" s="1449"/>
      <c r="GH22" s="1449"/>
      <c r="GI22" s="1449"/>
      <c r="GJ22" s="1449"/>
      <c r="GK22" s="1449"/>
      <c r="GL22" s="1449"/>
      <c r="GM22" s="1449"/>
      <c r="GN22" s="1449"/>
      <c r="GO22" s="1449"/>
      <c r="GP22" s="1449"/>
      <c r="GQ22" s="1449"/>
      <c r="GR22" s="1449"/>
      <c r="GS22" s="1449"/>
      <c r="GT22" s="1449"/>
      <c r="GU22" s="1449"/>
      <c r="GV22" s="1449"/>
      <c r="GW22" s="1449"/>
      <c r="GX22" s="1449"/>
      <c r="GY22" s="1449"/>
      <c r="GZ22" s="1449"/>
      <c r="HA22" s="1449"/>
      <c r="HB22" s="1449"/>
      <c r="HC22" s="1449"/>
      <c r="HD22" s="1449"/>
      <c r="HE22" s="1449"/>
      <c r="HF22" s="1449"/>
      <c r="HG22" s="1449"/>
      <c r="HH22" s="1449"/>
      <c r="HI22" s="1449"/>
      <c r="HJ22" s="1449"/>
      <c r="HK22" s="1449"/>
      <c r="HL22" s="1449"/>
      <c r="HM22" s="1449"/>
      <c r="HN22" s="1449"/>
      <c r="HO22" s="1449"/>
      <c r="HP22" s="1449"/>
      <c r="HQ22" s="1449"/>
      <c r="HR22" s="1449"/>
      <c r="HS22" s="1449"/>
      <c r="HT22" s="1449"/>
      <c r="HU22" s="1449"/>
      <c r="HV22" s="1449"/>
      <c r="HW22" s="1449"/>
      <c r="HX22" s="1449"/>
      <c r="HY22" s="1449"/>
      <c r="HZ22" s="1449"/>
      <c r="IA22" s="1449"/>
      <c r="IB22" s="1449"/>
      <c r="IC22" s="1449"/>
      <c r="ID22" s="1449"/>
      <c r="IE22" s="1449"/>
      <c r="IF22" s="1449"/>
      <c r="IG22" s="1449"/>
      <c r="IH22" s="1449"/>
      <c r="II22" s="1449"/>
      <c r="IJ22" s="1449"/>
      <c r="IK22" s="1449"/>
      <c r="IL22" s="1449"/>
      <c r="IM22" s="1449"/>
      <c r="IN22" s="1449"/>
      <c r="IO22" s="1449"/>
      <c r="IP22" s="1449"/>
      <c r="IQ22" s="1449"/>
      <c r="IR22" s="1449"/>
      <c r="IS22" s="1449"/>
      <c r="IT22" s="1449"/>
      <c r="IU22" s="1449"/>
      <c r="IV22" s="1449"/>
    </row>
    <row r="23" spans="1:17" s="1498" customFormat="1" ht="18" customHeight="1" thickBot="1">
      <c r="A23" s="1463">
        <v>15</v>
      </c>
      <c r="B23" s="1489"/>
      <c r="C23" s="1501"/>
      <c r="D23" s="1502" t="s">
        <v>293</v>
      </c>
      <c r="E23" s="1503">
        <f>F23+G23+P23</f>
        <v>8000</v>
      </c>
      <c r="F23" s="1504"/>
      <c r="G23" s="1505"/>
      <c r="H23" s="1506"/>
      <c r="I23" s="1507"/>
      <c r="J23" s="1508"/>
      <c r="K23" s="1509"/>
      <c r="L23" s="1508"/>
      <c r="M23" s="1509">
        <v>8000</v>
      </c>
      <c r="N23" s="1508"/>
      <c r="O23" s="1508"/>
      <c r="P23" s="1510">
        <f>SUM(I23:O23)</f>
        <v>8000</v>
      </c>
      <c r="Q23" s="1511"/>
    </row>
    <row r="24" spans="1:17" s="1498" customFormat="1" ht="24.75" customHeight="1" thickBot="1" thickTop="1">
      <c r="A24" s="1463">
        <v>16</v>
      </c>
      <c r="B24" s="1489"/>
      <c r="C24" s="1512"/>
      <c r="D24" s="1513" t="s">
        <v>590</v>
      </c>
      <c r="E24" s="1514">
        <f>E23+E17+E15+E12+E19+E21</f>
        <v>216541</v>
      </c>
      <c r="F24" s="1514">
        <f>F23+F17+F15+F12+F11</f>
        <v>0</v>
      </c>
      <c r="G24" s="1514">
        <f>G23+G17+G15+G12+G21+G19</f>
        <v>52154</v>
      </c>
      <c r="H24" s="1515"/>
      <c r="I24" s="1516">
        <f aca="true" t="shared" si="0" ref="I24:P24">I23+I17+I15+I12+I21+I19</f>
        <v>300</v>
      </c>
      <c r="J24" s="1516">
        <f t="shared" si="0"/>
        <v>42</v>
      </c>
      <c r="K24" s="1516">
        <f t="shared" si="0"/>
        <v>1994</v>
      </c>
      <c r="L24" s="1516">
        <f t="shared" si="0"/>
        <v>0</v>
      </c>
      <c r="M24" s="1516">
        <f t="shared" si="0"/>
        <v>162051</v>
      </c>
      <c r="N24" s="1516">
        <f t="shared" si="0"/>
        <v>0</v>
      </c>
      <c r="O24" s="1516">
        <f t="shared" si="0"/>
        <v>0</v>
      </c>
      <c r="P24" s="1516">
        <f t="shared" si="0"/>
        <v>164387</v>
      </c>
      <c r="Q24" s="1517"/>
    </row>
    <row r="25" spans="1:17" s="1498" customFormat="1" ht="24.75" customHeight="1" thickTop="1">
      <c r="A25" s="1463">
        <v>17</v>
      </c>
      <c r="B25" s="1489"/>
      <c r="C25" s="1476">
        <v>2</v>
      </c>
      <c r="D25" s="1518" t="s">
        <v>764</v>
      </c>
      <c r="E25" s="1519"/>
      <c r="F25" s="1520"/>
      <c r="G25" s="1521"/>
      <c r="H25" s="1470" t="s">
        <v>24</v>
      </c>
      <c r="I25" s="1522"/>
      <c r="J25" s="1523"/>
      <c r="K25" s="1524"/>
      <c r="L25" s="1523"/>
      <c r="M25" s="1523"/>
      <c r="N25" s="1523"/>
      <c r="O25" s="1523"/>
      <c r="P25" s="1525"/>
      <c r="Q25" s="1526"/>
    </row>
    <row r="26" spans="1:256" s="1475" customFormat="1" ht="22.5" customHeight="1">
      <c r="A26" s="1463">
        <v>18</v>
      </c>
      <c r="B26" s="1480"/>
      <c r="C26" s="1481"/>
      <c r="D26" s="1482" t="s">
        <v>544</v>
      </c>
      <c r="E26" s="1483"/>
      <c r="F26" s="1484"/>
      <c r="G26" s="1485"/>
      <c r="H26" s="1486"/>
      <c r="I26" s="1487"/>
      <c r="J26" s="1478"/>
      <c r="K26" s="1478"/>
      <c r="L26" s="1478"/>
      <c r="M26" s="1478"/>
      <c r="N26" s="1478"/>
      <c r="O26" s="1478"/>
      <c r="P26" s="1479"/>
      <c r="Q26" s="1488"/>
      <c r="R26" s="1449"/>
      <c r="S26" s="1449"/>
      <c r="T26" s="1449"/>
      <c r="U26" s="1449"/>
      <c r="V26" s="1449"/>
      <c r="W26" s="1449"/>
      <c r="X26" s="1449"/>
      <c r="Y26" s="1449"/>
      <c r="Z26" s="1449"/>
      <c r="AA26" s="1449"/>
      <c r="AB26" s="1449"/>
      <c r="AC26" s="1449"/>
      <c r="AD26" s="1449"/>
      <c r="AE26" s="1449"/>
      <c r="AF26" s="1449"/>
      <c r="AG26" s="1449"/>
      <c r="AH26" s="1449"/>
      <c r="AI26" s="1449"/>
      <c r="AJ26" s="1449"/>
      <c r="AK26" s="1449"/>
      <c r="AL26" s="1449"/>
      <c r="AM26" s="1449"/>
      <c r="AN26" s="1449"/>
      <c r="AO26" s="1449"/>
      <c r="AP26" s="1449"/>
      <c r="AQ26" s="1449"/>
      <c r="AR26" s="1449"/>
      <c r="AS26" s="1449"/>
      <c r="AT26" s="1449"/>
      <c r="AU26" s="1449"/>
      <c r="AV26" s="1449"/>
      <c r="AW26" s="1449"/>
      <c r="AX26" s="1449"/>
      <c r="AY26" s="1449"/>
      <c r="AZ26" s="1449"/>
      <c r="BA26" s="1449"/>
      <c r="BB26" s="1449"/>
      <c r="BC26" s="1449"/>
      <c r="BD26" s="1449"/>
      <c r="BE26" s="1449"/>
      <c r="BF26" s="1449"/>
      <c r="BG26" s="1449"/>
      <c r="BH26" s="1449"/>
      <c r="BI26" s="1449"/>
      <c r="BJ26" s="1449"/>
      <c r="BK26" s="1449"/>
      <c r="BL26" s="1449"/>
      <c r="BM26" s="1449"/>
      <c r="BN26" s="1449"/>
      <c r="BO26" s="1449"/>
      <c r="BP26" s="1449"/>
      <c r="BQ26" s="1449"/>
      <c r="BR26" s="1449"/>
      <c r="BS26" s="1449"/>
      <c r="BT26" s="1449"/>
      <c r="BU26" s="1449"/>
      <c r="BV26" s="1449"/>
      <c r="BW26" s="1449"/>
      <c r="BX26" s="1449"/>
      <c r="BY26" s="1449"/>
      <c r="BZ26" s="1449"/>
      <c r="CA26" s="1449"/>
      <c r="CB26" s="1449"/>
      <c r="CC26" s="1449"/>
      <c r="CD26" s="1449"/>
      <c r="CE26" s="1449"/>
      <c r="CF26" s="1449"/>
      <c r="CG26" s="1449"/>
      <c r="CH26" s="1449"/>
      <c r="CI26" s="1449"/>
      <c r="CJ26" s="1449"/>
      <c r="CK26" s="1449"/>
      <c r="CL26" s="1449"/>
      <c r="CM26" s="1449"/>
      <c r="CN26" s="1449"/>
      <c r="CO26" s="1449"/>
      <c r="CP26" s="1449"/>
      <c r="CQ26" s="1449"/>
      <c r="CR26" s="1449"/>
      <c r="CS26" s="1449"/>
      <c r="CT26" s="1449"/>
      <c r="CU26" s="1449"/>
      <c r="CV26" s="1449"/>
      <c r="CW26" s="1449"/>
      <c r="CX26" s="1449"/>
      <c r="CY26" s="1449"/>
      <c r="CZ26" s="1449"/>
      <c r="DA26" s="1449"/>
      <c r="DB26" s="1449"/>
      <c r="DC26" s="1449"/>
      <c r="DD26" s="1449"/>
      <c r="DE26" s="1449"/>
      <c r="DF26" s="1449"/>
      <c r="DG26" s="1449"/>
      <c r="DH26" s="1449"/>
      <c r="DI26" s="1449"/>
      <c r="DJ26" s="1449"/>
      <c r="DK26" s="1449"/>
      <c r="DL26" s="1449"/>
      <c r="DM26" s="1449"/>
      <c r="DN26" s="1449"/>
      <c r="DO26" s="1449"/>
      <c r="DP26" s="1449"/>
      <c r="DQ26" s="1449"/>
      <c r="DR26" s="1449"/>
      <c r="DS26" s="1449"/>
      <c r="DT26" s="1449"/>
      <c r="DU26" s="1449"/>
      <c r="DV26" s="1449"/>
      <c r="DW26" s="1449"/>
      <c r="DX26" s="1449"/>
      <c r="DY26" s="1449"/>
      <c r="DZ26" s="1449"/>
      <c r="EA26" s="1449"/>
      <c r="EB26" s="1449"/>
      <c r="EC26" s="1449"/>
      <c r="ED26" s="1449"/>
      <c r="EE26" s="1449"/>
      <c r="EF26" s="1449"/>
      <c r="EG26" s="1449"/>
      <c r="EH26" s="1449"/>
      <c r="EI26" s="1449"/>
      <c r="EJ26" s="1449"/>
      <c r="EK26" s="1449"/>
      <c r="EL26" s="1449"/>
      <c r="EM26" s="1449"/>
      <c r="EN26" s="1449"/>
      <c r="EO26" s="1449"/>
      <c r="EP26" s="1449"/>
      <c r="EQ26" s="1449"/>
      <c r="ER26" s="1449"/>
      <c r="ES26" s="1449"/>
      <c r="ET26" s="1449"/>
      <c r="EU26" s="1449"/>
      <c r="EV26" s="1449"/>
      <c r="EW26" s="1449"/>
      <c r="EX26" s="1449"/>
      <c r="EY26" s="1449"/>
      <c r="EZ26" s="1449"/>
      <c r="FA26" s="1449"/>
      <c r="FB26" s="1449"/>
      <c r="FC26" s="1449"/>
      <c r="FD26" s="1449"/>
      <c r="FE26" s="1449"/>
      <c r="FF26" s="1449"/>
      <c r="FG26" s="1449"/>
      <c r="FH26" s="1449"/>
      <c r="FI26" s="1449"/>
      <c r="FJ26" s="1449"/>
      <c r="FK26" s="1449"/>
      <c r="FL26" s="1449"/>
      <c r="FM26" s="1449"/>
      <c r="FN26" s="1449"/>
      <c r="FO26" s="1449"/>
      <c r="FP26" s="1449"/>
      <c r="FQ26" s="1449"/>
      <c r="FR26" s="1449"/>
      <c r="FS26" s="1449"/>
      <c r="FT26" s="1449"/>
      <c r="FU26" s="1449"/>
      <c r="FV26" s="1449"/>
      <c r="FW26" s="1449"/>
      <c r="FX26" s="1449"/>
      <c r="FY26" s="1449"/>
      <c r="FZ26" s="1449"/>
      <c r="GA26" s="1449"/>
      <c r="GB26" s="1449"/>
      <c r="GC26" s="1449"/>
      <c r="GD26" s="1449"/>
      <c r="GE26" s="1449"/>
      <c r="GF26" s="1449"/>
      <c r="GG26" s="1449"/>
      <c r="GH26" s="1449"/>
      <c r="GI26" s="1449"/>
      <c r="GJ26" s="1449"/>
      <c r="GK26" s="1449"/>
      <c r="GL26" s="1449"/>
      <c r="GM26" s="1449"/>
      <c r="GN26" s="1449"/>
      <c r="GO26" s="1449"/>
      <c r="GP26" s="1449"/>
      <c r="GQ26" s="1449"/>
      <c r="GR26" s="1449"/>
      <c r="GS26" s="1449"/>
      <c r="GT26" s="1449"/>
      <c r="GU26" s="1449"/>
      <c r="GV26" s="1449"/>
      <c r="GW26" s="1449"/>
      <c r="GX26" s="1449"/>
      <c r="GY26" s="1449"/>
      <c r="GZ26" s="1449"/>
      <c r="HA26" s="1449"/>
      <c r="HB26" s="1449"/>
      <c r="HC26" s="1449"/>
      <c r="HD26" s="1449"/>
      <c r="HE26" s="1449"/>
      <c r="HF26" s="1449"/>
      <c r="HG26" s="1449"/>
      <c r="HH26" s="1449"/>
      <c r="HI26" s="1449"/>
      <c r="HJ26" s="1449"/>
      <c r="HK26" s="1449"/>
      <c r="HL26" s="1449"/>
      <c r="HM26" s="1449"/>
      <c r="HN26" s="1449"/>
      <c r="HO26" s="1449"/>
      <c r="HP26" s="1449"/>
      <c r="HQ26" s="1449"/>
      <c r="HR26" s="1449"/>
      <c r="HS26" s="1449"/>
      <c r="HT26" s="1449"/>
      <c r="HU26" s="1449"/>
      <c r="HV26" s="1449"/>
      <c r="HW26" s="1449"/>
      <c r="HX26" s="1449"/>
      <c r="HY26" s="1449"/>
      <c r="HZ26" s="1449"/>
      <c r="IA26" s="1449"/>
      <c r="IB26" s="1449"/>
      <c r="IC26" s="1449"/>
      <c r="ID26" s="1449"/>
      <c r="IE26" s="1449"/>
      <c r="IF26" s="1449"/>
      <c r="IG26" s="1449"/>
      <c r="IH26" s="1449"/>
      <c r="II26" s="1449"/>
      <c r="IJ26" s="1449"/>
      <c r="IK26" s="1449"/>
      <c r="IL26" s="1449"/>
      <c r="IM26" s="1449"/>
      <c r="IN26" s="1449"/>
      <c r="IO26" s="1449"/>
      <c r="IP26" s="1449"/>
      <c r="IQ26" s="1449"/>
      <c r="IR26" s="1449"/>
      <c r="IS26" s="1449"/>
      <c r="IT26" s="1449"/>
      <c r="IU26" s="1449"/>
      <c r="IV26" s="1449"/>
    </row>
    <row r="27" spans="1:17" s="1498" customFormat="1" ht="18" customHeight="1">
      <c r="A27" s="1463">
        <v>19</v>
      </c>
      <c r="B27" s="1489"/>
      <c r="C27" s="1481"/>
      <c r="D27" s="1490" t="s">
        <v>293</v>
      </c>
      <c r="E27" s="1483">
        <f>F27+G27+P27</f>
        <v>94841</v>
      </c>
      <c r="F27" s="1527"/>
      <c r="G27" s="1485">
        <v>52632</v>
      </c>
      <c r="H27" s="1492"/>
      <c r="I27" s="1493">
        <v>2426</v>
      </c>
      <c r="J27" s="1494">
        <v>344</v>
      </c>
      <c r="K27" s="1494">
        <v>39439</v>
      </c>
      <c r="L27" s="1494"/>
      <c r="M27" s="1495"/>
      <c r="N27" s="1495"/>
      <c r="O27" s="1495"/>
      <c r="P27" s="1496">
        <f>SUM(I27:O27)</f>
        <v>42209</v>
      </c>
      <c r="Q27" s="1497"/>
    </row>
    <row r="28" spans="1:17" s="1498" customFormat="1" ht="22.5" customHeight="1">
      <c r="A28" s="1463">
        <v>20</v>
      </c>
      <c r="B28" s="1489"/>
      <c r="C28" s="1481"/>
      <c r="D28" s="1500" t="s">
        <v>765</v>
      </c>
      <c r="E28" s="1528"/>
      <c r="F28" s="1527"/>
      <c r="G28" s="1529"/>
      <c r="H28" s="1492"/>
      <c r="I28" s="1499"/>
      <c r="J28" s="1495"/>
      <c r="K28" s="1494"/>
      <c r="L28" s="1494"/>
      <c r="M28" s="1495"/>
      <c r="N28" s="1495"/>
      <c r="O28" s="1495"/>
      <c r="P28" s="1496"/>
      <c r="Q28" s="1497"/>
    </row>
    <row r="29" spans="1:17" s="1498" customFormat="1" ht="18" customHeight="1" thickBot="1">
      <c r="A29" s="1463">
        <v>21</v>
      </c>
      <c r="B29" s="1489"/>
      <c r="C29" s="1501"/>
      <c r="D29" s="1502" t="s">
        <v>293</v>
      </c>
      <c r="E29" s="1483">
        <f>F29+G29+P29</f>
        <v>2500</v>
      </c>
      <c r="F29" s="1530"/>
      <c r="G29" s="1531"/>
      <c r="H29" s="1506"/>
      <c r="I29" s="1507"/>
      <c r="J29" s="1508"/>
      <c r="K29" s="1509"/>
      <c r="L29" s="1509"/>
      <c r="M29" s="1508"/>
      <c r="N29" s="1509">
        <v>2500</v>
      </c>
      <c r="O29" s="1508"/>
      <c r="P29" s="1510">
        <f>SUM(I29:O29)</f>
        <v>2500</v>
      </c>
      <c r="Q29" s="1511"/>
    </row>
    <row r="30" spans="1:17" s="1498" customFormat="1" ht="24.75" customHeight="1" thickBot="1" thickTop="1">
      <c r="A30" s="1463">
        <v>22</v>
      </c>
      <c r="B30" s="1489"/>
      <c r="C30" s="1512"/>
      <c r="D30" s="1513" t="s">
        <v>766</v>
      </c>
      <c r="E30" s="1532">
        <f>E29+E27</f>
        <v>97341</v>
      </c>
      <c r="F30" s="1532">
        <f>F29+F27</f>
        <v>0</v>
      </c>
      <c r="G30" s="1532">
        <f>G29+G27</f>
        <v>52632</v>
      </c>
      <c r="H30" s="1533"/>
      <c r="I30" s="1516">
        <f aca="true" t="shared" si="1" ref="I30:P30">I29+I27</f>
        <v>2426</v>
      </c>
      <c r="J30" s="1516">
        <f t="shared" si="1"/>
        <v>344</v>
      </c>
      <c r="K30" s="1516">
        <f t="shared" si="1"/>
        <v>39439</v>
      </c>
      <c r="L30" s="1516">
        <f t="shared" si="1"/>
        <v>0</v>
      </c>
      <c r="M30" s="1516">
        <f t="shared" si="1"/>
        <v>0</v>
      </c>
      <c r="N30" s="1516">
        <f t="shared" si="1"/>
        <v>2500</v>
      </c>
      <c r="O30" s="1516">
        <f t="shared" si="1"/>
        <v>0</v>
      </c>
      <c r="P30" s="1516">
        <f t="shared" si="1"/>
        <v>44709</v>
      </c>
      <c r="Q30" s="1517"/>
    </row>
    <row r="31" spans="1:256" s="1475" customFormat="1" ht="22.5" customHeight="1" thickTop="1">
      <c r="A31" s="1463">
        <v>23</v>
      </c>
      <c r="B31" s="1480"/>
      <c r="C31" s="1476">
        <v>3</v>
      </c>
      <c r="D31" s="1518" t="s">
        <v>767</v>
      </c>
      <c r="E31" s="1467"/>
      <c r="F31" s="1468"/>
      <c r="G31" s="1469"/>
      <c r="H31" s="1470" t="s">
        <v>24</v>
      </c>
      <c r="I31" s="1534"/>
      <c r="J31" s="1535"/>
      <c r="K31" s="1535"/>
      <c r="L31" s="1535"/>
      <c r="M31" s="1535"/>
      <c r="N31" s="1535"/>
      <c r="O31" s="1535"/>
      <c r="P31" s="1536"/>
      <c r="Q31" s="1474"/>
      <c r="R31" s="1449"/>
      <c r="S31" s="1449"/>
      <c r="T31" s="1449"/>
      <c r="U31" s="1449"/>
      <c r="V31" s="1449"/>
      <c r="W31" s="1449"/>
      <c r="X31" s="1449"/>
      <c r="Y31" s="1449"/>
      <c r="Z31" s="1449"/>
      <c r="AA31" s="1449"/>
      <c r="AB31" s="1449"/>
      <c r="AC31" s="1449"/>
      <c r="AD31" s="1449"/>
      <c r="AE31" s="1449"/>
      <c r="AF31" s="1449"/>
      <c r="AG31" s="1449"/>
      <c r="AH31" s="1449"/>
      <c r="AI31" s="1449"/>
      <c r="AJ31" s="1449"/>
      <c r="AK31" s="1449"/>
      <c r="AL31" s="1449"/>
      <c r="AM31" s="1449"/>
      <c r="AN31" s="1449"/>
      <c r="AO31" s="1449"/>
      <c r="AP31" s="1449"/>
      <c r="AQ31" s="1449"/>
      <c r="AR31" s="1449"/>
      <c r="AS31" s="1449"/>
      <c r="AT31" s="1449"/>
      <c r="AU31" s="1449"/>
      <c r="AV31" s="1449"/>
      <c r="AW31" s="1449"/>
      <c r="AX31" s="1449"/>
      <c r="AY31" s="1449"/>
      <c r="AZ31" s="1449"/>
      <c r="BA31" s="1449"/>
      <c r="BB31" s="1449"/>
      <c r="BC31" s="1449"/>
      <c r="BD31" s="1449"/>
      <c r="BE31" s="1449"/>
      <c r="BF31" s="1449"/>
      <c r="BG31" s="1449"/>
      <c r="BH31" s="1449"/>
      <c r="BI31" s="1449"/>
      <c r="BJ31" s="1449"/>
      <c r="BK31" s="1449"/>
      <c r="BL31" s="1449"/>
      <c r="BM31" s="1449"/>
      <c r="BN31" s="1449"/>
      <c r="BO31" s="1449"/>
      <c r="BP31" s="1449"/>
      <c r="BQ31" s="1449"/>
      <c r="BR31" s="1449"/>
      <c r="BS31" s="1449"/>
      <c r="BT31" s="1449"/>
      <c r="BU31" s="1449"/>
      <c r="BV31" s="1449"/>
      <c r="BW31" s="1449"/>
      <c r="BX31" s="1449"/>
      <c r="BY31" s="1449"/>
      <c r="BZ31" s="1449"/>
      <c r="CA31" s="1449"/>
      <c r="CB31" s="1449"/>
      <c r="CC31" s="1449"/>
      <c r="CD31" s="1449"/>
      <c r="CE31" s="1449"/>
      <c r="CF31" s="1449"/>
      <c r="CG31" s="1449"/>
      <c r="CH31" s="1449"/>
      <c r="CI31" s="1449"/>
      <c r="CJ31" s="1449"/>
      <c r="CK31" s="1449"/>
      <c r="CL31" s="1449"/>
      <c r="CM31" s="1449"/>
      <c r="CN31" s="1449"/>
      <c r="CO31" s="1449"/>
      <c r="CP31" s="1449"/>
      <c r="CQ31" s="1449"/>
      <c r="CR31" s="1449"/>
      <c r="CS31" s="1449"/>
      <c r="CT31" s="1449"/>
      <c r="CU31" s="1449"/>
      <c r="CV31" s="1449"/>
      <c r="CW31" s="1449"/>
      <c r="CX31" s="1449"/>
      <c r="CY31" s="1449"/>
      <c r="CZ31" s="1449"/>
      <c r="DA31" s="1449"/>
      <c r="DB31" s="1449"/>
      <c r="DC31" s="1449"/>
      <c r="DD31" s="1449"/>
      <c r="DE31" s="1449"/>
      <c r="DF31" s="1449"/>
      <c r="DG31" s="1449"/>
      <c r="DH31" s="1449"/>
      <c r="DI31" s="1449"/>
      <c r="DJ31" s="1449"/>
      <c r="DK31" s="1449"/>
      <c r="DL31" s="1449"/>
      <c r="DM31" s="1449"/>
      <c r="DN31" s="1449"/>
      <c r="DO31" s="1449"/>
      <c r="DP31" s="1449"/>
      <c r="DQ31" s="1449"/>
      <c r="DR31" s="1449"/>
      <c r="DS31" s="1449"/>
      <c r="DT31" s="1449"/>
      <c r="DU31" s="1449"/>
      <c r="DV31" s="1449"/>
      <c r="DW31" s="1449"/>
      <c r="DX31" s="1449"/>
      <c r="DY31" s="1449"/>
      <c r="DZ31" s="1449"/>
      <c r="EA31" s="1449"/>
      <c r="EB31" s="1449"/>
      <c r="EC31" s="1449"/>
      <c r="ED31" s="1449"/>
      <c r="EE31" s="1449"/>
      <c r="EF31" s="1449"/>
      <c r="EG31" s="1449"/>
      <c r="EH31" s="1449"/>
      <c r="EI31" s="1449"/>
      <c r="EJ31" s="1449"/>
      <c r="EK31" s="1449"/>
      <c r="EL31" s="1449"/>
      <c r="EM31" s="1449"/>
      <c r="EN31" s="1449"/>
      <c r="EO31" s="1449"/>
      <c r="EP31" s="1449"/>
      <c r="EQ31" s="1449"/>
      <c r="ER31" s="1449"/>
      <c r="ES31" s="1449"/>
      <c r="ET31" s="1449"/>
      <c r="EU31" s="1449"/>
      <c r="EV31" s="1449"/>
      <c r="EW31" s="1449"/>
      <c r="EX31" s="1449"/>
      <c r="EY31" s="1449"/>
      <c r="EZ31" s="1449"/>
      <c r="FA31" s="1449"/>
      <c r="FB31" s="1449"/>
      <c r="FC31" s="1449"/>
      <c r="FD31" s="1449"/>
      <c r="FE31" s="1449"/>
      <c r="FF31" s="1449"/>
      <c r="FG31" s="1449"/>
      <c r="FH31" s="1449"/>
      <c r="FI31" s="1449"/>
      <c r="FJ31" s="1449"/>
      <c r="FK31" s="1449"/>
      <c r="FL31" s="1449"/>
      <c r="FM31" s="1449"/>
      <c r="FN31" s="1449"/>
      <c r="FO31" s="1449"/>
      <c r="FP31" s="1449"/>
      <c r="FQ31" s="1449"/>
      <c r="FR31" s="1449"/>
      <c r="FS31" s="1449"/>
      <c r="FT31" s="1449"/>
      <c r="FU31" s="1449"/>
      <c r="FV31" s="1449"/>
      <c r="FW31" s="1449"/>
      <c r="FX31" s="1449"/>
      <c r="FY31" s="1449"/>
      <c r="FZ31" s="1449"/>
      <c r="GA31" s="1449"/>
      <c r="GB31" s="1449"/>
      <c r="GC31" s="1449"/>
      <c r="GD31" s="1449"/>
      <c r="GE31" s="1449"/>
      <c r="GF31" s="1449"/>
      <c r="GG31" s="1449"/>
      <c r="GH31" s="1449"/>
      <c r="GI31" s="1449"/>
      <c r="GJ31" s="1449"/>
      <c r="GK31" s="1449"/>
      <c r="GL31" s="1449"/>
      <c r="GM31" s="1449"/>
      <c r="GN31" s="1449"/>
      <c r="GO31" s="1449"/>
      <c r="GP31" s="1449"/>
      <c r="GQ31" s="1449"/>
      <c r="GR31" s="1449"/>
      <c r="GS31" s="1449"/>
      <c r="GT31" s="1449"/>
      <c r="GU31" s="1449"/>
      <c r="GV31" s="1449"/>
      <c r="GW31" s="1449"/>
      <c r="GX31" s="1449"/>
      <c r="GY31" s="1449"/>
      <c r="GZ31" s="1449"/>
      <c r="HA31" s="1449"/>
      <c r="HB31" s="1449"/>
      <c r="HC31" s="1449"/>
      <c r="HD31" s="1449"/>
      <c r="HE31" s="1449"/>
      <c r="HF31" s="1449"/>
      <c r="HG31" s="1449"/>
      <c r="HH31" s="1449"/>
      <c r="HI31" s="1449"/>
      <c r="HJ31" s="1449"/>
      <c r="HK31" s="1449"/>
      <c r="HL31" s="1449"/>
      <c r="HM31" s="1449"/>
      <c r="HN31" s="1449"/>
      <c r="HO31" s="1449"/>
      <c r="HP31" s="1449"/>
      <c r="HQ31" s="1449"/>
      <c r="HR31" s="1449"/>
      <c r="HS31" s="1449"/>
      <c r="HT31" s="1449"/>
      <c r="HU31" s="1449"/>
      <c r="HV31" s="1449"/>
      <c r="HW31" s="1449"/>
      <c r="HX31" s="1449"/>
      <c r="HY31" s="1449"/>
      <c r="HZ31" s="1449"/>
      <c r="IA31" s="1449"/>
      <c r="IB31" s="1449"/>
      <c r="IC31" s="1449"/>
      <c r="ID31" s="1449"/>
      <c r="IE31" s="1449"/>
      <c r="IF31" s="1449"/>
      <c r="IG31" s="1449"/>
      <c r="IH31" s="1449"/>
      <c r="II31" s="1449"/>
      <c r="IJ31" s="1449"/>
      <c r="IK31" s="1449"/>
      <c r="IL31" s="1449"/>
      <c r="IM31" s="1449"/>
      <c r="IN31" s="1449"/>
      <c r="IO31" s="1449"/>
      <c r="IP31" s="1449"/>
      <c r="IQ31" s="1449"/>
      <c r="IR31" s="1449"/>
      <c r="IS31" s="1449"/>
      <c r="IT31" s="1449"/>
      <c r="IU31" s="1449"/>
      <c r="IV31" s="1449"/>
    </row>
    <row r="32" spans="1:256" s="1475" customFormat="1" ht="37.5" customHeight="1">
      <c r="A32" s="1463">
        <v>24</v>
      </c>
      <c r="B32" s="1480"/>
      <c r="C32" s="1481"/>
      <c r="D32" s="1537" t="s">
        <v>768</v>
      </c>
      <c r="E32" s="1483"/>
      <c r="F32" s="1484"/>
      <c r="G32" s="1485"/>
      <c r="H32" s="1486"/>
      <c r="I32" s="1487"/>
      <c r="J32" s="1478"/>
      <c r="K32" s="1478"/>
      <c r="L32" s="1478"/>
      <c r="M32" s="1478"/>
      <c r="N32" s="1478"/>
      <c r="O32" s="1478"/>
      <c r="P32" s="1479"/>
      <c r="Q32" s="1488"/>
      <c r="R32" s="1449"/>
      <c r="S32" s="1449"/>
      <c r="T32" s="1449"/>
      <c r="U32" s="1449"/>
      <c r="V32" s="1449"/>
      <c r="W32" s="1449"/>
      <c r="X32" s="1449"/>
      <c r="Y32" s="1449"/>
      <c r="Z32" s="1449"/>
      <c r="AA32" s="1449"/>
      <c r="AB32" s="1449"/>
      <c r="AC32" s="1449"/>
      <c r="AD32" s="1449"/>
      <c r="AE32" s="1449"/>
      <c r="AF32" s="1449"/>
      <c r="AG32" s="1449"/>
      <c r="AH32" s="1449"/>
      <c r="AI32" s="1449"/>
      <c r="AJ32" s="1449"/>
      <c r="AK32" s="1449"/>
      <c r="AL32" s="1449"/>
      <c r="AM32" s="1449"/>
      <c r="AN32" s="1449"/>
      <c r="AO32" s="1449"/>
      <c r="AP32" s="1449"/>
      <c r="AQ32" s="1449"/>
      <c r="AR32" s="1449"/>
      <c r="AS32" s="1449"/>
      <c r="AT32" s="1449"/>
      <c r="AU32" s="1449"/>
      <c r="AV32" s="1449"/>
      <c r="AW32" s="1449"/>
      <c r="AX32" s="1449"/>
      <c r="AY32" s="1449"/>
      <c r="AZ32" s="1449"/>
      <c r="BA32" s="1449"/>
      <c r="BB32" s="1449"/>
      <c r="BC32" s="1449"/>
      <c r="BD32" s="1449"/>
      <c r="BE32" s="1449"/>
      <c r="BF32" s="1449"/>
      <c r="BG32" s="1449"/>
      <c r="BH32" s="1449"/>
      <c r="BI32" s="1449"/>
      <c r="BJ32" s="1449"/>
      <c r="BK32" s="1449"/>
      <c r="BL32" s="1449"/>
      <c r="BM32" s="1449"/>
      <c r="BN32" s="1449"/>
      <c r="BO32" s="1449"/>
      <c r="BP32" s="1449"/>
      <c r="BQ32" s="1449"/>
      <c r="BR32" s="1449"/>
      <c r="BS32" s="1449"/>
      <c r="BT32" s="1449"/>
      <c r="BU32" s="1449"/>
      <c r="BV32" s="1449"/>
      <c r="BW32" s="1449"/>
      <c r="BX32" s="1449"/>
      <c r="BY32" s="1449"/>
      <c r="BZ32" s="1449"/>
      <c r="CA32" s="1449"/>
      <c r="CB32" s="1449"/>
      <c r="CC32" s="1449"/>
      <c r="CD32" s="1449"/>
      <c r="CE32" s="1449"/>
      <c r="CF32" s="1449"/>
      <c r="CG32" s="1449"/>
      <c r="CH32" s="1449"/>
      <c r="CI32" s="1449"/>
      <c r="CJ32" s="1449"/>
      <c r="CK32" s="1449"/>
      <c r="CL32" s="1449"/>
      <c r="CM32" s="1449"/>
      <c r="CN32" s="1449"/>
      <c r="CO32" s="1449"/>
      <c r="CP32" s="1449"/>
      <c r="CQ32" s="1449"/>
      <c r="CR32" s="1449"/>
      <c r="CS32" s="1449"/>
      <c r="CT32" s="1449"/>
      <c r="CU32" s="1449"/>
      <c r="CV32" s="1449"/>
      <c r="CW32" s="1449"/>
      <c r="CX32" s="1449"/>
      <c r="CY32" s="1449"/>
      <c r="CZ32" s="1449"/>
      <c r="DA32" s="1449"/>
      <c r="DB32" s="1449"/>
      <c r="DC32" s="1449"/>
      <c r="DD32" s="1449"/>
      <c r="DE32" s="1449"/>
      <c r="DF32" s="1449"/>
      <c r="DG32" s="1449"/>
      <c r="DH32" s="1449"/>
      <c r="DI32" s="1449"/>
      <c r="DJ32" s="1449"/>
      <c r="DK32" s="1449"/>
      <c r="DL32" s="1449"/>
      <c r="DM32" s="1449"/>
      <c r="DN32" s="1449"/>
      <c r="DO32" s="1449"/>
      <c r="DP32" s="1449"/>
      <c r="DQ32" s="1449"/>
      <c r="DR32" s="1449"/>
      <c r="DS32" s="1449"/>
      <c r="DT32" s="1449"/>
      <c r="DU32" s="1449"/>
      <c r="DV32" s="1449"/>
      <c r="DW32" s="1449"/>
      <c r="DX32" s="1449"/>
      <c r="DY32" s="1449"/>
      <c r="DZ32" s="1449"/>
      <c r="EA32" s="1449"/>
      <c r="EB32" s="1449"/>
      <c r="EC32" s="1449"/>
      <c r="ED32" s="1449"/>
      <c r="EE32" s="1449"/>
      <c r="EF32" s="1449"/>
      <c r="EG32" s="1449"/>
      <c r="EH32" s="1449"/>
      <c r="EI32" s="1449"/>
      <c r="EJ32" s="1449"/>
      <c r="EK32" s="1449"/>
      <c r="EL32" s="1449"/>
      <c r="EM32" s="1449"/>
      <c r="EN32" s="1449"/>
      <c r="EO32" s="1449"/>
      <c r="EP32" s="1449"/>
      <c r="EQ32" s="1449"/>
      <c r="ER32" s="1449"/>
      <c r="ES32" s="1449"/>
      <c r="ET32" s="1449"/>
      <c r="EU32" s="1449"/>
      <c r="EV32" s="1449"/>
      <c r="EW32" s="1449"/>
      <c r="EX32" s="1449"/>
      <c r="EY32" s="1449"/>
      <c r="EZ32" s="1449"/>
      <c r="FA32" s="1449"/>
      <c r="FB32" s="1449"/>
      <c r="FC32" s="1449"/>
      <c r="FD32" s="1449"/>
      <c r="FE32" s="1449"/>
      <c r="FF32" s="1449"/>
      <c r="FG32" s="1449"/>
      <c r="FH32" s="1449"/>
      <c r="FI32" s="1449"/>
      <c r="FJ32" s="1449"/>
      <c r="FK32" s="1449"/>
      <c r="FL32" s="1449"/>
      <c r="FM32" s="1449"/>
      <c r="FN32" s="1449"/>
      <c r="FO32" s="1449"/>
      <c r="FP32" s="1449"/>
      <c r="FQ32" s="1449"/>
      <c r="FR32" s="1449"/>
      <c r="FS32" s="1449"/>
      <c r="FT32" s="1449"/>
      <c r="FU32" s="1449"/>
      <c r="FV32" s="1449"/>
      <c r="FW32" s="1449"/>
      <c r="FX32" s="1449"/>
      <c r="FY32" s="1449"/>
      <c r="FZ32" s="1449"/>
      <c r="GA32" s="1449"/>
      <c r="GB32" s="1449"/>
      <c r="GC32" s="1449"/>
      <c r="GD32" s="1449"/>
      <c r="GE32" s="1449"/>
      <c r="GF32" s="1449"/>
      <c r="GG32" s="1449"/>
      <c r="GH32" s="1449"/>
      <c r="GI32" s="1449"/>
      <c r="GJ32" s="1449"/>
      <c r="GK32" s="1449"/>
      <c r="GL32" s="1449"/>
      <c r="GM32" s="1449"/>
      <c r="GN32" s="1449"/>
      <c r="GO32" s="1449"/>
      <c r="GP32" s="1449"/>
      <c r="GQ32" s="1449"/>
      <c r="GR32" s="1449"/>
      <c r="GS32" s="1449"/>
      <c r="GT32" s="1449"/>
      <c r="GU32" s="1449"/>
      <c r="GV32" s="1449"/>
      <c r="GW32" s="1449"/>
      <c r="GX32" s="1449"/>
      <c r="GY32" s="1449"/>
      <c r="GZ32" s="1449"/>
      <c r="HA32" s="1449"/>
      <c r="HB32" s="1449"/>
      <c r="HC32" s="1449"/>
      <c r="HD32" s="1449"/>
      <c r="HE32" s="1449"/>
      <c r="HF32" s="1449"/>
      <c r="HG32" s="1449"/>
      <c r="HH32" s="1449"/>
      <c r="HI32" s="1449"/>
      <c r="HJ32" s="1449"/>
      <c r="HK32" s="1449"/>
      <c r="HL32" s="1449"/>
      <c r="HM32" s="1449"/>
      <c r="HN32" s="1449"/>
      <c r="HO32" s="1449"/>
      <c r="HP32" s="1449"/>
      <c r="HQ32" s="1449"/>
      <c r="HR32" s="1449"/>
      <c r="HS32" s="1449"/>
      <c r="HT32" s="1449"/>
      <c r="HU32" s="1449"/>
      <c r="HV32" s="1449"/>
      <c r="HW32" s="1449"/>
      <c r="HX32" s="1449"/>
      <c r="HY32" s="1449"/>
      <c r="HZ32" s="1449"/>
      <c r="IA32" s="1449"/>
      <c r="IB32" s="1449"/>
      <c r="IC32" s="1449"/>
      <c r="ID32" s="1449"/>
      <c r="IE32" s="1449"/>
      <c r="IF32" s="1449"/>
      <c r="IG32" s="1449"/>
      <c r="IH32" s="1449"/>
      <c r="II32" s="1449"/>
      <c r="IJ32" s="1449"/>
      <c r="IK32" s="1449"/>
      <c r="IL32" s="1449"/>
      <c r="IM32" s="1449"/>
      <c r="IN32" s="1449"/>
      <c r="IO32" s="1449"/>
      <c r="IP32" s="1449"/>
      <c r="IQ32" s="1449"/>
      <c r="IR32" s="1449"/>
      <c r="IS32" s="1449"/>
      <c r="IT32" s="1449"/>
      <c r="IU32" s="1449"/>
      <c r="IV32" s="1449"/>
    </row>
    <row r="33" spans="1:256" s="1475" customFormat="1" ht="19.5" customHeight="1">
      <c r="A33" s="1463">
        <v>25</v>
      </c>
      <c r="B33" s="1480"/>
      <c r="C33" s="1538"/>
      <c r="D33" s="1490" t="s">
        <v>293</v>
      </c>
      <c r="E33" s="1483">
        <f>F33+G33+P33</f>
        <v>2414207</v>
      </c>
      <c r="F33" s="1484"/>
      <c r="G33" s="1485"/>
      <c r="H33" s="1486"/>
      <c r="I33" s="1487"/>
      <c r="J33" s="1478"/>
      <c r="K33" s="1478"/>
      <c r="L33" s="1478"/>
      <c r="M33" s="1494">
        <v>2414207</v>
      </c>
      <c r="N33" s="1478"/>
      <c r="O33" s="1478"/>
      <c r="P33" s="1496">
        <f>SUM(I33:O33)</f>
        <v>2414207</v>
      </c>
      <c r="Q33" s="1488"/>
      <c r="R33" s="1449"/>
      <c r="S33" s="1449"/>
      <c r="T33" s="1449"/>
      <c r="U33" s="1449"/>
      <c r="V33" s="1449"/>
      <c r="W33" s="1449"/>
      <c r="X33" s="1449"/>
      <c r="Y33" s="1449"/>
      <c r="Z33" s="1449"/>
      <c r="AA33" s="1449"/>
      <c r="AB33" s="1449"/>
      <c r="AC33" s="1449"/>
      <c r="AD33" s="1449"/>
      <c r="AE33" s="1449"/>
      <c r="AF33" s="1449"/>
      <c r="AG33" s="1449"/>
      <c r="AH33" s="1449"/>
      <c r="AI33" s="1449"/>
      <c r="AJ33" s="1449"/>
      <c r="AK33" s="1449"/>
      <c r="AL33" s="1449"/>
      <c r="AM33" s="1449"/>
      <c r="AN33" s="1449"/>
      <c r="AO33" s="1449"/>
      <c r="AP33" s="1449"/>
      <c r="AQ33" s="1449"/>
      <c r="AR33" s="1449"/>
      <c r="AS33" s="1449"/>
      <c r="AT33" s="1449"/>
      <c r="AU33" s="1449"/>
      <c r="AV33" s="1449"/>
      <c r="AW33" s="1449"/>
      <c r="AX33" s="1449"/>
      <c r="AY33" s="1449"/>
      <c r="AZ33" s="1449"/>
      <c r="BA33" s="1449"/>
      <c r="BB33" s="1449"/>
      <c r="BC33" s="1449"/>
      <c r="BD33" s="1449"/>
      <c r="BE33" s="1449"/>
      <c r="BF33" s="1449"/>
      <c r="BG33" s="1449"/>
      <c r="BH33" s="1449"/>
      <c r="BI33" s="1449"/>
      <c r="BJ33" s="1449"/>
      <c r="BK33" s="1449"/>
      <c r="BL33" s="1449"/>
      <c r="BM33" s="1449"/>
      <c r="BN33" s="1449"/>
      <c r="BO33" s="1449"/>
      <c r="BP33" s="1449"/>
      <c r="BQ33" s="1449"/>
      <c r="BR33" s="1449"/>
      <c r="BS33" s="1449"/>
      <c r="BT33" s="1449"/>
      <c r="BU33" s="1449"/>
      <c r="BV33" s="1449"/>
      <c r="BW33" s="1449"/>
      <c r="BX33" s="1449"/>
      <c r="BY33" s="1449"/>
      <c r="BZ33" s="1449"/>
      <c r="CA33" s="1449"/>
      <c r="CB33" s="1449"/>
      <c r="CC33" s="1449"/>
      <c r="CD33" s="1449"/>
      <c r="CE33" s="1449"/>
      <c r="CF33" s="1449"/>
      <c r="CG33" s="1449"/>
      <c r="CH33" s="1449"/>
      <c r="CI33" s="1449"/>
      <c r="CJ33" s="1449"/>
      <c r="CK33" s="1449"/>
      <c r="CL33" s="1449"/>
      <c r="CM33" s="1449"/>
      <c r="CN33" s="1449"/>
      <c r="CO33" s="1449"/>
      <c r="CP33" s="1449"/>
      <c r="CQ33" s="1449"/>
      <c r="CR33" s="1449"/>
      <c r="CS33" s="1449"/>
      <c r="CT33" s="1449"/>
      <c r="CU33" s="1449"/>
      <c r="CV33" s="1449"/>
      <c r="CW33" s="1449"/>
      <c r="CX33" s="1449"/>
      <c r="CY33" s="1449"/>
      <c r="CZ33" s="1449"/>
      <c r="DA33" s="1449"/>
      <c r="DB33" s="1449"/>
      <c r="DC33" s="1449"/>
      <c r="DD33" s="1449"/>
      <c r="DE33" s="1449"/>
      <c r="DF33" s="1449"/>
      <c r="DG33" s="1449"/>
      <c r="DH33" s="1449"/>
      <c r="DI33" s="1449"/>
      <c r="DJ33" s="1449"/>
      <c r="DK33" s="1449"/>
      <c r="DL33" s="1449"/>
      <c r="DM33" s="1449"/>
      <c r="DN33" s="1449"/>
      <c r="DO33" s="1449"/>
      <c r="DP33" s="1449"/>
      <c r="DQ33" s="1449"/>
      <c r="DR33" s="1449"/>
      <c r="DS33" s="1449"/>
      <c r="DT33" s="1449"/>
      <c r="DU33" s="1449"/>
      <c r="DV33" s="1449"/>
      <c r="DW33" s="1449"/>
      <c r="DX33" s="1449"/>
      <c r="DY33" s="1449"/>
      <c r="DZ33" s="1449"/>
      <c r="EA33" s="1449"/>
      <c r="EB33" s="1449"/>
      <c r="EC33" s="1449"/>
      <c r="ED33" s="1449"/>
      <c r="EE33" s="1449"/>
      <c r="EF33" s="1449"/>
      <c r="EG33" s="1449"/>
      <c r="EH33" s="1449"/>
      <c r="EI33" s="1449"/>
      <c r="EJ33" s="1449"/>
      <c r="EK33" s="1449"/>
      <c r="EL33" s="1449"/>
      <c r="EM33" s="1449"/>
      <c r="EN33" s="1449"/>
      <c r="EO33" s="1449"/>
      <c r="EP33" s="1449"/>
      <c r="EQ33" s="1449"/>
      <c r="ER33" s="1449"/>
      <c r="ES33" s="1449"/>
      <c r="ET33" s="1449"/>
      <c r="EU33" s="1449"/>
      <c r="EV33" s="1449"/>
      <c r="EW33" s="1449"/>
      <c r="EX33" s="1449"/>
      <c r="EY33" s="1449"/>
      <c r="EZ33" s="1449"/>
      <c r="FA33" s="1449"/>
      <c r="FB33" s="1449"/>
      <c r="FC33" s="1449"/>
      <c r="FD33" s="1449"/>
      <c r="FE33" s="1449"/>
      <c r="FF33" s="1449"/>
      <c r="FG33" s="1449"/>
      <c r="FH33" s="1449"/>
      <c r="FI33" s="1449"/>
      <c r="FJ33" s="1449"/>
      <c r="FK33" s="1449"/>
      <c r="FL33" s="1449"/>
      <c r="FM33" s="1449"/>
      <c r="FN33" s="1449"/>
      <c r="FO33" s="1449"/>
      <c r="FP33" s="1449"/>
      <c r="FQ33" s="1449"/>
      <c r="FR33" s="1449"/>
      <c r="FS33" s="1449"/>
      <c r="FT33" s="1449"/>
      <c r="FU33" s="1449"/>
      <c r="FV33" s="1449"/>
      <c r="FW33" s="1449"/>
      <c r="FX33" s="1449"/>
      <c r="FY33" s="1449"/>
      <c r="FZ33" s="1449"/>
      <c r="GA33" s="1449"/>
      <c r="GB33" s="1449"/>
      <c r="GC33" s="1449"/>
      <c r="GD33" s="1449"/>
      <c r="GE33" s="1449"/>
      <c r="GF33" s="1449"/>
      <c r="GG33" s="1449"/>
      <c r="GH33" s="1449"/>
      <c r="GI33" s="1449"/>
      <c r="GJ33" s="1449"/>
      <c r="GK33" s="1449"/>
      <c r="GL33" s="1449"/>
      <c r="GM33" s="1449"/>
      <c r="GN33" s="1449"/>
      <c r="GO33" s="1449"/>
      <c r="GP33" s="1449"/>
      <c r="GQ33" s="1449"/>
      <c r="GR33" s="1449"/>
      <c r="GS33" s="1449"/>
      <c r="GT33" s="1449"/>
      <c r="GU33" s="1449"/>
      <c r="GV33" s="1449"/>
      <c r="GW33" s="1449"/>
      <c r="GX33" s="1449"/>
      <c r="GY33" s="1449"/>
      <c r="GZ33" s="1449"/>
      <c r="HA33" s="1449"/>
      <c r="HB33" s="1449"/>
      <c r="HC33" s="1449"/>
      <c r="HD33" s="1449"/>
      <c r="HE33" s="1449"/>
      <c r="HF33" s="1449"/>
      <c r="HG33" s="1449"/>
      <c r="HH33" s="1449"/>
      <c r="HI33" s="1449"/>
      <c r="HJ33" s="1449"/>
      <c r="HK33" s="1449"/>
      <c r="HL33" s="1449"/>
      <c r="HM33" s="1449"/>
      <c r="HN33" s="1449"/>
      <c r="HO33" s="1449"/>
      <c r="HP33" s="1449"/>
      <c r="HQ33" s="1449"/>
      <c r="HR33" s="1449"/>
      <c r="HS33" s="1449"/>
      <c r="HT33" s="1449"/>
      <c r="HU33" s="1449"/>
      <c r="HV33" s="1449"/>
      <c r="HW33" s="1449"/>
      <c r="HX33" s="1449"/>
      <c r="HY33" s="1449"/>
      <c r="HZ33" s="1449"/>
      <c r="IA33" s="1449"/>
      <c r="IB33" s="1449"/>
      <c r="IC33" s="1449"/>
      <c r="ID33" s="1449"/>
      <c r="IE33" s="1449"/>
      <c r="IF33" s="1449"/>
      <c r="IG33" s="1449"/>
      <c r="IH33" s="1449"/>
      <c r="II33" s="1449"/>
      <c r="IJ33" s="1449"/>
      <c r="IK33" s="1449"/>
      <c r="IL33" s="1449"/>
      <c r="IM33" s="1449"/>
      <c r="IN33" s="1449"/>
      <c r="IO33" s="1449"/>
      <c r="IP33" s="1449"/>
      <c r="IQ33" s="1449"/>
      <c r="IR33" s="1449"/>
      <c r="IS33" s="1449"/>
      <c r="IT33" s="1449"/>
      <c r="IU33" s="1449"/>
      <c r="IV33" s="1449"/>
    </row>
    <row r="34" spans="1:17" s="1498" customFormat="1" ht="37.5" customHeight="1">
      <c r="A34" s="1463">
        <v>26</v>
      </c>
      <c r="B34" s="1489"/>
      <c r="C34" s="1481"/>
      <c r="D34" s="1537" t="s">
        <v>769</v>
      </c>
      <c r="E34" s="1528"/>
      <c r="F34" s="1527"/>
      <c r="G34" s="1529"/>
      <c r="H34" s="1492"/>
      <c r="I34" s="1499"/>
      <c r="J34" s="1495"/>
      <c r="K34" s="1495"/>
      <c r="L34" s="1495"/>
      <c r="M34" s="1494"/>
      <c r="N34" s="1495"/>
      <c r="O34" s="1495"/>
      <c r="P34" s="1496"/>
      <c r="Q34" s="1497"/>
    </row>
    <row r="35" spans="1:256" s="1475" customFormat="1" ht="18" customHeight="1" thickBot="1">
      <c r="A35" s="1463">
        <v>27</v>
      </c>
      <c r="B35" s="1480"/>
      <c r="C35" s="1501"/>
      <c r="D35" s="1502" t="s">
        <v>293</v>
      </c>
      <c r="E35" s="1483">
        <f>F35+G35+P35</f>
        <v>889445</v>
      </c>
      <c r="F35" s="1503"/>
      <c r="G35" s="1505"/>
      <c r="H35" s="1539"/>
      <c r="I35" s="1540"/>
      <c r="J35" s="1503"/>
      <c r="K35" s="1503"/>
      <c r="L35" s="1503"/>
      <c r="M35" s="1509">
        <v>889445</v>
      </c>
      <c r="N35" s="1503"/>
      <c r="O35" s="1503"/>
      <c r="P35" s="1510">
        <f>SUM(I35:O35)</f>
        <v>889445</v>
      </c>
      <c r="Q35" s="1541"/>
      <c r="R35" s="1449"/>
      <c r="S35" s="1449"/>
      <c r="T35" s="1449"/>
      <c r="U35" s="1449"/>
      <c r="V35" s="1449"/>
      <c r="W35" s="1449"/>
      <c r="X35" s="1449"/>
      <c r="Y35" s="1449"/>
      <c r="Z35" s="1449"/>
      <c r="AA35" s="1449"/>
      <c r="AB35" s="1449"/>
      <c r="AC35" s="1449"/>
      <c r="AD35" s="1449"/>
      <c r="AE35" s="1449"/>
      <c r="AF35" s="1449"/>
      <c r="AG35" s="1449"/>
      <c r="AH35" s="1449"/>
      <c r="AI35" s="1449"/>
      <c r="AJ35" s="1449"/>
      <c r="AK35" s="1449"/>
      <c r="AL35" s="1449"/>
      <c r="AM35" s="1449"/>
      <c r="AN35" s="1449"/>
      <c r="AO35" s="1449"/>
      <c r="AP35" s="1449"/>
      <c r="AQ35" s="1449"/>
      <c r="AR35" s="1449"/>
      <c r="AS35" s="1449"/>
      <c r="AT35" s="1449"/>
      <c r="AU35" s="1449"/>
      <c r="AV35" s="1449"/>
      <c r="AW35" s="1449"/>
      <c r="AX35" s="1449"/>
      <c r="AY35" s="1449"/>
      <c r="AZ35" s="1449"/>
      <c r="BA35" s="1449"/>
      <c r="BB35" s="1449"/>
      <c r="BC35" s="1449"/>
      <c r="BD35" s="1449"/>
      <c r="BE35" s="1449"/>
      <c r="BF35" s="1449"/>
      <c r="BG35" s="1449"/>
      <c r="BH35" s="1449"/>
      <c r="BI35" s="1449"/>
      <c r="BJ35" s="1449"/>
      <c r="BK35" s="1449"/>
      <c r="BL35" s="1449"/>
      <c r="BM35" s="1449"/>
      <c r="BN35" s="1449"/>
      <c r="BO35" s="1449"/>
      <c r="BP35" s="1449"/>
      <c r="BQ35" s="1449"/>
      <c r="BR35" s="1449"/>
      <c r="BS35" s="1449"/>
      <c r="BT35" s="1449"/>
      <c r="BU35" s="1449"/>
      <c r="BV35" s="1449"/>
      <c r="BW35" s="1449"/>
      <c r="BX35" s="1449"/>
      <c r="BY35" s="1449"/>
      <c r="BZ35" s="1449"/>
      <c r="CA35" s="1449"/>
      <c r="CB35" s="1449"/>
      <c r="CC35" s="1449"/>
      <c r="CD35" s="1449"/>
      <c r="CE35" s="1449"/>
      <c r="CF35" s="1449"/>
      <c r="CG35" s="1449"/>
      <c r="CH35" s="1449"/>
      <c r="CI35" s="1449"/>
      <c r="CJ35" s="1449"/>
      <c r="CK35" s="1449"/>
      <c r="CL35" s="1449"/>
      <c r="CM35" s="1449"/>
      <c r="CN35" s="1449"/>
      <c r="CO35" s="1449"/>
      <c r="CP35" s="1449"/>
      <c r="CQ35" s="1449"/>
      <c r="CR35" s="1449"/>
      <c r="CS35" s="1449"/>
      <c r="CT35" s="1449"/>
      <c r="CU35" s="1449"/>
      <c r="CV35" s="1449"/>
      <c r="CW35" s="1449"/>
      <c r="CX35" s="1449"/>
      <c r="CY35" s="1449"/>
      <c r="CZ35" s="1449"/>
      <c r="DA35" s="1449"/>
      <c r="DB35" s="1449"/>
      <c r="DC35" s="1449"/>
      <c r="DD35" s="1449"/>
      <c r="DE35" s="1449"/>
      <c r="DF35" s="1449"/>
      <c r="DG35" s="1449"/>
      <c r="DH35" s="1449"/>
      <c r="DI35" s="1449"/>
      <c r="DJ35" s="1449"/>
      <c r="DK35" s="1449"/>
      <c r="DL35" s="1449"/>
      <c r="DM35" s="1449"/>
      <c r="DN35" s="1449"/>
      <c r="DO35" s="1449"/>
      <c r="DP35" s="1449"/>
      <c r="DQ35" s="1449"/>
      <c r="DR35" s="1449"/>
      <c r="DS35" s="1449"/>
      <c r="DT35" s="1449"/>
      <c r="DU35" s="1449"/>
      <c r="DV35" s="1449"/>
      <c r="DW35" s="1449"/>
      <c r="DX35" s="1449"/>
      <c r="DY35" s="1449"/>
      <c r="DZ35" s="1449"/>
      <c r="EA35" s="1449"/>
      <c r="EB35" s="1449"/>
      <c r="EC35" s="1449"/>
      <c r="ED35" s="1449"/>
      <c r="EE35" s="1449"/>
      <c r="EF35" s="1449"/>
      <c r="EG35" s="1449"/>
      <c r="EH35" s="1449"/>
      <c r="EI35" s="1449"/>
      <c r="EJ35" s="1449"/>
      <c r="EK35" s="1449"/>
      <c r="EL35" s="1449"/>
      <c r="EM35" s="1449"/>
      <c r="EN35" s="1449"/>
      <c r="EO35" s="1449"/>
      <c r="EP35" s="1449"/>
      <c r="EQ35" s="1449"/>
      <c r="ER35" s="1449"/>
      <c r="ES35" s="1449"/>
      <c r="ET35" s="1449"/>
      <c r="EU35" s="1449"/>
      <c r="EV35" s="1449"/>
      <c r="EW35" s="1449"/>
      <c r="EX35" s="1449"/>
      <c r="EY35" s="1449"/>
      <c r="EZ35" s="1449"/>
      <c r="FA35" s="1449"/>
      <c r="FB35" s="1449"/>
      <c r="FC35" s="1449"/>
      <c r="FD35" s="1449"/>
      <c r="FE35" s="1449"/>
      <c r="FF35" s="1449"/>
      <c r="FG35" s="1449"/>
      <c r="FH35" s="1449"/>
      <c r="FI35" s="1449"/>
      <c r="FJ35" s="1449"/>
      <c r="FK35" s="1449"/>
      <c r="FL35" s="1449"/>
      <c r="FM35" s="1449"/>
      <c r="FN35" s="1449"/>
      <c r="FO35" s="1449"/>
      <c r="FP35" s="1449"/>
      <c r="FQ35" s="1449"/>
      <c r="FR35" s="1449"/>
      <c r="FS35" s="1449"/>
      <c r="FT35" s="1449"/>
      <c r="FU35" s="1449"/>
      <c r="FV35" s="1449"/>
      <c r="FW35" s="1449"/>
      <c r="FX35" s="1449"/>
      <c r="FY35" s="1449"/>
      <c r="FZ35" s="1449"/>
      <c r="GA35" s="1449"/>
      <c r="GB35" s="1449"/>
      <c r="GC35" s="1449"/>
      <c r="GD35" s="1449"/>
      <c r="GE35" s="1449"/>
      <c r="GF35" s="1449"/>
      <c r="GG35" s="1449"/>
      <c r="GH35" s="1449"/>
      <c r="GI35" s="1449"/>
      <c r="GJ35" s="1449"/>
      <c r="GK35" s="1449"/>
      <c r="GL35" s="1449"/>
      <c r="GM35" s="1449"/>
      <c r="GN35" s="1449"/>
      <c r="GO35" s="1449"/>
      <c r="GP35" s="1449"/>
      <c r="GQ35" s="1449"/>
      <c r="GR35" s="1449"/>
      <c r="GS35" s="1449"/>
      <c r="GT35" s="1449"/>
      <c r="GU35" s="1449"/>
      <c r="GV35" s="1449"/>
      <c r="GW35" s="1449"/>
      <c r="GX35" s="1449"/>
      <c r="GY35" s="1449"/>
      <c r="GZ35" s="1449"/>
      <c r="HA35" s="1449"/>
      <c r="HB35" s="1449"/>
      <c r="HC35" s="1449"/>
      <c r="HD35" s="1449"/>
      <c r="HE35" s="1449"/>
      <c r="HF35" s="1449"/>
      <c r="HG35" s="1449"/>
      <c r="HH35" s="1449"/>
      <c r="HI35" s="1449"/>
      <c r="HJ35" s="1449"/>
      <c r="HK35" s="1449"/>
      <c r="HL35" s="1449"/>
      <c r="HM35" s="1449"/>
      <c r="HN35" s="1449"/>
      <c r="HO35" s="1449"/>
      <c r="HP35" s="1449"/>
      <c r="HQ35" s="1449"/>
      <c r="HR35" s="1449"/>
      <c r="HS35" s="1449"/>
      <c r="HT35" s="1449"/>
      <c r="HU35" s="1449"/>
      <c r="HV35" s="1449"/>
      <c r="HW35" s="1449"/>
      <c r="HX35" s="1449"/>
      <c r="HY35" s="1449"/>
      <c r="HZ35" s="1449"/>
      <c r="IA35" s="1449"/>
      <c r="IB35" s="1449"/>
      <c r="IC35" s="1449"/>
      <c r="ID35" s="1449"/>
      <c r="IE35" s="1449"/>
      <c r="IF35" s="1449"/>
      <c r="IG35" s="1449"/>
      <c r="IH35" s="1449"/>
      <c r="II35" s="1449"/>
      <c r="IJ35" s="1449"/>
      <c r="IK35" s="1449"/>
      <c r="IL35" s="1449"/>
      <c r="IM35" s="1449"/>
      <c r="IN35" s="1449"/>
      <c r="IO35" s="1449"/>
      <c r="IP35" s="1449"/>
      <c r="IQ35" s="1449"/>
      <c r="IR35" s="1449"/>
      <c r="IS35" s="1449"/>
      <c r="IT35" s="1449"/>
      <c r="IU35" s="1449"/>
      <c r="IV35" s="1449"/>
    </row>
    <row r="36" spans="1:256" s="1475" customFormat="1" ht="24.75" customHeight="1" thickBot="1" thickTop="1">
      <c r="A36" s="1463">
        <v>28</v>
      </c>
      <c r="B36" s="1542"/>
      <c r="C36" s="1512"/>
      <c r="D36" s="1513" t="s">
        <v>770</v>
      </c>
      <c r="E36" s="1532">
        <f aca="true" t="shared" si="2" ref="E36:P36">E35+E33</f>
        <v>3303652</v>
      </c>
      <c r="F36" s="1532">
        <f t="shared" si="2"/>
        <v>0</v>
      </c>
      <c r="G36" s="1543">
        <f t="shared" si="2"/>
        <v>0</v>
      </c>
      <c r="H36" s="1544">
        <f t="shared" si="2"/>
        <v>0</v>
      </c>
      <c r="I36" s="1532">
        <f t="shared" si="2"/>
        <v>0</v>
      </c>
      <c r="J36" s="1532">
        <f t="shared" si="2"/>
        <v>0</v>
      </c>
      <c r="K36" s="1532">
        <f t="shared" si="2"/>
        <v>0</v>
      </c>
      <c r="L36" s="1532">
        <f t="shared" si="2"/>
        <v>0</v>
      </c>
      <c r="M36" s="1532">
        <f t="shared" si="2"/>
        <v>3303652</v>
      </c>
      <c r="N36" s="1532">
        <f t="shared" si="2"/>
        <v>0</v>
      </c>
      <c r="O36" s="1532">
        <f t="shared" si="2"/>
        <v>0</v>
      </c>
      <c r="P36" s="1532">
        <f t="shared" si="2"/>
        <v>3303652</v>
      </c>
      <c r="Q36" s="1545"/>
      <c r="R36" s="1449"/>
      <c r="S36" s="1449"/>
      <c r="T36" s="1449"/>
      <c r="U36" s="1449"/>
      <c r="V36" s="1449"/>
      <c r="W36" s="1449"/>
      <c r="X36" s="1449"/>
      <c r="Y36" s="1449"/>
      <c r="Z36" s="1449"/>
      <c r="AA36" s="1449"/>
      <c r="AB36" s="1449"/>
      <c r="AC36" s="1449"/>
      <c r="AD36" s="1449"/>
      <c r="AE36" s="1449"/>
      <c r="AF36" s="1449"/>
      <c r="AG36" s="1449"/>
      <c r="AH36" s="1449"/>
      <c r="AI36" s="1449"/>
      <c r="AJ36" s="1449"/>
      <c r="AK36" s="1449"/>
      <c r="AL36" s="1449"/>
      <c r="AM36" s="1449"/>
      <c r="AN36" s="1449"/>
      <c r="AO36" s="1449"/>
      <c r="AP36" s="1449"/>
      <c r="AQ36" s="1449"/>
      <c r="AR36" s="1449"/>
      <c r="AS36" s="1449"/>
      <c r="AT36" s="1449"/>
      <c r="AU36" s="1449"/>
      <c r="AV36" s="1449"/>
      <c r="AW36" s="1449"/>
      <c r="AX36" s="1449"/>
      <c r="AY36" s="1449"/>
      <c r="AZ36" s="1449"/>
      <c r="BA36" s="1449"/>
      <c r="BB36" s="1449"/>
      <c r="BC36" s="1449"/>
      <c r="BD36" s="1449"/>
      <c r="BE36" s="1449"/>
      <c r="BF36" s="1449"/>
      <c r="BG36" s="1449"/>
      <c r="BH36" s="1449"/>
      <c r="BI36" s="1449"/>
      <c r="BJ36" s="1449"/>
      <c r="BK36" s="1449"/>
      <c r="BL36" s="1449"/>
      <c r="BM36" s="1449"/>
      <c r="BN36" s="1449"/>
      <c r="BO36" s="1449"/>
      <c r="BP36" s="1449"/>
      <c r="BQ36" s="1449"/>
      <c r="BR36" s="1449"/>
      <c r="BS36" s="1449"/>
      <c r="BT36" s="1449"/>
      <c r="BU36" s="1449"/>
      <c r="BV36" s="1449"/>
      <c r="BW36" s="1449"/>
      <c r="BX36" s="1449"/>
      <c r="BY36" s="1449"/>
      <c r="BZ36" s="1449"/>
      <c r="CA36" s="1449"/>
      <c r="CB36" s="1449"/>
      <c r="CC36" s="1449"/>
      <c r="CD36" s="1449"/>
      <c r="CE36" s="1449"/>
      <c r="CF36" s="1449"/>
      <c r="CG36" s="1449"/>
      <c r="CH36" s="1449"/>
      <c r="CI36" s="1449"/>
      <c r="CJ36" s="1449"/>
      <c r="CK36" s="1449"/>
      <c r="CL36" s="1449"/>
      <c r="CM36" s="1449"/>
      <c r="CN36" s="1449"/>
      <c r="CO36" s="1449"/>
      <c r="CP36" s="1449"/>
      <c r="CQ36" s="1449"/>
      <c r="CR36" s="1449"/>
      <c r="CS36" s="1449"/>
      <c r="CT36" s="1449"/>
      <c r="CU36" s="1449"/>
      <c r="CV36" s="1449"/>
      <c r="CW36" s="1449"/>
      <c r="CX36" s="1449"/>
      <c r="CY36" s="1449"/>
      <c r="CZ36" s="1449"/>
      <c r="DA36" s="1449"/>
      <c r="DB36" s="1449"/>
      <c r="DC36" s="1449"/>
      <c r="DD36" s="1449"/>
      <c r="DE36" s="1449"/>
      <c r="DF36" s="1449"/>
      <c r="DG36" s="1449"/>
      <c r="DH36" s="1449"/>
      <c r="DI36" s="1449"/>
      <c r="DJ36" s="1449"/>
      <c r="DK36" s="1449"/>
      <c r="DL36" s="1449"/>
      <c r="DM36" s="1449"/>
      <c r="DN36" s="1449"/>
      <c r="DO36" s="1449"/>
      <c r="DP36" s="1449"/>
      <c r="DQ36" s="1449"/>
      <c r="DR36" s="1449"/>
      <c r="DS36" s="1449"/>
      <c r="DT36" s="1449"/>
      <c r="DU36" s="1449"/>
      <c r="DV36" s="1449"/>
      <c r="DW36" s="1449"/>
      <c r="DX36" s="1449"/>
      <c r="DY36" s="1449"/>
      <c r="DZ36" s="1449"/>
      <c r="EA36" s="1449"/>
      <c r="EB36" s="1449"/>
      <c r="EC36" s="1449"/>
      <c r="ED36" s="1449"/>
      <c r="EE36" s="1449"/>
      <c r="EF36" s="1449"/>
      <c r="EG36" s="1449"/>
      <c r="EH36" s="1449"/>
      <c r="EI36" s="1449"/>
      <c r="EJ36" s="1449"/>
      <c r="EK36" s="1449"/>
      <c r="EL36" s="1449"/>
      <c r="EM36" s="1449"/>
      <c r="EN36" s="1449"/>
      <c r="EO36" s="1449"/>
      <c r="EP36" s="1449"/>
      <c r="EQ36" s="1449"/>
      <c r="ER36" s="1449"/>
      <c r="ES36" s="1449"/>
      <c r="ET36" s="1449"/>
      <c r="EU36" s="1449"/>
      <c r="EV36" s="1449"/>
      <c r="EW36" s="1449"/>
      <c r="EX36" s="1449"/>
      <c r="EY36" s="1449"/>
      <c r="EZ36" s="1449"/>
      <c r="FA36" s="1449"/>
      <c r="FB36" s="1449"/>
      <c r="FC36" s="1449"/>
      <c r="FD36" s="1449"/>
      <c r="FE36" s="1449"/>
      <c r="FF36" s="1449"/>
      <c r="FG36" s="1449"/>
      <c r="FH36" s="1449"/>
      <c r="FI36" s="1449"/>
      <c r="FJ36" s="1449"/>
      <c r="FK36" s="1449"/>
      <c r="FL36" s="1449"/>
      <c r="FM36" s="1449"/>
      <c r="FN36" s="1449"/>
      <c r="FO36" s="1449"/>
      <c r="FP36" s="1449"/>
      <c r="FQ36" s="1449"/>
      <c r="FR36" s="1449"/>
      <c r="FS36" s="1449"/>
      <c r="FT36" s="1449"/>
      <c r="FU36" s="1449"/>
      <c r="FV36" s="1449"/>
      <c r="FW36" s="1449"/>
      <c r="FX36" s="1449"/>
      <c r="FY36" s="1449"/>
      <c r="FZ36" s="1449"/>
      <c r="GA36" s="1449"/>
      <c r="GB36" s="1449"/>
      <c r="GC36" s="1449"/>
      <c r="GD36" s="1449"/>
      <c r="GE36" s="1449"/>
      <c r="GF36" s="1449"/>
      <c r="GG36" s="1449"/>
      <c r="GH36" s="1449"/>
      <c r="GI36" s="1449"/>
      <c r="GJ36" s="1449"/>
      <c r="GK36" s="1449"/>
      <c r="GL36" s="1449"/>
      <c r="GM36" s="1449"/>
      <c r="GN36" s="1449"/>
      <c r="GO36" s="1449"/>
      <c r="GP36" s="1449"/>
      <c r="GQ36" s="1449"/>
      <c r="GR36" s="1449"/>
      <c r="GS36" s="1449"/>
      <c r="GT36" s="1449"/>
      <c r="GU36" s="1449"/>
      <c r="GV36" s="1449"/>
      <c r="GW36" s="1449"/>
      <c r="GX36" s="1449"/>
      <c r="GY36" s="1449"/>
      <c r="GZ36" s="1449"/>
      <c r="HA36" s="1449"/>
      <c r="HB36" s="1449"/>
      <c r="HC36" s="1449"/>
      <c r="HD36" s="1449"/>
      <c r="HE36" s="1449"/>
      <c r="HF36" s="1449"/>
      <c r="HG36" s="1449"/>
      <c r="HH36" s="1449"/>
      <c r="HI36" s="1449"/>
      <c r="HJ36" s="1449"/>
      <c r="HK36" s="1449"/>
      <c r="HL36" s="1449"/>
      <c r="HM36" s="1449"/>
      <c r="HN36" s="1449"/>
      <c r="HO36" s="1449"/>
      <c r="HP36" s="1449"/>
      <c r="HQ36" s="1449"/>
      <c r="HR36" s="1449"/>
      <c r="HS36" s="1449"/>
      <c r="HT36" s="1449"/>
      <c r="HU36" s="1449"/>
      <c r="HV36" s="1449"/>
      <c r="HW36" s="1449"/>
      <c r="HX36" s="1449"/>
      <c r="HY36" s="1449"/>
      <c r="HZ36" s="1449"/>
      <c r="IA36" s="1449"/>
      <c r="IB36" s="1449"/>
      <c r="IC36" s="1449"/>
      <c r="ID36" s="1449"/>
      <c r="IE36" s="1449"/>
      <c r="IF36" s="1449"/>
      <c r="IG36" s="1449"/>
      <c r="IH36" s="1449"/>
      <c r="II36" s="1449"/>
      <c r="IJ36" s="1449"/>
      <c r="IK36" s="1449"/>
      <c r="IL36" s="1449"/>
      <c r="IM36" s="1449"/>
      <c r="IN36" s="1449"/>
      <c r="IO36" s="1449"/>
      <c r="IP36" s="1449"/>
      <c r="IQ36" s="1449"/>
      <c r="IR36" s="1449"/>
      <c r="IS36" s="1449"/>
      <c r="IT36" s="1449"/>
      <c r="IU36" s="1449"/>
      <c r="IV36" s="1449"/>
    </row>
    <row r="37" spans="1:256" s="1475" customFormat="1" ht="24.75" customHeight="1" thickTop="1">
      <c r="A37" s="1463">
        <v>29</v>
      </c>
      <c r="B37" s="1480"/>
      <c r="C37" s="1476">
        <v>4</v>
      </c>
      <c r="D37" s="1518" t="s">
        <v>814</v>
      </c>
      <c r="E37" s="1546"/>
      <c r="F37" s="1546"/>
      <c r="G37" s="1547"/>
      <c r="H37" s="1548" t="s">
        <v>24</v>
      </c>
      <c r="I37" s="1546"/>
      <c r="J37" s="1546"/>
      <c r="K37" s="1546"/>
      <c r="L37" s="1546"/>
      <c r="M37" s="1546"/>
      <c r="N37" s="1546"/>
      <c r="O37" s="1546"/>
      <c r="P37" s="1547"/>
      <c r="Q37" s="1549"/>
      <c r="R37" s="1449"/>
      <c r="S37" s="1449"/>
      <c r="T37" s="1449"/>
      <c r="U37" s="1449"/>
      <c r="V37" s="1449"/>
      <c r="W37" s="1449"/>
      <c r="X37" s="1449"/>
      <c r="Y37" s="1449"/>
      <c r="Z37" s="1449"/>
      <c r="AA37" s="1449"/>
      <c r="AB37" s="1449"/>
      <c r="AC37" s="1449"/>
      <c r="AD37" s="1449"/>
      <c r="AE37" s="1449"/>
      <c r="AF37" s="1449"/>
      <c r="AG37" s="1449"/>
      <c r="AH37" s="1449"/>
      <c r="AI37" s="1449"/>
      <c r="AJ37" s="1449"/>
      <c r="AK37" s="1449"/>
      <c r="AL37" s="1449"/>
      <c r="AM37" s="1449"/>
      <c r="AN37" s="1449"/>
      <c r="AO37" s="1449"/>
      <c r="AP37" s="1449"/>
      <c r="AQ37" s="1449"/>
      <c r="AR37" s="1449"/>
      <c r="AS37" s="1449"/>
      <c r="AT37" s="1449"/>
      <c r="AU37" s="1449"/>
      <c r="AV37" s="1449"/>
      <c r="AW37" s="1449"/>
      <c r="AX37" s="1449"/>
      <c r="AY37" s="1449"/>
      <c r="AZ37" s="1449"/>
      <c r="BA37" s="1449"/>
      <c r="BB37" s="1449"/>
      <c r="BC37" s="1449"/>
      <c r="BD37" s="1449"/>
      <c r="BE37" s="1449"/>
      <c r="BF37" s="1449"/>
      <c r="BG37" s="1449"/>
      <c r="BH37" s="1449"/>
      <c r="BI37" s="1449"/>
      <c r="BJ37" s="1449"/>
      <c r="BK37" s="1449"/>
      <c r="BL37" s="1449"/>
      <c r="BM37" s="1449"/>
      <c r="BN37" s="1449"/>
      <c r="BO37" s="1449"/>
      <c r="BP37" s="1449"/>
      <c r="BQ37" s="1449"/>
      <c r="BR37" s="1449"/>
      <c r="BS37" s="1449"/>
      <c r="BT37" s="1449"/>
      <c r="BU37" s="1449"/>
      <c r="BV37" s="1449"/>
      <c r="BW37" s="1449"/>
      <c r="BX37" s="1449"/>
      <c r="BY37" s="1449"/>
      <c r="BZ37" s="1449"/>
      <c r="CA37" s="1449"/>
      <c r="CB37" s="1449"/>
      <c r="CC37" s="1449"/>
      <c r="CD37" s="1449"/>
      <c r="CE37" s="1449"/>
      <c r="CF37" s="1449"/>
      <c r="CG37" s="1449"/>
      <c r="CH37" s="1449"/>
      <c r="CI37" s="1449"/>
      <c r="CJ37" s="1449"/>
      <c r="CK37" s="1449"/>
      <c r="CL37" s="1449"/>
      <c r="CM37" s="1449"/>
      <c r="CN37" s="1449"/>
      <c r="CO37" s="1449"/>
      <c r="CP37" s="1449"/>
      <c r="CQ37" s="1449"/>
      <c r="CR37" s="1449"/>
      <c r="CS37" s="1449"/>
      <c r="CT37" s="1449"/>
      <c r="CU37" s="1449"/>
      <c r="CV37" s="1449"/>
      <c r="CW37" s="1449"/>
      <c r="CX37" s="1449"/>
      <c r="CY37" s="1449"/>
      <c r="CZ37" s="1449"/>
      <c r="DA37" s="1449"/>
      <c r="DB37" s="1449"/>
      <c r="DC37" s="1449"/>
      <c r="DD37" s="1449"/>
      <c r="DE37" s="1449"/>
      <c r="DF37" s="1449"/>
      <c r="DG37" s="1449"/>
      <c r="DH37" s="1449"/>
      <c r="DI37" s="1449"/>
      <c r="DJ37" s="1449"/>
      <c r="DK37" s="1449"/>
      <c r="DL37" s="1449"/>
      <c r="DM37" s="1449"/>
      <c r="DN37" s="1449"/>
      <c r="DO37" s="1449"/>
      <c r="DP37" s="1449"/>
      <c r="DQ37" s="1449"/>
      <c r="DR37" s="1449"/>
      <c r="DS37" s="1449"/>
      <c r="DT37" s="1449"/>
      <c r="DU37" s="1449"/>
      <c r="DV37" s="1449"/>
      <c r="DW37" s="1449"/>
      <c r="DX37" s="1449"/>
      <c r="DY37" s="1449"/>
      <c r="DZ37" s="1449"/>
      <c r="EA37" s="1449"/>
      <c r="EB37" s="1449"/>
      <c r="EC37" s="1449"/>
      <c r="ED37" s="1449"/>
      <c r="EE37" s="1449"/>
      <c r="EF37" s="1449"/>
      <c r="EG37" s="1449"/>
      <c r="EH37" s="1449"/>
      <c r="EI37" s="1449"/>
      <c r="EJ37" s="1449"/>
      <c r="EK37" s="1449"/>
      <c r="EL37" s="1449"/>
      <c r="EM37" s="1449"/>
      <c r="EN37" s="1449"/>
      <c r="EO37" s="1449"/>
      <c r="EP37" s="1449"/>
      <c r="EQ37" s="1449"/>
      <c r="ER37" s="1449"/>
      <c r="ES37" s="1449"/>
      <c r="ET37" s="1449"/>
      <c r="EU37" s="1449"/>
      <c r="EV37" s="1449"/>
      <c r="EW37" s="1449"/>
      <c r="EX37" s="1449"/>
      <c r="EY37" s="1449"/>
      <c r="EZ37" s="1449"/>
      <c r="FA37" s="1449"/>
      <c r="FB37" s="1449"/>
      <c r="FC37" s="1449"/>
      <c r="FD37" s="1449"/>
      <c r="FE37" s="1449"/>
      <c r="FF37" s="1449"/>
      <c r="FG37" s="1449"/>
      <c r="FH37" s="1449"/>
      <c r="FI37" s="1449"/>
      <c r="FJ37" s="1449"/>
      <c r="FK37" s="1449"/>
      <c r="FL37" s="1449"/>
      <c r="FM37" s="1449"/>
      <c r="FN37" s="1449"/>
      <c r="FO37" s="1449"/>
      <c r="FP37" s="1449"/>
      <c r="FQ37" s="1449"/>
      <c r="FR37" s="1449"/>
      <c r="FS37" s="1449"/>
      <c r="FT37" s="1449"/>
      <c r="FU37" s="1449"/>
      <c r="FV37" s="1449"/>
      <c r="FW37" s="1449"/>
      <c r="FX37" s="1449"/>
      <c r="FY37" s="1449"/>
      <c r="FZ37" s="1449"/>
      <c r="GA37" s="1449"/>
      <c r="GB37" s="1449"/>
      <c r="GC37" s="1449"/>
      <c r="GD37" s="1449"/>
      <c r="GE37" s="1449"/>
      <c r="GF37" s="1449"/>
      <c r="GG37" s="1449"/>
      <c r="GH37" s="1449"/>
      <c r="GI37" s="1449"/>
      <c r="GJ37" s="1449"/>
      <c r="GK37" s="1449"/>
      <c r="GL37" s="1449"/>
      <c r="GM37" s="1449"/>
      <c r="GN37" s="1449"/>
      <c r="GO37" s="1449"/>
      <c r="GP37" s="1449"/>
      <c r="GQ37" s="1449"/>
      <c r="GR37" s="1449"/>
      <c r="GS37" s="1449"/>
      <c r="GT37" s="1449"/>
      <c r="GU37" s="1449"/>
      <c r="GV37" s="1449"/>
      <c r="GW37" s="1449"/>
      <c r="GX37" s="1449"/>
      <c r="GY37" s="1449"/>
      <c r="GZ37" s="1449"/>
      <c r="HA37" s="1449"/>
      <c r="HB37" s="1449"/>
      <c r="HC37" s="1449"/>
      <c r="HD37" s="1449"/>
      <c r="HE37" s="1449"/>
      <c r="HF37" s="1449"/>
      <c r="HG37" s="1449"/>
      <c r="HH37" s="1449"/>
      <c r="HI37" s="1449"/>
      <c r="HJ37" s="1449"/>
      <c r="HK37" s="1449"/>
      <c r="HL37" s="1449"/>
      <c r="HM37" s="1449"/>
      <c r="HN37" s="1449"/>
      <c r="HO37" s="1449"/>
      <c r="HP37" s="1449"/>
      <c r="HQ37" s="1449"/>
      <c r="HR37" s="1449"/>
      <c r="HS37" s="1449"/>
      <c r="HT37" s="1449"/>
      <c r="HU37" s="1449"/>
      <c r="HV37" s="1449"/>
      <c r="HW37" s="1449"/>
      <c r="HX37" s="1449"/>
      <c r="HY37" s="1449"/>
      <c r="HZ37" s="1449"/>
      <c r="IA37" s="1449"/>
      <c r="IB37" s="1449"/>
      <c r="IC37" s="1449"/>
      <c r="ID37" s="1449"/>
      <c r="IE37" s="1449"/>
      <c r="IF37" s="1449"/>
      <c r="IG37" s="1449"/>
      <c r="IH37" s="1449"/>
      <c r="II37" s="1449"/>
      <c r="IJ37" s="1449"/>
      <c r="IK37" s="1449"/>
      <c r="IL37" s="1449"/>
      <c r="IM37" s="1449"/>
      <c r="IN37" s="1449"/>
      <c r="IO37" s="1449"/>
      <c r="IP37" s="1449"/>
      <c r="IQ37" s="1449"/>
      <c r="IR37" s="1449"/>
      <c r="IS37" s="1449"/>
      <c r="IT37" s="1449"/>
      <c r="IU37" s="1449"/>
      <c r="IV37" s="1449"/>
    </row>
    <row r="38" spans="1:256" s="1475" customFormat="1" ht="25.5" customHeight="1">
      <c r="A38" s="1463">
        <v>30</v>
      </c>
      <c r="B38" s="1480"/>
      <c r="C38" s="1481"/>
      <c r="D38" s="1537" t="s">
        <v>818</v>
      </c>
      <c r="E38" s="1550"/>
      <c r="F38" s="1550"/>
      <c r="G38" s="1551"/>
      <c r="H38" s="1552"/>
      <c r="I38" s="1550"/>
      <c r="J38" s="1550"/>
      <c r="K38" s="1550"/>
      <c r="L38" s="1550"/>
      <c r="M38" s="1550"/>
      <c r="N38" s="1550"/>
      <c r="O38" s="1550"/>
      <c r="P38" s="1551"/>
      <c r="Q38" s="1553"/>
      <c r="R38" s="1449"/>
      <c r="S38" s="1449"/>
      <c r="T38" s="1449"/>
      <c r="U38" s="1449"/>
      <c r="V38" s="1449"/>
      <c r="W38" s="1449"/>
      <c r="X38" s="1449"/>
      <c r="Y38" s="1449"/>
      <c r="Z38" s="1449"/>
      <c r="AA38" s="1449"/>
      <c r="AB38" s="1449"/>
      <c r="AC38" s="1449"/>
      <c r="AD38" s="1449"/>
      <c r="AE38" s="1449"/>
      <c r="AF38" s="1449"/>
      <c r="AG38" s="1449"/>
      <c r="AH38" s="1449"/>
      <c r="AI38" s="1449"/>
      <c r="AJ38" s="1449"/>
      <c r="AK38" s="1449"/>
      <c r="AL38" s="1449"/>
      <c r="AM38" s="1449"/>
      <c r="AN38" s="1449"/>
      <c r="AO38" s="1449"/>
      <c r="AP38" s="1449"/>
      <c r="AQ38" s="1449"/>
      <c r="AR38" s="1449"/>
      <c r="AS38" s="1449"/>
      <c r="AT38" s="1449"/>
      <c r="AU38" s="1449"/>
      <c r="AV38" s="1449"/>
      <c r="AW38" s="1449"/>
      <c r="AX38" s="1449"/>
      <c r="AY38" s="1449"/>
      <c r="AZ38" s="1449"/>
      <c r="BA38" s="1449"/>
      <c r="BB38" s="1449"/>
      <c r="BC38" s="1449"/>
      <c r="BD38" s="1449"/>
      <c r="BE38" s="1449"/>
      <c r="BF38" s="1449"/>
      <c r="BG38" s="1449"/>
      <c r="BH38" s="1449"/>
      <c r="BI38" s="1449"/>
      <c r="BJ38" s="1449"/>
      <c r="BK38" s="1449"/>
      <c r="BL38" s="1449"/>
      <c r="BM38" s="1449"/>
      <c r="BN38" s="1449"/>
      <c r="BO38" s="1449"/>
      <c r="BP38" s="1449"/>
      <c r="BQ38" s="1449"/>
      <c r="BR38" s="1449"/>
      <c r="BS38" s="1449"/>
      <c r="BT38" s="1449"/>
      <c r="BU38" s="1449"/>
      <c r="BV38" s="1449"/>
      <c r="BW38" s="1449"/>
      <c r="BX38" s="1449"/>
      <c r="BY38" s="1449"/>
      <c r="BZ38" s="1449"/>
      <c r="CA38" s="1449"/>
      <c r="CB38" s="1449"/>
      <c r="CC38" s="1449"/>
      <c r="CD38" s="1449"/>
      <c r="CE38" s="1449"/>
      <c r="CF38" s="1449"/>
      <c r="CG38" s="1449"/>
      <c r="CH38" s="1449"/>
      <c r="CI38" s="1449"/>
      <c r="CJ38" s="1449"/>
      <c r="CK38" s="1449"/>
      <c r="CL38" s="1449"/>
      <c r="CM38" s="1449"/>
      <c r="CN38" s="1449"/>
      <c r="CO38" s="1449"/>
      <c r="CP38" s="1449"/>
      <c r="CQ38" s="1449"/>
      <c r="CR38" s="1449"/>
      <c r="CS38" s="1449"/>
      <c r="CT38" s="1449"/>
      <c r="CU38" s="1449"/>
      <c r="CV38" s="1449"/>
      <c r="CW38" s="1449"/>
      <c r="CX38" s="1449"/>
      <c r="CY38" s="1449"/>
      <c r="CZ38" s="1449"/>
      <c r="DA38" s="1449"/>
      <c r="DB38" s="1449"/>
      <c r="DC38" s="1449"/>
      <c r="DD38" s="1449"/>
      <c r="DE38" s="1449"/>
      <c r="DF38" s="1449"/>
      <c r="DG38" s="1449"/>
      <c r="DH38" s="1449"/>
      <c r="DI38" s="1449"/>
      <c r="DJ38" s="1449"/>
      <c r="DK38" s="1449"/>
      <c r="DL38" s="1449"/>
      <c r="DM38" s="1449"/>
      <c r="DN38" s="1449"/>
      <c r="DO38" s="1449"/>
      <c r="DP38" s="1449"/>
      <c r="DQ38" s="1449"/>
      <c r="DR38" s="1449"/>
      <c r="DS38" s="1449"/>
      <c r="DT38" s="1449"/>
      <c r="DU38" s="1449"/>
      <c r="DV38" s="1449"/>
      <c r="DW38" s="1449"/>
      <c r="DX38" s="1449"/>
      <c r="DY38" s="1449"/>
      <c r="DZ38" s="1449"/>
      <c r="EA38" s="1449"/>
      <c r="EB38" s="1449"/>
      <c r="EC38" s="1449"/>
      <c r="ED38" s="1449"/>
      <c r="EE38" s="1449"/>
      <c r="EF38" s="1449"/>
      <c r="EG38" s="1449"/>
      <c r="EH38" s="1449"/>
      <c r="EI38" s="1449"/>
      <c r="EJ38" s="1449"/>
      <c r="EK38" s="1449"/>
      <c r="EL38" s="1449"/>
      <c r="EM38" s="1449"/>
      <c r="EN38" s="1449"/>
      <c r="EO38" s="1449"/>
      <c r="EP38" s="1449"/>
      <c r="EQ38" s="1449"/>
      <c r="ER38" s="1449"/>
      <c r="ES38" s="1449"/>
      <c r="ET38" s="1449"/>
      <c r="EU38" s="1449"/>
      <c r="EV38" s="1449"/>
      <c r="EW38" s="1449"/>
      <c r="EX38" s="1449"/>
      <c r="EY38" s="1449"/>
      <c r="EZ38" s="1449"/>
      <c r="FA38" s="1449"/>
      <c r="FB38" s="1449"/>
      <c r="FC38" s="1449"/>
      <c r="FD38" s="1449"/>
      <c r="FE38" s="1449"/>
      <c r="FF38" s="1449"/>
      <c r="FG38" s="1449"/>
      <c r="FH38" s="1449"/>
      <c r="FI38" s="1449"/>
      <c r="FJ38" s="1449"/>
      <c r="FK38" s="1449"/>
      <c r="FL38" s="1449"/>
      <c r="FM38" s="1449"/>
      <c r="FN38" s="1449"/>
      <c r="FO38" s="1449"/>
      <c r="FP38" s="1449"/>
      <c r="FQ38" s="1449"/>
      <c r="FR38" s="1449"/>
      <c r="FS38" s="1449"/>
      <c r="FT38" s="1449"/>
      <c r="FU38" s="1449"/>
      <c r="FV38" s="1449"/>
      <c r="FW38" s="1449"/>
      <c r="FX38" s="1449"/>
      <c r="FY38" s="1449"/>
      <c r="FZ38" s="1449"/>
      <c r="GA38" s="1449"/>
      <c r="GB38" s="1449"/>
      <c r="GC38" s="1449"/>
      <c r="GD38" s="1449"/>
      <c r="GE38" s="1449"/>
      <c r="GF38" s="1449"/>
      <c r="GG38" s="1449"/>
      <c r="GH38" s="1449"/>
      <c r="GI38" s="1449"/>
      <c r="GJ38" s="1449"/>
      <c r="GK38" s="1449"/>
      <c r="GL38" s="1449"/>
      <c r="GM38" s="1449"/>
      <c r="GN38" s="1449"/>
      <c r="GO38" s="1449"/>
      <c r="GP38" s="1449"/>
      <c r="GQ38" s="1449"/>
      <c r="GR38" s="1449"/>
      <c r="GS38" s="1449"/>
      <c r="GT38" s="1449"/>
      <c r="GU38" s="1449"/>
      <c r="GV38" s="1449"/>
      <c r="GW38" s="1449"/>
      <c r="GX38" s="1449"/>
      <c r="GY38" s="1449"/>
      <c r="GZ38" s="1449"/>
      <c r="HA38" s="1449"/>
      <c r="HB38" s="1449"/>
      <c r="HC38" s="1449"/>
      <c r="HD38" s="1449"/>
      <c r="HE38" s="1449"/>
      <c r="HF38" s="1449"/>
      <c r="HG38" s="1449"/>
      <c r="HH38" s="1449"/>
      <c r="HI38" s="1449"/>
      <c r="HJ38" s="1449"/>
      <c r="HK38" s="1449"/>
      <c r="HL38" s="1449"/>
      <c r="HM38" s="1449"/>
      <c r="HN38" s="1449"/>
      <c r="HO38" s="1449"/>
      <c r="HP38" s="1449"/>
      <c r="HQ38" s="1449"/>
      <c r="HR38" s="1449"/>
      <c r="HS38" s="1449"/>
      <c r="HT38" s="1449"/>
      <c r="HU38" s="1449"/>
      <c r="HV38" s="1449"/>
      <c r="HW38" s="1449"/>
      <c r="HX38" s="1449"/>
      <c r="HY38" s="1449"/>
      <c r="HZ38" s="1449"/>
      <c r="IA38" s="1449"/>
      <c r="IB38" s="1449"/>
      <c r="IC38" s="1449"/>
      <c r="ID38" s="1449"/>
      <c r="IE38" s="1449"/>
      <c r="IF38" s="1449"/>
      <c r="IG38" s="1449"/>
      <c r="IH38" s="1449"/>
      <c r="II38" s="1449"/>
      <c r="IJ38" s="1449"/>
      <c r="IK38" s="1449"/>
      <c r="IL38" s="1449"/>
      <c r="IM38" s="1449"/>
      <c r="IN38" s="1449"/>
      <c r="IO38" s="1449"/>
      <c r="IP38" s="1449"/>
      <c r="IQ38" s="1449"/>
      <c r="IR38" s="1449"/>
      <c r="IS38" s="1449"/>
      <c r="IT38" s="1449"/>
      <c r="IU38" s="1449"/>
      <c r="IV38" s="1449"/>
    </row>
    <row r="39" spans="1:256" s="1475" customFormat="1" ht="18" customHeight="1">
      <c r="A39" s="1463">
        <v>31</v>
      </c>
      <c r="B39" s="1480"/>
      <c r="C39" s="1501"/>
      <c r="D39" s="1490" t="s">
        <v>293</v>
      </c>
      <c r="E39" s="1554"/>
      <c r="F39" s="1554"/>
      <c r="G39" s="1555"/>
      <c r="H39" s="1556"/>
      <c r="I39" s="1554"/>
      <c r="J39" s="1554"/>
      <c r="K39" s="1554"/>
      <c r="L39" s="1554"/>
      <c r="M39" s="1494">
        <v>363855</v>
      </c>
      <c r="N39" s="1554"/>
      <c r="O39" s="1554"/>
      <c r="P39" s="1496">
        <f>SUM(I39:O39)</f>
        <v>363855</v>
      </c>
      <c r="Q39" s="1557"/>
      <c r="R39" s="1449"/>
      <c r="S39" s="1449"/>
      <c r="T39" s="1449"/>
      <c r="U39" s="1449"/>
      <c r="V39" s="1449"/>
      <c r="W39" s="1449"/>
      <c r="X39" s="1449"/>
      <c r="Y39" s="1449"/>
      <c r="Z39" s="1449"/>
      <c r="AA39" s="1449"/>
      <c r="AB39" s="1449"/>
      <c r="AC39" s="1449"/>
      <c r="AD39" s="1449"/>
      <c r="AE39" s="1449"/>
      <c r="AF39" s="1449"/>
      <c r="AG39" s="1449"/>
      <c r="AH39" s="1449"/>
      <c r="AI39" s="1449"/>
      <c r="AJ39" s="1449"/>
      <c r="AK39" s="1449"/>
      <c r="AL39" s="1449"/>
      <c r="AM39" s="1449"/>
      <c r="AN39" s="1449"/>
      <c r="AO39" s="1449"/>
      <c r="AP39" s="1449"/>
      <c r="AQ39" s="1449"/>
      <c r="AR39" s="1449"/>
      <c r="AS39" s="1449"/>
      <c r="AT39" s="1449"/>
      <c r="AU39" s="1449"/>
      <c r="AV39" s="1449"/>
      <c r="AW39" s="1449"/>
      <c r="AX39" s="1449"/>
      <c r="AY39" s="1449"/>
      <c r="AZ39" s="1449"/>
      <c r="BA39" s="1449"/>
      <c r="BB39" s="1449"/>
      <c r="BC39" s="1449"/>
      <c r="BD39" s="1449"/>
      <c r="BE39" s="1449"/>
      <c r="BF39" s="1449"/>
      <c r="BG39" s="1449"/>
      <c r="BH39" s="1449"/>
      <c r="BI39" s="1449"/>
      <c r="BJ39" s="1449"/>
      <c r="BK39" s="1449"/>
      <c r="BL39" s="1449"/>
      <c r="BM39" s="1449"/>
      <c r="BN39" s="1449"/>
      <c r="BO39" s="1449"/>
      <c r="BP39" s="1449"/>
      <c r="BQ39" s="1449"/>
      <c r="BR39" s="1449"/>
      <c r="BS39" s="1449"/>
      <c r="BT39" s="1449"/>
      <c r="BU39" s="1449"/>
      <c r="BV39" s="1449"/>
      <c r="BW39" s="1449"/>
      <c r="BX39" s="1449"/>
      <c r="BY39" s="1449"/>
      <c r="BZ39" s="1449"/>
      <c r="CA39" s="1449"/>
      <c r="CB39" s="1449"/>
      <c r="CC39" s="1449"/>
      <c r="CD39" s="1449"/>
      <c r="CE39" s="1449"/>
      <c r="CF39" s="1449"/>
      <c r="CG39" s="1449"/>
      <c r="CH39" s="1449"/>
      <c r="CI39" s="1449"/>
      <c r="CJ39" s="1449"/>
      <c r="CK39" s="1449"/>
      <c r="CL39" s="1449"/>
      <c r="CM39" s="1449"/>
      <c r="CN39" s="1449"/>
      <c r="CO39" s="1449"/>
      <c r="CP39" s="1449"/>
      <c r="CQ39" s="1449"/>
      <c r="CR39" s="1449"/>
      <c r="CS39" s="1449"/>
      <c r="CT39" s="1449"/>
      <c r="CU39" s="1449"/>
      <c r="CV39" s="1449"/>
      <c r="CW39" s="1449"/>
      <c r="CX39" s="1449"/>
      <c r="CY39" s="1449"/>
      <c r="CZ39" s="1449"/>
      <c r="DA39" s="1449"/>
      <c r="DB39" s="1449"/>
      <c r="DC39" s="1449"/>
      <c r="DD39" s="1449"/>
      <c r="DE39" s="1449"/>
      <c r="DF39" s="1449"/>
      <c r="DG39" s="1449"/>
      <c r="DH39" s="1449"/>
      <c r="DI39" s="1449"/>
      <c r="DJ39" s="1449"/>
      <c r="DK39" s="1449"/>
      <c r="DL39" s="1449"/>
      <c r="DM39" s="1449"/>
      <c r="DN39" s="1449"/>
      <c r="DO39" s="1449"/>
      <c r="DP39" s="1449"/>
      <c r="DQ39" s="1449"/>
      <c r="DR39" s="1449"/>
      <c r="DS39" s="1449"/>
      <c r="DT39" s="1449"/>
      <c r="DU39" s="1449"/>
      <c r="DV39" s="1449"/>
      <c r="DW39" s="1449"/>
      <c r="DX39" s="1449"/>
      <c r="DY39" s="1449"/>
      <c r="DZ39" s="1449"/>
      <c r="EA39" s="1449"/>
      <c r="EB39" s="1449"/>
      <c r="EC39" s="1449"/>
      <c r="ED39" s="1449"/>
      <c r="EE39" s="1449"/>
      <c r="EF39" s="1449"/>
      <c r="EG39" s="1449"/>
      <c r="EH39" s="1449"/>
      <c r="EI39" s="1449"/>
      <c r="EJ39" s="1449"/>
      <c r="EK39" s="1449"/>
      <c r="EL39" s="1449"/>
      <c r="EM39" s="1449"/>
      <c r="EN39" s="1449"/>
      <c r="EO39" s="1449"/>
      <c r="EP39" s="1449"/>
      <c r="EQ39" s="1449"/>
      <c r="ER39" s="1449"/>
      <c r="ES39" s="1449"/>
      <c r="ET39" s="1449"/>
      <c r="EU39" s="1449"/>
      <c r="EV39" s="1449"/>
      <c r="EW39" s="1449"/>
      <c r="EX39" s="1449"/>
      <c r="EY39" s="1449"/>
      <c r="EZ39" s="1449"/>
      <c r="FA39" s="1449"/>
      <c r="FB39" s="1449"/>
      <c r="FC39" s="1449"/>
      <c r="FD39" s="1449"/>
      <c r="FE39" s="1449"/>
      <c r="FF39" s="1449"/>
      <c r="FG39" s="1449"/>
      <c r="FH39" s="1449"/>
      <c r="FI39" s="1449"/>
      <c r="FJ39" s="1449"/>
      <c r="FK39" s="1449"/>
      <c r="FL39" s="1449"/>
      <c r="FM39" s="1449"/>
      <c r="FN39" s="1449"/>
      <c r="FO39" s="1449"/>
      <c r="FP39" s="1449"/>
      <c r="FQ39" s="1449"/>
      <c r="FR39" s="1449"/>
      <c r="FS39" s="1449"/>
      <c r="FT39" s="1449"/>
      <c r="FU39" s="1449"/>
      <c r="FV39" s="1449"/>
      <c r="FW39" s="1449"/>
      <c r="FX39" s="1449"/>
      <c r="FY39" s="1449"/>
      <c r="FZ39" s="1449"/>
      <c r="GA39" s="1449"/>
      <c r="GB39" s="1449"/>
      <c r="GC39" s="1449"/>
      <c r="GD39" s="1449"/>
      <c r="GE39" s="1449"/>
      <c r="GF39" s="1449"/>
      <c r="GG39" s="1449"/>
      <c r="GH39" s="1449"/>
      <c r="GI39" s="1449"/>
      <c r="GJ39" s="1449"/>
      <c r="GK39" s="1449"/>
      <c r="GL39" s="1449"/>
      <c r="GM39" s="1449"/>
      <c r="GN39" s="1449"/>
      <c r="GO39" s="1449"/>
      <c r="GP39" s="1449"/>
      <c r="GQ39" s="1449"/>
      <c r="GR39" s="1449"/>
      <c r="GS39" s="1449"/>
      <c r="GT39" s="1449"/>
      <c r="GU39" s="1449"/>
      <c r="GV39" s="1449"/>
      <c r="GW39" s="1449"/>
      <c r="GX39" s="1449"/>
      <c r="GY39" s="1449"/>
      <c r="GZ39" s="1449"/>
      <c r="HA39" s="1449"/>
      <c r="HB39" s="1449"/>
      <c r="HC39" s="1449"/>
      <c r="HD39" s="1449"/>
      <c r="HE39" s="1449"/>
      <c r="HF39" s="1449"/>
      <c r="HG39" s="1449"/>
      <c r="HH39" s="1449"/>
      <c r="HI39" s="1449"/>
      <c r="HJ39" s="1449"/>
      <c r="HK39" s="1449"/>
      <c r="HL39" s="1449"/>
      <c r="HM39" s="1449"/>
      <c r="HN39" s="1449"/>
      <c r="HO39" s="1449"/>
      <c r="HP39" s="1449"/>
      <c r="HQ39" s="1449"/>
      <c r="HR39" s="1449"/>
      <c r="HS39" s="1449"/>
      <c r="HT39" s="1449"/>
      <c r="HU39" s="1449"/>
      <c r="HV39" s="1449"/>
      <c r="HW39" s="1449"/>
      <c r="HX39" s="1449"/>
      <c r="HY39" s="1449"/>
      <c r="HZ39" s="1449"/>
      <c r="IA39" s="1449"/>
      <c r="IB39" s="1449"/>
      <c r="IC39" s="1449"/>
      <c r="ID39" s="1449"/>
      <c r="IE39" s="1449"/>
      <c r="IF39" s="1449"/>
      <c r="IG39" s="1449"/>
      <c r="IH39" s="1449"/>
      <c r="II39" s="1449"/>
      <c r="IJ39" s="1449"/>
      <c r="IK39" s="1449"/>
      <c r="IL39" s="1449"/>
      <c r="IM39" s="1449"/>
      <c r="IN39" s="1449"/>
      <c r="IO39" s="1449"/>
      <c r="IP39" s="1449"/>
      <c r="IQ39" s="1449"/>
      <c r="IR39" s="1449"/>
      <c r="IS39" s="1449"/>
      <c r="IT39" s="1449"/>
      <c r="IU39" s="1449"/>
      <c r="IV39" s="1449"/>
    </row>
    <row r="40" spans="1:256" s="1475" customFormat="1" ht="33.75" customHeight="1">
      <c r="A40" s="1463">
        <v>32</v>
      </c>
      <c r="B40" s="1480"/>
      <c r="C40" s="1481"/>
      <c r="D40" s="1537" t="s">
        <v>817</v>
      </c>
      <c r="E40" s="1550"/>
      <c r="F40" s="1550"/>
      <c r="G40" s="1551"/>
      <c r="H40" s="1552"/>
      <c r="I40" s="1550"/>
      <c r="J40" s="1550"/>
      <c r="K40" s="1550"/>
      <c r="L40" s="1550"/>
      <c r="M40" s="1550"/>
      <c r="N40" s="1550"/>
      <c r="O40" s="1550"/>
      <c r="P40" s="1551"/>
      <c r="Q40" s="1553"/>
      <c r="R40" s="1449"/>
      <c r="S40" s="1449"/>
      <c r="T40" s="1449"/>
      <c r="U40" s="1449"/>
      <c r="V40" s="1449"/>
      <c r="W40" s="1449"/>
      <c r="X40" s="1449"/>
      <c r="Y40" s="1449"/>
      <c r="Z40" s="1449"/>
      <c r="AA40" s="1449"/>
      <c r="AB40" s="1449"/>
      <c r="AC40" s="1449"/>
      <c r="AD40" s="1449"/>
      <c r="AE40" s="1449"/>
      <c r="AF40" s="1449"/>
      <c r="AG40" s="1449"/>
      <c r="AH40" s="1449"/>
      <c r="AI40" s="1449"/>
      <c r="AJ40" s="1449"/>
      <c r="AK40" s="1449"/>
      <c r="AL40" s="1449"/>
      <c r="AM40" s="1449"/>
      <c r="AN40" s="1449"/>
      <c r="AO40" s="1449"/>
      <c r="AP40" s="1449"/>
      <c r="AQ40" s="1449"/>
      <c r="AR40" s="1449"/>
      <c r="AS40" s="1449"/>
      <c r="AT40" s="1449"/>
      <c r="AU40" s="1449"/>
      <c r="AV40" s="1449"/>
      <c r="AW40" s="1449"/>
      <c r="AX40" s="1449"/>
      <c r="AY40" s="1449"/>
      <c r="AZ40" s="1449"/>
      <c r="BA40" s="1449"/>
      <c r="BB40" s="1449"/>
      <c r="BC40" s="1449"/>
      <c r="BD40" s="1449"/>
      <c r="BE40" s="1449"/>
      <c r="BF40" s="1449"/>
      <c r="BG40" s="1449"/>
      <c r="BH40" s="1449"/>
      <c r="BI40" s="1449"/>
      <c r="BJ40" s="1449"/>
      <c r="BK40" s="1449"/>
      <c r="BL40" s="1449"/>
      <c r="BM40" s="1449"/>
      <c r="BN40" s="1449"/>
      <c r="BO40" s="1449"/>
      <c r="BP40" s="1449"/>
      <c r="BQ40" s="1449"/>
      <c r="BR40" s="1449"/>
      <c r="BS40" s="1449"/>
      <c r="BT40" s="1449"/>
      <c r="BU40" s="1449"/>
      <c r="BV40" s="1449"/>
      <c r="BW40" s="1449"/>
      <c r="BX40" s="1449"/>
      <c r="BY40" s="1449"/>
      <c r="BZ40" s="1449"/>
      <c r="CA40" s="1449"/>
      <c r="CB40" s="1449"/>
      <c r="CC40" s="1449"/>
      <c r="CD40" s="1449"/>
      <c r="CE40" s="1449"/>
      <c r="CF40" s="1449"/>
      <c r="CG40" s="1449"/>
      <c r="CH40" s="1449"/>
      <c r="CI40" s="1449"/>
      <c r="CJ40" s="1449"/>
      <c r="CK40" s="1449"/>
      <c r="CL40" s="1449"/>
      <c r="CM40" s="1449"/>
      <c r="CN40" s="1449"/>
      <c r="CO40" s="1449"/>
      <c r="CP40" s="1449"/>
      <c r="CQ40" s="1449"/>
      <c r="CR40" s="1449"/>
      <c r="CS40" s="1449"/>
      <c r="CT40" s="1449"/>
      <c r="CU40" s="1449"/>
      <c r="CV40" s="1449"/>
      <c r="CW40" s="1449"/>
      <c r="CX40" s="1449"/>
      <c r="CY40" s="1449"/>
      <c r="CZ40" s="1449"/>
      <c r="DA40" s="1449"/>
      <c r="DB40" s="1449"/>
      <c r="DC40" s="1449"/>
      <c r="DD40" s="1449"/>
      <c r="DE40" s="1449"/>
      <c r="DF40" s="1449"/>
      <c r="DG40" s="1449"/>
      <c r="DH40" s="1449"/>
      <c r="DI40" s="1449"/>
      <c r="DJ40" s="1449"/>
      <c r="DK40" s="1449"/>
      <c r="DL40" s="1449"/>
      <c r="DM40" s="1449"/>
      <c r="DN40" s="1449"/>
      <c r="DO40" s="1449"/>
      <c r="DP40" s="1449"/>
      <c r="DQ40" s="1449"/>
      <c r="DR40" s="1449"/>
      <c r="DS40" s="1449"/>
      <c r="DT40" s="1449"/>
      <c r="DU40" s="1449"/>
      <c r="DV40" s="1449"/>
      <c r="DW40" s="1449"/>
      <c r="DX40" s="1449"/>
      <c r="DY40" s="1449"/>
      <c r="DZ40" s="1449"/>
      <c r="EA40" s="1449"/>
      <c r="EB40" s="1449"/>
      <c r="EC40" s="1449"/>
      <c r="ED40" s="1449"/>
      <c r="EE40" s="1449"/>
      <c r="EF40" s="1449"/>
      <c r="EG40" s="1449"/>
      <c r="EH40" s="1449"/>
      <c r="EI40" s="1449"/>
      <c r="EJ40" s="1449"/>
      <c r="EK40" s="1449"/>
      <c r="EL40" s="1449"/>
      <c r="EM40" s="1449"/>
      <c r="EN40" s="1449"/>
      <c r="EO40" s="1449"/>
      <c r="EP40" s="1449"/>
      <c r="EQ40" s="1449"/>
      <c r="ER40" s="1449"/>
      <c r="ES40" s="1449"/>
      <c r="ET40" s="1449"/>
      <c r="EU40" s="1449"/>
      <c r="EV40" s="1449"/>
      <c r="EW40" s="1449"/>
      <c r="EX40" s="1449"/>
      <c r="EY40" s="1449"/>
      <c r="EZ40" s="1449"/>
      <c r="FA40" s="1449"/>
      <c r="FB40" s="1449"/>
      <c r="FC40" s="1449"/>
      <c r="FD40" s="1449"/>
      <c r="FE40" s="1449"/>
      <c r="FF40" s="1449"/>
      <c r="FG40" s="1449"/>
      <c r="FH40" s="1449"/>
      <c r="FI40" s="1449"/>
      <c r="FJ40" s="1449"/>
      <c r="FK40" s="1449"/>
      <c r="FL40" s="1449"/>
      <c r="FM40" s="1449"/>
      <c r="FN40" s="1449"/>
      <c r="FO40" s="1449"/>
      <c r="FP40" s="1449"/>
      <c r="FQ40" s="1449"/>
      <c r="FR40" s="1449"/>
      <c r="FS40" s="1449"/>
      <c r="FT40" s="1449"/>
      <c r="FU40" s="1449"/>
      <c r="FV40" s="1449"/>
      <c r="FW40" s="1449"/>
      <c r="FX40" s="1449"/>
      <c r="FY40" s="1449"/>
      <c r="FZ40" s="1449"/>
      <c r="GA40" s="1449"/>
      <c r="GB40" s="1449"/>
      <c r="GC40" s="1449"/>
      <c r="GD40" s="1449"/>
      <c r="GE40" s="1449"/>
      <c r="GF40" s="1449"/>
      <c r="GG40" s="1449"/>
      <c r="GH40" s="1449"/>
      <c r="GI40" s="1449"/>
      <c r="GJ40" s="1449"/>
      <c r="GK40" s="1449"/>
      <c r="GL40" s="1449"/>
      <c r="GM40" s="1449"/>
      <c r="GN40" s="1449"/>
      <c r="GO40" s="1449"/>
      <c r="GP40" s="1449"/>
      <c r="GQ40" s="1449"/>
      <c r="GR40" s="1449"/>
      <c r="GS40" s="1449"/>
      <c r="GT40" s="1449"/>
      <c r="GU40" s="1449"/>
      <c r="GV40" s="1449"/>
      <c r="GW40" s="1449"/>
      <c r="GX40" s="1449"/>
      <c r="GY40" s="1449"/>
      <c r="GZ40" s="1449"/>
      <c r="HA40" s="1449"/>
      <c r="HB40" s="1449"/>
      <c r="HC40" s="1449"/>
      <c r="HD40" s="1449"/>
      <c r="HE40" s="1449"/>
      <c r="HF40" s="1449"/>
      <c r="HG40" s="1449"/>
      <c r="HH40" s="1449"/>
      <c r="HI40" s="1449"/>
      <c r="HJ40" s="1449"/>
      <c r="HK40" s="1449"/>
      <c r="HL40" s="1449"/>
      <c r="HM40" s="1449"/>
      <c r="HN40" s="1449"/>
      <c r="HO40" s="1449"/>
      <c r="HP40" s="1449"/>
      <c r="HQ40" s="1449"/>
      <c r="HR40" s="1449"/>
      <c r="HS40" s="1449"/>
      <c r="HT40" s="1449"/>
      <c r="HU40" s="1449"/>
      <c r="HV40" s="1449"/>
      <c r="HW40" s="1449"/>
      <c r="HX40" s="1449"/>
      <c r="HY40" s="1449"/>
      <c r="HZ40" s="1449"/>
      <c r="IA40" s="1449"/>
      <c r="IB40" s="1449"/>
      <c r="IC40" s="1449"/>
      <c r="ID40" s="1449"/>
      <c r="IE40" s="1449"/>
      <c r="IF40" s="1449"/>
      <c r="IG40" s="1449"/>
      <c r="IH40" s="1449"/>
      <c r="II40" s="1449"/>
      <c r="IJ40" s="1449"/>
      <c r="IK40" s="1449"/>
      <c r="IL40" s="1449"/>
      <c r="IM40" s="1449"/>
      <c r="IN40" s="1449"/>
      <c r="IO40" s="1449"/>
      <c r="IP40" s="1449"/>
      <c r="IQ40" s="1449"/>
      <c r="IR40" s="1449"/>
      <c r="IS40" s="1449"/>
      <c r="IT40" s="1449"/>
      <c r="IU40" s="1449"/>
      <c r="IV40" s="1449"/>
    </row>
    <row r="41" spans="1:256" s="1475" customFormat="1" ht="18" customHeight="1" thickBot="1">
      <c r="A41" s="1463">
        <v>33</v>
      </c>
      <c r="B41" s="1480"/>
      <c r="C41" s="1558"/>
      <c r="D41" s="1490" t="s">
        <v>293</v>
      </c>
      <c r="E41" s="1559"/>
      <c r="F41" s="1559"/>
      <c r="G41" s="1560"/>
      <c r="H41" s="1561"/>
      <c r="I41" s="1559"/>
      <c r="J41" s="1559"/>
      <c r="K41" s="1559"/>
      <c r="L41" s="1559"/>
      <c r="M41" s="1494">
        <v>661170</v>
      </c>
      <c r="N41" s="1559"/>
      <c r="O41" s="1559"/>
      <c r="P41" s="1496">
        <f>SUM(I41:O41)</f>
        <v>661170</v>
      </c>
      <c r="Q41" s="1562"/>
      <c r="R41" s="1449"/>
      <c r="S41" s="1449"/>
      <c r="T41" s="1449"/>
      <c r="U41" s="1449"/>
      <c r="V41" s="1449"/>
      <c r="W41" s="1449"/>
      <c r="X41" s="1449"/>
      <c r="Y41" s="1449"/>
      <c r="Z41" s="1449"/>
      <c r="AA41" s="1449"/>
      <c r="AB41" s="1449"/>
      <c r="AC41" s="1449"/>
      <c r="AD41" s="1449"/>
      <c r="AE41" s="1449"/>
      <c r="AF41" s="1449"/>
      <c r="AG41" s="1449"/>
      <c r="AH41" s="1449"/>
      <c r="AI41" s="1449"/>
      <c r="AJ41" s="1449"/>
      <c r="AK41" s="1449"/>
      <c r="AL41" s="1449"/>
      <c r="AM41" s="1449"/>
      <c r="AN41" s="1449"/>
      <c r="AO41" s="1449"/>
      <c r="AP41" s="1449"/>
      <c r="AQ41" s="1449"/>
      <c r="AR41" s="1449"/>
      <c r="AS41" s="1449"/>
      <c r="AT41" s="1449"/>
      <c r="AU41" s="1449"/>
      <c r="AV41" s="1449"/>
      <c r="AW41" s="1449"/>
      <c r="AX41" s="1449"/>
      <c r="AY41" s="1449"/>
      <c r="AZ41" s="1449"/>
      <c r="BA41" s="1449"/>
      <c r="BB41" s="1449"/>
      <c r="BC41" s="1449"/>
      <c r="BD41" s="1449"/>
      <c r="BE41" s="1449"/>
      <c r="BF41" s="1449"/>
      <c r="BG41" s="1449"/>
      <c r="BH41" s="1449"/>
      <c r="BI41" s="1449"/>
      <c r="BJ41" s="1449"/>
      <c r="BK41" s="1449"/>
      <c r="BL41" s="1449"/>
      <c r="BM41" s="1449"/>
      <c r="BN41" s="1449"/>
      <c r="BO41" s="1449"/>
      <c r="BP41" s="1449"/>
      <c r="BQ41" s="1449"/>
      <c r="BR41" s="1449"/>
      <c r="BS41" s="1449"/>
      <c r="BT41" s="1449"/>
      <c r="BU41" s="1449"/>
      <c r="BV41" s="1449"/>
      <c r="BW41" s="1449"/>
      <c r="BX41" s="1449"/>
      <c r="BY41" s="1449"/>
      <c r="BZ41" s="1449"/>
      <c r="CA41" s="1449"/>
      <c r="CB41" s="1449"/>
      <c r="CC41" s="1449"/>
      <c r="CD41" s="1449"/>
      <c r="CE41" s="1449"/>
      <c r="CF41" s="1449"/>
      <c r="CG41" s="1449"/>
      <c r="CH41" s="1449"/>
      <c r="CI41" s="1449"/>
      <c r="CJ41" s="1449"/>
      <c r="CK41" s="1449"/>
      <c r="CL41" s="1449"/>
      <c r="CM41" s="1449"/>
      <c r="CN41" s="1449"/>
      <c r="CO41" s="1449"/>
      <c r="CP41" s="1449"/>
      <c r="CQ41" s="1449"/>
      <c r="CR41" s="1449"/>
      <c r="CS41" s="1449"/>
      <c r="CT41" s="1449"/>
      <c r="CU41" s="1449"/>
      <c r="CV41" s="1449"/>
      <c r="CW41" s="1449"/>
      <c r="CX41" s="1449"/>
      <c r="CY41" s="1449"/>
      <c r="CZ41" s="1449"/>
      <c r="DA41" s="1449"/>
      <c r="DB41" s="1449"/>
      <c r="DC41" s="1449"/>
      <c r="DD41" s="1449"/>
      <c r="DE41" s="1449"/>
      <c r="DF41" s="1449"/>
      <c r="DG41" s="1449"/>
      <c r="DH41" s="1449"/>
      <c r="DI41" s="1449"/>
      <c r="DJ41" s="1449"/>
      <c r="DK41" s="1449"/>
      <c r="DL41" s="1449"/>
      <c r="DM41" s="1449"/>
      <c r="DN41" s="1449"/>
      <c r="DO41" s="1449"/>
      <c r="DP41" s="1449"/>
      <c r="DQ41" s="1449"/>
      <c r="DR41" s="1449"/>
      <c r="DS41" s="1449"/>
      <c r="DT41" s="1449"/>
      <c r="DU41" s="1449"/>
      <c r="DV41" s="1449"/>
      <c r="DW41" s="1449"/>
      <c r="DX41" s="1449"/>
      <c r="DY41" s="1449"/>
      <c r="DZ41" s="1449"/>
      <c r="EA41" s="1449"/>
      <c r="EB41" s="1449"/>
      <c r="EC41" s="1449"/>
      <c r="ED41" s="1449"/>
      <c r="EE41" s="1449"/>
      <c r="EF41" s="1449"/>
      <c r="EG41" s="1449"/>
      <c r="EH41" s="1449"/>
      <c r="EI41" s="1449"/>
      <c r="EJ41" s="1449"/>
      <c r="EK41" s="1449"/>
      <c r="EL41" s="1449"/>
      <c r="EM41" s="1449"/>
      <c r="EN41" s="1449"/>
      <c r="EO41" s="1449"/>
      <c r="EP41" s="1449"/>
      <c r="EQ41" s="1449"/>
      <c r="ER41" s="1449"/>
      <c r="ES41" s="1449"/>
      <c r="ET41" s="1449"/>
      <c r="EU41" s="1449"/>
      <c r="EV41" s="1449"/>
      <c r="EW41" s="1449"/>
      <c r="EX41" s="1449"/>
      <c r="EY41" s="1449"/>
      <c r="EZ41" s="1449"/>
      <c r="FA41" s="1449"/>
      <c r="FB41" s="1449"/>
      <c r="FC41" s="1449"/>
      <c r="FD41" s="1449"/>
      <c r="FE41" s="1449"/>
      <c r="FF41" s="1449"/>
      <c r="FG41" s="1449"/>
      <c r="FH41" s="1449"/>
      <c r="FI41" s="1449"/>
      <c r="FJ41" s="1449"/>
      <c r="FK41" s="1449"/>
      <c r="FL41" s="1449"/>
      <c r="FM41" s="1449"/>
      <c r="FN41" s="1449"/>
      <c r="FO41" s="1449"/>
      <c r="FP41" s="1449"/>
      <c r="FQ41" s="1449"/>
      <c r="FR41" s="1449"/>
      <c r="FS41" s="1449"/>
      <c r="FT41" s="1449"/>
      <c r="FU41" s="1449"/>
      <c r="FV41" s="1449"/>
      <c r="FW41" s="1449"/>
      <c r="FX41" s="1449"/>
      <c r="FY41" s="1449"/>
      <c r="FZ41" s="1449"/>
      <c r="GA41" s="1449"/>
      <c r="GB41" s="1449"/>
      <c r="GC41" s="1449"/>
      <c r="GD41" s="1449"/>
      <c r="GE41" s="1449"/>
      <c r="GF41" s="1449"/>
      <c r="GG41" s="1449"/>
      <c r="GH41" s="1449"/>
      <c r="GI41" s="1449"/>
      <c r="GJ41" s="1449"/>
      <c r="GK41" s="1449"/>
      <c r="GL41" s="1449"/>
      <c r="GM41" s="1449"/>
      <c r="GN41" s="1449"/>
      <c r="GO41" s="1449"/>
      <c r="GP41" s="1449"/>
      <c r="GQ41" s="1449"/>
      <c r="GR41" s="1449"/>
      <c r="GS41" s="1449"/>
      <c r="GT41" s="1449"/>
      <c r="GU41" s="1449"/>
      <c r="GV41" s="1449"/>
      <c r="GW41" s="1449"/>
      <c r="GX41" s="1449"/>
      <c r="GY41" s="1449"/>
      <c r="GZ41" s="1449"/>
      <c r="HA41" s="1449"/>
      <c r="HB41" s="1449"/>
      <c r="HC41" s="1449"/>
      <c r="HD41" s="1449"/>
      <c r="HE41" s="1449"/>
      <c r="HF41" s="1449"/>
      <c r="HG41" s="1449"/>
      <c r="HH41" s="1449"/>
      <c r="HI41" s="1449"/>
      <c r="HJ41" s="1449"/>
      <c r="HK41" s="1449"/>
      <c r="HL41" s="1449"/>
      <c r="HM41" s="1449"/>
      <c r="HN41" s="1449"/>
      <c r="HO41" s="1449"/>
      <c r="HP41" s="1449"/>
      <c r="HQ41" s="1449"/>
      <c r="HR41" s="1449"/>
      <c r="HS41" s="1449"/>
      <c r="HT41" s="1449"/>
      <c r="HU41" s="1449"/>
      <c r="HV41" s="1449"/>
      <c r="HW41" s="1449"/>
      <c r="HX41" s="1449"/>
      <c r="HY41" s="1449"/>
      <c r="HZ41" s="1449"/>
      <c r="IA41" s="1449"/>
      <c r="IB41" s="1449"/>
      <c r="IC41" s="1449"/>
      <c r="ID41" s="1449"/>
      <c r="IE41" s="1449"/>
      <c r="IF41" s="1449"/>
      <c r="IG41" s="1449"/>
      <c r="IH41" s="1449"/>
      <c r="II41" s="1449"/>
      <c r="IJ41" s="1449"/>
      <c r="IK41" s="1449"/>
      <c r="IL41" s="1449"/>
      <c r="IM41" s="1449"/>
      <c r="IN41" s="1449"/>
      <c r="IO41" s="1449"/>
      <c r="IP41" s="1449"/>
      <c r="IQ41" s="1449"/>
      <c r="IR41" s="1449"/>
      <c r="IS41" s="1449"/>
      <c r="IT41" s="1449"/>
      <c r="IU41" s="1449"/>
      <c r="IV41" s="1449"/>
    </row>
    <row r="42" spans="1:256" s="1475" customFormat="1" ht="24.75" customHeight="1" thickBot="1" thickTop="1">
      <c r="A42" s="1463">
        <v>34</v>
      </c>
      <c r="B42" s="1480"/>
      <c r="C42" s="1512"/>
      <c r="D42" s="1513" t="s">
        <v>771</v>
      </c>
      <c r="E42" s="1532"/>
      <c r="F42" s="1532"/>
      <c r="G42" s="1563"/>
      <c r="H42" s="1564"/>
      <c r="I42" s="1532">
        <f aca="true" t="shared" si="3" ref="I42:P42">I41+I39</f>
        <v>0</v>
      </c>
      <c r="J42" s="1532">
        <f t="shared" si="3"/>
        <v>0</v>
      </c>
      <c r="K42" s="1532">
        <f t="shared" si="3"/>
        <v>0</v>
      </c>
      <c r="L42" s="1532">
        <f t="shared" si="3"/>
        <v>0</v>
      </c>
      <c r="M42" s="1532">
        <f t="shared" si="3"/>
        <v>1025025</v>
      </c>
      <c r="N42" s="1532">
        <f t="shared" si="3"/>
        <v>0</v>
      </c>
      <c r="O42" s="1532">
        <f t="shared" si="3"/>
        <v>0</v>
      </c>
      <c r="P42" s="1563">
        <f t="shared" si="3"/>
        <v>1025025</v>
      </c>
      <c r="Q42" s="1565"/>
      <c r="R42" s="1449"/>
      <c r="S42" s="1449"/>
      <c r="T42" s="1449"/>
      <c r="U42" s="1449"/>
      <c r="V42" s="1449"/>
      <c r="W42" s="1449"/>
      <c r="X42" s="1449"/>
      <c r="Y42" s="1449"/>
      <c r="Z42" s="1449"/>
      <c r="AA42" s="1449"/>
      <c r="AB42" s="1449"/>
      <c r="AC42" s="1449"/>
      <c r="AD42" s="1449"/>
      <c r="AE42" s="1449"/>
      <c r="AF42" s="1449"/>
      <c r="AG42" s="1449"/>
      <c r="AH42" s="1449"/>
      <c r="AI42" s="1449"/>
      <c r="AJ42" s="1449"/>
      <c r="AK42" s="1449"/>
      <c r="AL42" s="1449"/>
      <c r="AM42" s="1449"/>
      <c r="AN42" s="1449"/>
      <c r="AO42" s="1449"/>
      <c r="AP42" s="1449"/>
      <c r="AQ42" s="1449"/>
      <c r="AR42" s="1449"/>
      <c r="AS42" s="1449"/>
      <c r="AT42" s="1449"/>
      <c r="AU42" s="1449"/>
      <c r="AV42" s="1449"/>
      <c r="AW42" s="1449"/>
      <c r="AX42" s="1449"/>
      <c r="AY42" s="1449"/>
      <c r="AZ42" s="1449"/>
      <c r="BA42" s="1449"/>
      <c r="BB42" s="1449"/>
      <c r="BC42" s="1449"/>
      <c r="BD42" s="1449"/>
      <c r="BE42" s="1449"/>
      <c r="BF42" s="1449"/>
      <c r="BG42" s="1449"/>
      <c r="BH42" s="1449"/>
      <c r="BI42" s="1449"/>
      <c r="BJ42" s="1449"/>
      <c r="BK42" s="1449"/>
      <c r="BL42" s="1449"/>
      <c r="BM42" s="1449"/>
      <c r="BN42" s="1449"/>
      <c r="BO42" s="1449"/>
      <c r="BP42" s="1449"/>
      <c r="BQ42" s="1449"/>
      <c r="BR42" s="1449"/>
      <c r="BS42" s="1449"/>
      <c r="BT42" s="1449"/>
      <c r="BU42" s="1449"/>
      <c r="BV42" s="1449"/>
      <c r="BW42" s="1449"/>
      <c r="BX42" s="1449"/>
      <c r="BY42" s="1449"/>
      <c r="BZ42" s="1449"/>
      <c r="CA42" s="1449"/>
      <c r="CB42" s="1449"/>
      <c r="CC42" s="1449"/>
      <c r="CD42" s="1449"/>
      <c r="CE42" s="1449"/>
      <c r="CF42" s="1449"/>
      <c r="CG42" s="1449"/>
      <c r="CH42" s="1449"/>
      <c r="CI42" s="1449"/>
      <c r="CJ42" s="1449"/>
      <c r="CK42" s="1449"/>
      <c r="CL42" s="1449"/>
      <c r="CM42" s="1449"/>
      <c r="CN42" s="1449"/>
      <c r="CO42" s="1449"/>
      <c r="CP42" s="1449"/>
      <c r="CQ42" s="1449"/>
      <c r="CR42" s="1449"/>
      <c r="CS42" s="1449"/>
      <c r="CT42" s="1449"/>
      <c r="CU42" s="1449"/>
      <c r="CV42" s="1449"/>
      <c r="CW42" s="1449"/>
      <c r="CX42" s="1449"/>
      <c r="CY42" s="1449"/>
      <c r="CZ42" s="1449"/>
      <c r="DA42" s="1449"/>
      <c r="DB42" s="1449"/>
      <c r="DC42" s="1449"/>
      <c r="DD42" s="1449"/>
      <c r="DE42" s="1449"/>
      <c r="DF42" s="1449"/>
      <c r="DG42" s="1449"/>
      <c r="DH42" s="1449"/>
      <c r="DI42" s="1449"/>
      <c r="DJ42" s="1449"/>
      <c r="DK42" s="1449"/>
      <c r="DL42" s="1449"/>
      <c r="DM42" s="1449"/>
      <c r="DN42" s="1449"/>
      <c r="DO42" s="1449"/>
      <c r="DP42" s="1449"/>
      <c r="DQ42" s="1449"/>
      <c r="DR42" s="1449"/>
      <c r="DS42" s="1449"/>
      <c r="DT42" s="1449"/>
      <c r="DU42" s="1449"/>
      <c r="DV42" s="1449"/>
      <c r="DW42" s="1449"/>
      <c r="DX42" s="1449"/>
      <c r="DY42" s="1449"/>
      <c r="DZ42" s="1449"/>
      <c r="EA42" s="1449"/>
      <c r="EB42" s="1449"/>
      <c r="EC42" s="1449"/>
      <c r="ED42" s="1449"/>
      <c r="EE42" s="1449"/>
      <c r="EF42" s="1449"/>
      <c r="EG42" s="1449"/>
      <c r="EH42" s="1449"/>
      <c r="EI42" s="1449"/>
      <c r="EJ42" s="1449"/>
      <c r="EK42" s="1449"/>
      <c r="EL42" s="1449"/>
      <c r="EM42" s="1449"/>
      <c r="EN42" s="1449"/>
      <c r="EO42" s="1449"/>
      <c r="EP42" s="1449"/>
      <c r="EQ42" s="1449"/>
      <c r="ER42" s="1449"/>
      <c r="ES42" s="1449"/>
      <c r="ET42" s="1449"/>
      <c r="EU42" s="1449"/>
      <c r="EV42" s="1449"/>
      <c r="EW42" s="1449"/>
      <c r="EX42" s="1449"/>
      <c r="EY42" s="1449"/>
      <c r="EZ42" s="1449"/>
      <c r="FA42" s="1449"/>
      <c r="FB42" s="1449"/>
      <c r="FC42" s="1449"/>
      <c r="FD42" s="1449"/>
      <c r="FE42" s="1449"/>
      <c r="FF42" s="1449"/>
      <c r="FG42" s="1449"/>
      <c r="FH42" s="1449"/>
      <c r="FI42" s="1449"/>
      <c r="FJ42" s="1449"/>
      <c r="FK42" s="1449"/>
      <c r="FL42" s="1449"/>
      <c r="FM42" s="1449"/>
      <c r="FN42" s="1449"/>
      <c r="FO42" s="1449"/>
      <c r="FP42" s="1449"/>
      <c r="FQ42" s="1449"/>
      <c r="FR42" s="1449"/>
      <c r="FS42" s="1449"/>
      <c r="FT42" s="1449"/>
      <c r="FU42" s="1449"/>
      <c r="FV42" s="1449"/>
      <c r="FW42" s="1449"/>
      <c r="FX42" s="1449"/>
      <c r="FY42" s="1449"/>
      <c r="FZ42" s="1449"/>
      <c r="GA42" s="1449"/>
      <c r="GB42" s="1449"/>
      <c r="GC42" s="1449"/>
      <c r="GD42" s="1449"/>
      <c r="GE42" s="1449"/>
      <c r="GF42" s="1449"/>
      <c r="GG42" s="1449"/>
      <c r="GH42" s="1449"/>
      <c r="GI42" s="1449"/>
      <c r="GJ42" s="1449"/>
      <c r="GK42" s="1449"/>
      <c r="GL42" s="1449"/>
      <c r="GM42" s="1449"/>
      <c r="GN42" s="1449"/>
      <c r="GO42" s="1449"/>
      <c r="GP42" s="1449"/>
      <c r="GQ42" s="1449"/>
      <c r="GR42" s="1449"/>
      <c r="GS42" s="1449"/>
      <c r="GT42" s="1449"/>
      <c r="GU42" s="1449"/>
      <c r="GV42" s="1449"/>
      <c r="GW42" s="1449"/>
      <c r="GX42" s="1449"/>
      <c r="GY42" s="1449"/>
      <c r="GZ42" s="1449"/>
      <c r="HA42" s="1449"/>
      <c r="HB42" s="1449"/>
      <c r="HC42" s="1449"/>
      <c r="HD42" s="1449"/>
      <c r="HE42" s="1449"/>
      <c r="HF42" s="1449"/>
      <c r="HG42" s="1449"/>
      <c r="HH42" s="1449"/>
      <c r="HI42" s="1449"/>
      <c r="HJ42" s="1449"/>
      <c r="HK42" s="1449"/>
      <c r="HL42" s="1449"/>
      <c r="HM42" s="1449"/>
      <c r="HN42" s="1449"/>
      <c r="HO42" s="1449"/>
      <c r="HP42" s="1449"/>
      <c r="HQ42" s="1449"/>
      <c r="HR42" s="1449"/>
      <c r="HS42" s="1449"/>
      <c r="HT42" s="1449"/>
      <c r="HU42" s="1449"/>
      <c r="HV42" s="1449"/>
      <c r="HW42" s="1449"/>
      <c r="HX42" s="1449"/>
      <c r="HY42" s="1449"/>
      <c r="HZ42" s="1449"/>
      <c r="IA42" s="1449"/>
      <c r="IB42" s="1449"/>
      <c r="IC42" s="1449"/>
      <c r="ID42" s="1449"/>
      <c r="IE42" s="1449"/>
      <c r="IF42" s="1449"/>
      <c r="IG42" s="1449"/>
      <c r="IH42" s="1449"/>
      <c r="II42" s="1449"/>
      <c r="IJ42" s="1449"/>
      <c r="IK42" s="1449"/>
      <c r="IL42" s="1449"/>
      <c r="IM42" s="1449"/>
      <c r="IN42" s="1449"/>
      <c r="IO42" s="1449"/>
      <c r="IP42" s="1449"/>
      <c r="IQ42" s="1449"/>
      <c r="IR42" s="1449"/>
      <c r="IS42" s="1449"/>
      <c r="IT42" s="1449"/>
      <c r="IU42" s="1449"/>
      <c r="IV42" s="1449"/>
    </row>
    <row r="43" spans="1:17" ht="22.5" customHeight="1" thickTop="1">
      <c r="A43" s="1463">
        <v>35</v>
      </c>
      <c r="B43" s="1566"/>
      <c r="C43" s="1476">
        <v>5</v>
      </c>
      <c r="D43" s="1518" t="s">
        <v>815</v>
      </c>
      <c r="E43" s="1467"/>
      <c r="F43" s="1467"/>
      <c r="G43" s="1567"/>
      <c r="H43" s="1568" t="s">
        <v>24</v>
      </c>
      <c r="I43" s="1467"/>
      <c r="J43" s="1467"/>
      <c r="K43" s="1467"/>
      <c r="L43" s="1467"/>
      <c r="M43" s="1467"/>
      <c r="N43" s="1467"/>
      <c r="O43" s="1467"/>
      <c r="P43" s="1547"/>
      <c r="Q43" s="1549"/>
    </row>
    <row r="44" spans="1:17" ht="22.5" customHeight="1">
      <c r="A44" s="1463">
        <v>36</v>
      </c>
      <c r="B44" s="1566"/>
      <c r="C44" s="1476"/>
      <c r="D44" s="1482" t="s">
        <v>544</v>
      </c>
      <c r="E44" s="1467"/>
      <c r="F44" s="1467"/>
      <c r="G44" s="1469"/>
      <c r="H44" s="1470"/>
      <c r="I44" s="1569"/>
      <c r="J44" s="1467"/>
      <c r="K44" s="1467"/>
      <c r="L44" s="1467"/>
      <c r="M44" s="1467"/>
      <c r="N44" s="1467"/>
      <c r="O44" s="1467"/>
      <c r="P44" s="1547"/>
      <c r="Q44" s="1474"/>
    </row>
    <row r="45" spans="1:256" s="1475" customFormat="1" ht="18" customHeight="1" thickBot="1">
      <c r="A45" s="1463">
        <v>37</v>
      </c>
      <c r="B45" s="1480"/>
      <c r="C45" s="1501"/>
      <c r="D45" s="1570" t="s">
        <v>293</v>
      </c>
      <c r="E45" s="1483">
        <f>F45+G45+P45</f>
        <v>259700</v>
      </c>
      <c r="F45" s="1571"/>
      <c r="G45" s="1505"/>
      <c r="H45" s="1539"/>
      <c r="I45" s="1572"/>
      <c r="J45" s="1573"/>
      <c r="K45" s="1509">
        <f>259700-78400</f>
        <v>181300</v>
      </c>
      <c r="L45" s="1509">
        <v>78400</v>
      </c>
      <c r="M45" s="1509"/>
      <c r="N45" s="1573"/>
      <c r="O45" s="1573"/>
      <c r="P45" s="1510">
        <f>SUM(I45:O45)</f>
        <v>259700</v>
      </c>
      <c r="Q45" s="1541"/>
      <c r="R45" s="1449"/>
      <c r="S45" s="1449"/>
      <c r="T45" s="1449"/>
      <c r="U45" s="1449"/>
      <c r="V45" s="1449"/>
      <c r="W45" s="1449"/>
      <c r="X45" s="1449"/>
      <c r="Y45" s="1449"/>
      <c r="Z45" s="1449"/>
      <c r="AA45" s="1449"/>
      <c r="AB45" s="1449"/>
      <c r="AC45" s="1449"/>
      <c r="AD45" s="1449"/>
      <c r="AE45" s="1449"/>
      <c r="AF45" s="1449"/>
      <c r="AG45" s="1449"/>
      <c r="AH45" s="1449"/>
      <c r="AI45" s="1449"/>
      <c r="AJ45" s="1449"/>
      <c r="AK45" s="1449"/>
      <c r="AL45" s="1449"/>
      <c r="AM45" s="1449"/>
      <c r="AN45" s="1449"/>
      <c r="AO45" s="1449"/>
      <c r="AP45" s="1449"/>
      <c r="AQ45" s="1449"/>
      <c r="AR45" s="1449"/>
      <c r="AS45" s="1449"/>
      <c r="AT45" s="1449"/>
      <c r="AU45" s="1449"/>
      <c r="AV45" s="1449"/>
      <c r="AW45" s="1449"/>
      <c r="AX45" s="1449"/>
      <c r="AY45" s="1449"/>
      <c r="AZ45" s="1449"/>
      <c r="BA45" s="1449"/>
      <c r="BB45" s="1449"/>
      <c r="BC45" s="1449"/>
      <c r="BD45" s="1449"/>
      <c r="BE45" s="1449"/>
      <c r="BF45" s="1449"/>
      <c r="BG45" s="1449"/>
      <c r="BH45" s="1449"/>
      <c r="BI45" s="1449"/>
      <c r="BJ45" s="1449"/>
      <c r="BK45" s="1449"/>
      <c r="BL45" s="1449"/>
      <c r="BM45" s="1449"/>
      <c r="BN45" s="1449"/>
      <c r="BO45" s="1449"/>
      <c r="BP45" s="1449"/>
      <c r="BQ45" s="1449"/>
      <c r="BR45" s="1449"/>
      <c r="BS45" s="1449"/>
      <c r="BT45" s="1449"/>
      <c r="BU45" s="1449"/>
      <c r="BV45" s="1449"/>
      <c r="BW45" s="1449"/>
      <c r="BX45" s="1449"/>
      <c r="BY45" s="1449"/>
      <c r="BZ45" s="1449"/>
      <c r="CA45" s="1449"/>
      <c r="CB45" s="1449"/>
      <c r="CC45" s="1449"/>
      <c r="CD45" s="1449"/>
      <c r="CE45" s="1449"/>
      <c r="CF45" s="1449"/>
      <c r="CG45" s="1449"/>
      <c r="CH45" s="1449"/>
      <c r="CI45" s="1449"/>
      <c r="CJ45" s="1449"/>
      <c r="CK45" s="1449"/>
      <c r="CL45" s="1449"/>
      <c r="CM45" s="1449"/>
      <c r="CN45" s="1449"/>
      <c r="CO45" s="1449"/>
      <c r="CP45" s="1449"/>
      <c r="CQ45" s="1449"/>
      <c r="CR45" s="1449"/>
      <c r="CS45" s="1449"/>
      <c r="CT45" s="1449"/>
      <c r="CU45" s="1449"/>
      <c r="CV45" s="1449"/>
      <c r="CW45" s="1449"/>
      <c r="CX45" s="1449"/>
      <c r="CY45" s="1449"/>
      <c r="CZ45" s="1449"/>
      <c r="DA45" s="1449"/>
      <c r="DB45" s="1449"/>
      <c r="DC45" s="1449"/>
      <c r="DD45" s="1449"/>
      <c r="DE45" s="1449"/>
      <c r="DF45" s="1449"/>
      <c r="DG45" s="1449"/>
      <c r="DH45" s="1449"/>
      <c r="DI45" s="1449"/>
      <c r="DJ45" s="1449"/>
      <c r="DK45" s="1449"/>
      <c r="DL45" s="1449"/>
      <c r="DM45" s="1449"/>
      <c r="DN45" s="1449"/>
      <c r="DO45" s="1449"/>
      <c r="DP45" s="1449"/>
      <c r="DQ45" s="1449"/>
      <c r="DR45" s="1449"/>
      <c r="DS45" s="1449"/>
      <c r="DT45" s="1449"/>
      <c r="DU45" s="1449"/>
      <c r="DV45" s="1449"/>
      <c r="DW45" s="1449"/>
      <c r="DX45" s="1449"/>
      <c r="DY45" s="1449"/>
      <c r="DZ45" s="1449"/>
      <c r="EA45" s="1449"/>
      <c r="EB45" s="1449"/>
      <c r="EC45" s="1449"/>
      <c r="ED45" s="1449"/>
      <c r="EE45" s="1449"/>
      <c r="EF45" s="1449"/>
      <c r="EG45" s="1449"/>
      <c r="EH45" s="1449"/>
      <c r="EI45" s="1449"/>
      <c r="EJ45" s="1449"/>
      <c r="EK45" s="1449"/>
      <c r="EL45" s="1449"/>
      <c r="EM45" s="1449"/>
      <c r="EN45" s="1449"/>
      <c r="EO45" s="1449"/>
      <c r="EP45" s="1449"/>
      <c r="EQ45" s="1449"/>
      <c r="ER45" s="1449"/>
      <c r="ES45" s="1449"/>
      <c r="ET45" s="1449"/>
      <c r="EU45" s="1449"/>
      <c r="EV45" s="1449"/>
      <c r="EW45" s="1449"/>
      <c r="EX45" s="1449"/>
      <c r="EY45" s="1449"/>
      <c r="EZ45" s="1449"/>
      <c r="FA45" s="1449"/>
      <c r="FB45" s="1449"/>
      <c r="FC45" s="1449"/>
      <c r="FD45" s="1449"/>
      <c r="FE45" s="1449"/>
      <c r="FF45" s="1449"/>
      <c r="FG45" s="1449"/>
      <c r="FH45" s="1449"/>
      <c r="FI45" s="1449"/>
      <c r="FJ45" s="1449"/>
      <c r="FK45" s="1449"/>
      <c r="FL45" s="1449"/>
      <c r="FM45" s="1449"/>
      <c r="FN45" s="1449"/>
      <c r="FO45" s="1449"/>
      <c r="FP45" s="1449"/>
      <c r="FQ45" s="1449"/>
      <c r="FR45" s="1449"/>
      <c r="FS45" s="1449"/>
      <c r="FT45" s="1449"/>
      <c r="FU45" s="1449"/>
      <c r="FV45" s="1449"/>
      <c r="FW45" s="1449"/>
      <c r="FX45" s="1449"/>
      <c r="FY45" s="1449"/>
      <c r="FZ45" s="1449"/>
      <c r="GA45" s="1449"/>
      <c r="GB45" s="1449"/>
      <c r="GC45" s="1449"/>
      <c r="GD45" s="1449"/>
      <c r="GE45" s="1449"/>
      <c r="GF45" s="1449"/>
      <c r="GG45" s="1449"/>
      <c r="GH45" s="1449"/>
      <c r="GI45" s="1449"/>
      <c r="GJ45" s="1449"/>
      <c r="GK45" s="1449"/>
      <c r="GL45" s="1449"/>
      <c r="GM45" s="1449"/>
      <c r="GN45" s="1449"/>
      <c r="GO45" s="1449"/>
      <c r="GP45" s="1449"/>
      <c r="GQ45" s="1449"/>
      <c r="GR45" s="1449"/>
      <c r="GS45" s="1449"/>
      <c r="GT45" s="1449"/>
      <c r="GU45" s="1449"/>
      <c r="GV45" s="1449"/>
      <c r="GW45" s="1449"/>
      <c r="GX45" s="1449"/>
      <c r="GY45" s="1449"/>
      <c r="GZ45" s="1449"/>
      <c r="HA45" s="1449"/>
      <c r="HB45" s="1449"/>
      <c r="HC45" s="1449"/>
      <c r="HD45" s="1449"/>
      <c r="HE45" s="1449"/>
      <c r="HF45" s="1449"/>
      <c r="HG45" s="1449"/>
      <c r="HH45" s="1449"/>
      <c r="HI45" s="1449"/>
      <c r="HJ45" s="1449"/>
      <c r="HK45" s="1449"/>
      <c r="HL45" s="1449"/>
      <c r="HM45" s="1449"/>
      <c r="HN45" s="1449"/>
      <c r="HO45" s="1449"/>
      <c r="HP45" s="1449"/>
      <c r="HQ45" s="1449"/>
      <c r="HR45" s="1449"/>
      <c r="HS45" s="1449"/>
      <c r="HT45" s="1449"/>
      <c r="HU45" s="1449"/>
      <c r="HV45" s="1449"/>
      <c r="HW45" s="1449"/>
      <c r="HX45" s="1449"/>
      <c r="HY45" s="1449"/>
      <c r="HZ45" s="1449"/>
      <c r="IA45" s="1449"/>
      <c r="IB45" s="1449"/>
      <c r="IC45" s="1449"/>
      <c r="ID45" s="1449"/>
      <c r="IE45" s="1449"/>
      <c r="IF45" s="1449"/>
      <c r="IG45" s="1449"/>
      <c r="IH45" s="1449"/>
      <c r="II45" s="1449"/>
      <c r="IJ45" s="1449"/>
      <c r="IK45" s="1449"/>
      <c r="IL45" s="1449"/>
      <c r="IM45" s="1449"/>
      <c r="IN45" s="1449"/>
      <c r="IO45" s="1449"/>
      <c r="IP45" s="1449"/>
      <c r="IQ45" s="1449"/>
      <c r="IR45" s="1449"/>
      <c r="IS45" s="1449"/>
      <c r="IT45" s="1449"/>
      <c r="IU45" s="1449"/>
      <c r="IV45" s="1449"/>
    </row>
    <row r="46" spans="1:17" ht="24.75" customHeight="1" thickBot="1" thickTop="1">
      <c r="A46" s="1463">
        <v>38</v>
      </c>
      <c r="B46" s="1566"/>
      <c r="C46" s="1512"/>
      <c r="D46" s="1513" t="s">
        <v>816</v>
      </c>
      <c r="E46" s="1532">
        <f>E45</f>
        <v>259700</v>
      </c>
      <c r="F46" s="1532">
        <f>F45</f>
        <v>0</v>
      </c>
      <c r="G46" s="1532">
        <f>G45</f>
        <v>0</v>
      </c>
      <c r="H46" s="1515"/>
      <c r="I46" s="1516">
        <f aca="true" t="shared" si="4" ref="I46:P46">I45</f>
        <v>0</v>
      </c>
      <c r="J46" s="1516">
        <f t="shared" si="4"/>
        <v>0</v>
      </c>
      <c r="K46" s="1516">
        <f t="shared" si="4"/>
        <v>181300</v>
      </c>
      <c r="L46" s="1516">
        <f t="shared" si="4"/>
        <v>78400</v>
      </c>
      <c r="M46" s="1516">
        <f t="shared" si="4"/>
        <v>0</v>
      </c>
      <c r="N46" s="1516">
        <f t="shared" si="4"/>
        <v>0</v>
      </c>
      <c r="O46" s="1516">
        <f t="shared" si="4"/>
        <v>0</v>
      </c>
      <c r="P46" s="1516">
        <f t="shared" si="4"/>
        <v>259700</v>
      </c>
      <c r="Q46" s="1574"/>
    </row>
    <row r="47" spans="1:17" ht="22.5" customHeight="1" thickTop="1">
      <c r="A47" s="1463">
        <v>39</v>
      </c>
      <c r="B47" s="1566"/>
      <c r="C47" s="1481">
        <v>6</v>
      </c>
      <c r="D47" s="1575" t="s">
        <v>772</v>
      </c>
      <c r="E47" s="1483"/>
      <c r="F47" s="1484"/>
      <c r="G47" s="1485"/>
      <c r="H47" s="1486"/>
      <c r="I47" s="1487"/>
      <c r="J47" s="1478"/>
      <c r="K47" s="1478"/>
      <c r="L47" s="1478"/>
      <c r="M47" s="1494"/>
      <c r="N47" s="1478"/>
      <c r="O47" s="1478"/>
      <c r="P47" s="1479"/>
      <c r="Q47" s="1488"/>
    </row>
    <row r="48" spans="1:17" ht="18" customHeight="1" thickBot="1">
      <c r="A48" s="1463">
        <v>40</v>
      </c>
      <c r="B48" s="1566"/>
      <c r="C48" s="1481"/>
      <c r="D48" s="1576" t="s">
        <v>293</v>
      </c>
      <c r="E48" s="1483"/>
      <c r="F48" s="1484"/>
      <c r="G48" s="1485"/>
      <c r="H48" s="1486"/>
      <c r="I48" s="1487"/>
      <c r="J48" s="1478"/>
      <c r="K48" s="1478"/>
      <c r="L48" s="1478"/>
      <c r="M48" s="1494">
        <v>2635</v>
      </c>
      <c r="N48" s="1478"/>
      <c r="O48" s="1478"/>
      <c r="P48" s="1496">
        <f>SUM(I48:O48)</f>
        <v>2635</v>
      </c>
      <c r="Q48" s="1488"/>
    </row>
    <row r="49" spans="1:17" s="1580" customFormat="1" ht="36" customHeight="1" thickBot="1">
      <c r="A49" s="1463">
        <v>41</v>
      </c>
      <c r="B49" s="1810" t="s">
        <v>13</v>
      </c>
      <c r="C49" s="1811"/>
      <c r="D49" s="1811"/>
      <c r="E49" s="1811"/>
      <c r="F49" s="1811"/>
      <c r="G49" s="1812"/>
      <c r="H49" s="1577"/>
      <c r="I49" s="1578">
        <f aca="true" t="shared" si="5" ref="I49:P49">I48+I46+I36+I30+I24+I42</f>
        <v>2726</v>
      </c>
      <c r="J49" s="1578">
        <f t="shared" si="5"/>
        <v>386</v>
      </c>
      <c r="K49" s="1578">
        <f t="shared" si="5"/>
        <v>222733</v>
      </c>
      <c r="L49" s="1578">
        <f t="shared" si="5"/>
        <v>78400</v>
      </c>
      <c r="M49" s="1578">
        <f t="shared" si="5"/>
        <v>4493363</v>
      </c>
      <c r="N49" s="1578">
        <f t="shared" si="5"/>
        <v>2500</v>
      </c>
      <c r="O49" s="1578">
        <f t="shared" si="5"/>
        <v>0</v>
      </c>
      <c r="P49" s="1578">
        <f t="shared" si="5"/>
        <v>4800108</v>
      </c>
      <c r="Q49" s="1579"/>
    </row>
    <row r="50" spans="2:16" ht="18" customHeight="1">
      <c r="B50" s="1581" t="s">
        <v>27</v>
      </c>
      <c r="C50" s="1582"/>
      <c r="D50" s="1581"/>
      <c r="E50" s="1583"/>
      <c r="F50" s="1584"/>
      <c r="G50" s="1583"/>
      <c r="H50" s="1447"/>
      <c r="I50" s="1583"/>
      <c r="J50" s="1583"/>
      <c r="K50" s="1583"/>
      <c r="L50" s="1583"/>
      <c r="M50" s="1583"/>
      <c r="N50" s="1583"/>
      <c r="O50" s="1583"/>
      <c r="P50" s="1585"/>
    </row>
    <row r="51" spans="2:16" ht="18" customHeight="1">
      <c r="B51" s="1581" t="s">
        <v>28</v>
      </c>
      <c r="C51" s="1582"/>
      <c r="D51" s="1581"/>
      <c r="E51" s="1446"/>
      <c r="F51" s="1584"/>
      <c r="G51" s="1583"/>
      <c r="H51" s="1447"/>
      <c r="I51" s="1583"/>
      <c r="J51" s="1583"/>
      <c r="K51" s="1583"/>
      <c r="L51" s="1583"/>
      <c r="M51" s="1583"/>
      <c r="N51" s="1583"/>
      <c r="O51" s="1583"/>
      <c r="P51" s="1585"/>
    </row>
    <row r="52" spans="2:16" ht="18" customHeight="1">
      <c r="B52" s="1581" t="s">
        <v>29</v>
      </c>
      <c r="C52" s="1582"/>
      <c r="D52" s="1581"/>
      <c r="E52" s="1446"/>
      <c r="F52" s="1584"/>
      <c r="G52" s="1583"/>
      <c r="H52" s="1447"/>
      <c r="I52" s="1583"/>
      <c r="J52" s="1583"/>
      <c r="K52" s="1583"/>
      <c r="L52" s="1583"/>
      <c r="M52" s="1583"/>
      <c r="N52" s="1583"/>
      <c r="O52" s="1583"/>
      <c r="P52" s="1585"/>
    </row>
    <row r="53" spans="2:3" ht="17.25">
      <c r="B53" s="1587" t="s">
        <v>638</v>
      </c>
      <c r="C53" s="1587"/>
    </row>
  </sheetData>
  <sheetProtection/>
  <mergeCells count="18">
    <mergeCell ref="A1:D1"/>
    <mergeCell ref="I1:Q1"/>
    <mergeCell ref="A2:Q2"/>
    <mergeCell ref="A3:Q3"/>
    <mergeCell ref="B6:B8"/>
    <mergeCell ref="C6:C8"/>
    <mergeCell ref="D6:D8"/>
    <mergeCell ref="E6:E8"/>
    <mergeCell ref="F6:F8"/>
    <mergeCell ref="G6:G8"/>
    <mergeCell ref="B49:G49"/>
    <mergeCell ref="H6:H8"/>
    <mergeCell ref="I6:P6"/>
    <mergeCell ref="Q6:Q8"/>
    <mergeCell ref="R6:S6"/>
    <mergeCell ref="I7:L7"/>
    <mergeCell ref="M7:O7"/>
    <mergeCell ref="P7:P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Normal="75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75390625" style="146" customWidth="1"/>
    <col min="2" max="2" width="4.75390625" style="451" customWidth="1"/>
    <col min="3" max="3" width="63.75390625" style="148" customWidth="1"/>
    <col min="4" max="4" width="21.75390625" style="2" customWidth="1"/>
    <col min="5" max="5" width="5.75390625" style="451" customWidth="1"/>
    <col min="6" max="6" width="63.75390625" style="148" customWidth="1"/>
    <col min="7" max="7" width="21.75390625" style="2" customWidth="1"/>
    <col min="8" max="16384" width="9.125" style="148" customWidth="1"/>
  </cols>
  <sheetData>
    <row r="1" spans="1:7" s="1" customFormat="1" ht="18" customHeight="1">
      <c r="A1" s="231"/>
      <c r="B1" s="1847" t="s">
        <v>652</v>
      </c>
      <c r="C1" s="1847"/>
      <c r="D1" s="486"/>
      <c r="E1" s="487"/>
      <c r="G1" s="486"/>
    </row>
    <row r="2" spans="1:7" s="1" customFormat="1" ht="24.75" customHeight="1">
      <c r="A2" s="231"/>
      <c r="B2" s="1593" t="s">
        <v>207</v>
      </c>
      <c r="C2" s="1593"/>
      <c r="D2" s="1593"/>
      <c r="E2" s="1593"/>
      <c r="F2" s="1593"/>
      <c r="G2" s="1593"/>
    </row>
    <row r="3" spans="1:7" s="1" customFormat="1" ht="24.75" customHeight="1">
      <c r="A3" s="231"/>
      <c r="B3" s="1593" t="s">
        <v>674</v>
      </c>
      <c r="C3" s="1593"/>
      <c r="D3" s="1593"/>
      <c r="E3" s="1593"/>
      <c r="F3" s="1593"/>
      <c r="G3" s="1593"/>
    </row>
    <row r="4" spans="1:7" s="1034" customFormat="1" ht="18" customHeight="1">
      <c r="A4" s="1032"/>
      <c r="B4" s="1033"/>
      <c r="C4" s="1033"/>
      <c r="D4" s="1033"/>
      <c r="E4" s="1033"/>
      <c r="F4" s="1033"/>
      <c r="G4" s="155" t="s">
        <v>0</v>
      </c>
    </row>
    <row r="5" spans="2:7" s="1031" customFormat="1" ht="18" customHeight="1" thickBot="1">
      <c r="B5" s="1031" t="s">
        <v>1</v>
      </c>
      <c r="C5" s="1031" t="s">
        <v>366</v>
      </c>
      <c r="D5" s="1031" t="s">
        <v>2</v>
      </c>
      <c r="E5" s="1031" t="s">
        <v>4</v>
      </c>
      <c r="F5" s="1031" t="s">
        <v>5</v>
      </c>
      <c r="G5" s="130" t="s">
        <v>15</v>
      </c>
    </row>
    <row r="6" spans="1:7" ht="34.5">
      <c r="A6" s="146">
        <v>1</v>
      </c>
      <c r="B6" s="488"/>
      <c r="C6" s="489" t="s">
        <v>208</v>
      </c>
      <c r="D6" s="490" t="s">
        <v>675</v>
      </c>
      <c r="E6" s="491"/>
      <c r="F6" s="492" t="s">
        <v>209</v>
      </c>
      <c r="G6" s="493" t="s">
        <v>676</v>
      </c>
    </row>
    <row r="7" spans="1:7" ht="15" customHeight="1">
      <c r="A7" s="146">
        <v>2</v>
      </c>
      <c r="B7" s="125" t="s">
        <v>121</v>
      </c>
      <c r="C7" s="148" t="s">
        <v>210</v>
      </c>
      <c r="D7" s="494">
        <f>'1.Onbe'!J8+'1.Onbe'!J14</f>
        <v>6746424</v>
      </c>
      <c r="E7" s="495" t="s">
        <v>121</v>
      </c>
      <c r="F7" s="148" t="s">
        <v>38</v>
      </c>
      <c r="G7" s="508">
        <f>'4.Inki'!K135+'6.Önk.műk.'!J324+'9.Projekt'!I60+'10.MVP és hazai'!I42+'[1]11.EKF'!I49</f>
        <v>5236018</v>
      </c>
    </row>
    <row r="8" spans="1:7" ht="15" customHeight="1">
      <c r="A8" s="146">
        <v>3</v>
      </c>
      <c r="B8" s="125" t="s">
        <v>128</v>
      </c>
      <c r="C8" s="148" t="s">
        <v>169</v>
      </c>
      <c r="D8" s="494">
        <f>'1.Onbe'!J15</f>
        <v>6242200</v>
      </c>
      <c r="E8" s="495" t="s">
        <v>128</v>
      </c>
      <c r="F8" s="148" t="s">
        <v>211</v>
      </c>
      <c r="G8" s="508">
        <f>'4.Inki'!L135+'6.Önk.műk.'!K324+'9.Projekt'!J60+'10.MVP és hazai'!J42+'[1]11.EKF'!J49</f>
        <v>883986</v>
      </c>
    </row>
    <row r="9" spans="1:7" ht="16.5">
      <c r="A9" s="146">
        <v>4</v>
      </c>
      <c r="B9" s="125" t="s">
        <v>129</v>
      </c>
      <c r="C9" s="496" t="s">
        <v>137</v>
      </c>
      <c r="D9" s="494">
        <f>'1.Onbe'!J25+'1.Onbe'!J30</f>
        <v>1809266</v>
      </c>
      <c r="E9" s="495" t="s">
        <v>129</v>
      </c>
      <c r="F9" s="148" t="s">
        <v>40</v>
      </c>
      <c r="G9" s="508">
        <f>'4.Inki'!M135+'6.Önk.műk.'!L324+'7.Beruh.'!I50+'8.Felúj.'!I12+'9.Projekt'!K60+'10.MVP és hazai'!K42+'[1]11.EKF'!K49</f>
        <v>5143386</v>
      </c>
    </row>
    <row r="10" spans="1:7" ht="16.5">
      <c r="A10" s="146">
        <v>5</v>
      </c>
      <c r="B10" s="125" t="s">
        <v>130</v>
      </c>
      <c r="C10" s="148" t="s">
        <v>174</v>
      </c>
      <c r="D10" s="494">
        <f>'1.Onbe'!J31+'1.Onbe'!J32</f>
        <v>4569</v>
      </c>
      <c r="E10" s="497" t="s">
        <v>130</v>
      </c>
      <c r="F10" s="148" t="s">
        <v>212</v>
      </c>
      <c r="G10" s="508">
        <f>'4.Inki'!N135+'6.Önk.műk.'!M324</f>
        <v>36460</v>
      </c>
    </row>
    <row r="11" spans="1:7" ht="16.5">
      <c r="A11" s="146">
        <v>6</v>
      </c>
      <c r="B11" s="125"/>
      <c r="C11" s="496"/>
      <c r="D11" s="494"/>
      <c r="E11" s="497" t="s">
        <v>131</v>
      </c>
      <c r="F11" s="150" t="s">
        <v>213</v>
      </c>
      <c r="G11" s="508">
        <f>'4.Inki'!O135+'6.Önk.műk.'!N324+'9.Projekt'!L60+'10.MVP és hazai'!L42+'[1]11.EKF'!L49</f>
        <v>3539424</v>
      </c>
    </row>
    <row r="12" spans="1:7" ht="16.5">
      <c r="A12" s="146">
        <v>7</v>
      </c>
      <c r="B12" s="125"/>
      <c r="C12" s="496"/>
      <c r="D12" s="494"/>
      <c r="E12" s="497" t="s">
        <v>214</v>
      </c>
      <c r="F12" s="150" t="s">
        <v>458</v>
      </c>
      <c r="G12" s="508">
        <f>'2.Onki'!J15+'2.Onki'!J25</f>
        <v>578014</v>
      </c>
    </row>
    <row r="13" spans="1:7" s="1" customFormat="1" ht="24.75" customHeight="1">
      <c r="A13" s="146">
        <v>8</v>
      </c>
      <c r="B13" s="498"/>
      <c r="C13" s="499" t="s">
        <v>215</v>
      </c>
      <c r="D13" s="500">
        <f>SUM(D7:D12)</f>
        <v>14802459</v>
      </c>
      <c r="E13" s="501"/>
      <c r="F13" s="499" t="s">
        <v>216</v>
      </c>
      <c r="G13" s="502">
        <f>SUM(G7:G12)</f>
        <v>15417288</v>
      </c>
    </row>
    <row r="14" spans="1:7" ht="24.75" customHeight="1">
      <c r="A14" s="146">
        <v>9</v>
      </c>
      <c r="B14" s="503"/>
      <c r="C14" s="183" t="s">
        <v>217</v>
      </c>
      <c r="D14" s="539"/>
      <c r="E14" s="504"/>
      <c r="F14" s="183" t="s">
        <v>218</v>
      </c>
      <c r="G14" s="549"/>
    </row>
    <row r="15" spans="1:8" ht="16.5">
      <c r="A15" s="146">
        <v>10</v>
      </c>
      <c r="B15" s="122" t="s">
        <v>121</v>
      </c>
      <c r="C15" s="505" t="s">
        <v>219</v>
      </c>
      <c r="D15" s="506">
        <f>'1.Onbe'!J34+'1.Onbe'!J37</f>
        <v>12126355</v>
      </c>
      <c r="E15" s="507" t="s">
        <v>121</v>
      </c>
      <c r="F15" s="505" t="s">
        <v>220</v>
      </c>
      <c r="G15" s="508">
        <f>'2.Onki'!J10+'2.Onki'!J27</f>
        <v>30237804</v>
      </c>
      <c r="H15" s="2">
        <f>+G15-'2.Onki'!J27-'2.Onki'!J10</f>
        <v>0</v>
      </c>
    </row>
    <row r="16" spans="1:8" ht="16.5">
      <c r="A16" s="146">
        <v>11</v>
      </c>
      <c r="B16" s="122" t="s">
        <v>128</v>
      </c>
      <c r="C16" s="505" t="s">
        <v>180</v>
      </c>
      <c r="D16" s="506">
        <f>'1.Onbe'!J38+'1.Onbe'!J40</f>
        <v>920000</v>
      </c>
      <c r="E16" s="507" t="s">
        <v>128</v>
      </c>
      <c r="F16" s="505" t="s">
        <v>155</v>
      </c>
      <c r="G16" s="508">
        <f>'2.Onki'!J28</f>
        <v>60493</v>
      </c>
      <c r="H16" s="2">
        <f>+G16-'2.Onki'!J28</f>
        <v>0</v>
      </c>
    </row>
    <row r="17" spans="1:8" ht="16.5">
      <c r="A17" s="146">
        <v>12</v>
      </c>
      <c r="B17" s="122" t="s">
        <v>129</v>
      </c>
      <c r="C17" s="148" t="s">
        <v>183</v>
      </c>
      <c r="D17" s="506">
        <f>'1.Onbe'!J41+'1.Onbe'!J42</f>
        <v>0</v>
      </c>
      <c r="E17" s="507" t="s">
        <v>129</v>
      </c>
      <c r="F17" s="505" t="s">
        <v>221</v>
      </c>
      <c r="G17" s="508">
        <f>'2.Onki'!J29</f>
        <v>23753</v>
      </c>
      <c r="H17" s="2">
        <f>+G17-'2.Onki'!J29</f>
        <v>0</v>
      </c>
    </row>
    <row r="18" spans="1:7" ht="16.5">
      <c r="A18" s="146">
        <v>13</v>
      </c>
      <c r="B18" s="122"/>
      <c r="D18" s="506"/>
      <c r="E18" s="507" t="s">
        <v>130</v>
      </c>
      <c r="F18" s="505" t="s">
        <v>459</v>
      </c>
      <c r="G18" s="508">
        <f>'2.Onki'!J21</f>
        <v>363655</v>
      </c>
    </row>
    <row r="19" spans="1:7" s="1" customFormat="1" ht="24.75" customHeight="1" thickBot="1">
      <c r="A19" s="146">
        <v>14</v>
      </c>
      <c r="B19" s="509"/>
      <c r="C19" s="510" t="s">
        <v>222</v>
      </c>
      <c r="D19" s="540">
        <f>SUM(D15:D18)</f>
        <v>13046355</v>
      </c>
      <c r="E19" s="511"/>
      <c r="F19" s="510" t="s">
        <v>223</v>
      </c>
      <c r="G19" s="512">
        <f>SUM(G15:G18)</f>
        <v>30685705</v>
      </c>
    </row>
    <row r="20" spans="1:7" s="1" customFormat="1" ht="24.75" customHeight="1" thickBot="1" thickTop="1">
      <c r="A20" s="146">
        <v>15</v>
      </c>
      <c r="B20" s="513"/>
      <c r="C20" s="514" t="s">
        <v>186</v>
      </c>
      <c r="D20" s="541">
        <f>SUM(D13,D19)</f>
        <v>27848814</v>
      </c>
      <c r="E20" s="515"/>
      <c r="F20" s="514" t="s">
        <v>200</v>
      </c>
      <c r="G20" s="550">
        <f>SUM(G13,G19)</f>
        <v>46102993</v>
      </c>
    </row>
    <row r="21" spans="1:7" s="1" customFormat="1" ht="24.75" customHeight="1" thickTop="1">
      <c r="A21" s="146">
        <v>16</v>
      </c>
      <c r="B21" s="516"/>
      <c r="C21" s="183" t="s">
        <v>224</v>
      </c>
      <c r="D21" s="542"/>
      <c r="E21" s="517"/>
      <c r="F21" s="183" t="s">
        <v>225</v>
      </c>
      <c r="G21" s="551"/>
    </row>
    <row r="22" spans="1:7" s="1" customFormat="1" ht="16.5">
      <c r="A22" s="146">
        <v>17</v>
      </c>
      <c r="B22" s="27" t="s">
        <v>121</v>
      </c>
      <c r="C22" s="1" t="s">
        <v>226</v>
      </c>
      <c r="D22" s="542"/>
      <c r="E22" s="517" t="s">
        <v>121</v>
      </c>
      <c r="F22" s="1" t="s">
        <v>227</v>
      </c>
      <c r="G22" s="551">
        <v>0</v>
      </c>
    </row>
    <row r="23" spans="1:7" s="1" customFormat="1" ht="16.5">
      <c r="A23" s="146">
        <v>18</v>
      </c>
      <c r="B23" s="27" t="s">
        <v>128</v>
      </c>
      <c r="C23" s="1" t="s">
        <v>292</v>
      </c>
      <c r="D23" s="542">
        <f>'1.Onbe'!J50</f>
        <v>1391913</v>
      </c>
      <c r="E23" s="517" t="s">
        <v>128</v>
      </c>
      <c r="F23" s="1" t="s">
        <v>255</v>
      </c>
      <c r="G23" s="551">
        <f>'2.Onki'!J36</f>
        <v>180835</v>
      </c>
    </row>
    <row r="24" spans="1:7" s="1" customFormat="1" ht="16.5">
      <c r="A24" s="146">
        <v>19</v>
      </c>
      <c r="B24" s="27" t="s">
        <v>129</v>
      </c>
      <c r="C24" s="1" t="s">
        <v>254</v>
      </c>
      <c r="D24" s="542">
        <f>'1.Onbe'!J48</f>
        <v>0</v>
      </c>
      <c r="E24" s="517"/>
      <c r="G24" s="551"/>
    </row>
    <row r="25" spans="1:7" s="1" customFormat="1" ht="24" customHeight="1">
      <c r="A25" s="146">
        <v>20</v>
      </c>
      <c r="B25" s="516"/>
      <c r="C25" s="183" t="s">
        <v>228</v>
      </c>
      <c r="D25" s="542"/>
      <c r="E25" s="517"/>
      <c r="F25" s="183" t="s">
        <v>229</v>
      </c>
      <c r="G25" s="551"/>
    </row>
    <row r="26" spans="1:7" s="1" customFormat="1" ht="16.5">
      <c r="A26" s="146">
        <v>21</v>
      </c>
      <c r="B26" s="27" t="s">
        <v>130</v>
      </c>
      <c r="C26" s="1" t="s">
        <v>230</v>
      </c>
      <c r="D26" s="542">
        <f>'1.Onbe'!J61+'1.Onbe'!J60</f>
        <v>1176517</v>
      </c>
      <c r="E26" s="517" t="s">
        <v>129</v>
      </c>
      <c r="F26" s="1" t="s">
        <v>231</v>
      </c>
      <c r="G26" s="551">
        <f>'2.Onki'!J38</f>
        <v>138187</v>
      </c>
    </row>
    <row r="27" spans="1:7" s="1" customFormat="1" ht="16.5">
      <c r="A27" s="146">
        <v>22</v>
      </c>
      <c r="B27" s="27" t="s">
        <v>131</v>
      </c>
      <c r="C27" s="1" t="s">
        <v>226</v>
      </c>
      <c r="D27" s="542"/>
      <c r="E27" s="517" t="s">
        <v>130</v>
      </c>
      <c r="F27" s="1" t="s">
        <v>227</v>
      </c>
      <c r="G27" s="551"/>
    </row>
    <row r="28" spans="1:7" s="1" customFormat="1" ht="16.5">
      <c r="A28" s="146">
        <v>23</v>
      </c>
      <c r="B28" s="27" t="s">
        <v>214</v>
      </c>
      <c r="C28" s="1" t="s">
        <v>292</v>
      </c>
      <c r="D28" s="542">
        <f>'1.Onbe'!J54</f>
        <v>16004771</v>
      </c>
      <c r="E28" s="517"/>
      <c r="G28" s="551"/>
    </row>
    <row r="29" spans="1:36" s="519" customFormat="1" ht="24.75" customHeight="1" thickBot="1">
      <c r="A29" s="146">
        <v>24</v>
      </c>
      <c r="B29" s="392"/>
      <c r="C29" s="253" t="s">
        <v>232</v>
      </c>
      <c r="D29" s="543">
        <f>SUM(D21:D28)</f>
        <v>18573201</v>
      </c>
      <c r="E29" s="518"/>
      <c r="F29" s="253" t="s">
        <v>233</v>
      </c>
      <c r="G29" s="552">
        <f>SUM(G21:G28)</f>
        <v>319022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7" s="1" customFormat="1" ht="30" customHeight="1" thickBot="1" thickTop="1">
      <c r="A30" s="146">
        <v>25</v>
      </c>
      <c r="B30" s="520"/>
      <c r="C30" s="253" t="s">
        <v>234</v>
      </c>
      <c r="D30" s="540">
        <f>SUM(D20,D29)</f>
        <v>46422015</v>
      </c>
      <c r="E30" s="521"/>
      <c r="F30" s="253" t="s">
        <v>235</v>
      </c>
      <c r="G30" s="512">
        <f>SUM(G20,G29)</f>
        <v>46422015</v>
      </c>
    </row>
    <row r="31" spans="1:7" s="1" customFormat="1" ht="18" thickTop="1">
      <c r="A31" s="146">
        <v>26</v>
      </c>
      <c r="B31" s="522"/>
      <c r="C31" s="523" t="s">
        <v>187</v>
      </c>
      <c r="D31" s="544">
        <f>+D20-G20</f>
        <v>-18254179</v>
      </c>
      <c r="E31" s="524"/>
      <c r="F31" s="525"/>
      <c r="G31" s="551"/>
    </row>
    <row r="32" spans="1:7" s="1" customFormat="1" ht="17.25">
      <c r="A32" s="146">
        <v>27</v>
      </c>
      <c r="B32" s="526"/>
      <c r="C32" s="527" t="s">
        <v>236</v>
      </c>
      <c r="D32" s="545">
        <f>+D13-G13</f>
        <v>-614829</v>
      </c>
      <c r="E32" s="524"/>
      <c r="F32" s="525"/>
      <c r="G32" s="551"/>
    </row>
    <row r="33" spans="1:7" s="1" customFormat="1" ht="17.25">
      <c r="A33" s="146">
        <v>28</v>
      </c>
      <c r="B33" s="526"/>
      <c r="C33" s="527" t="s">
        <v>237</v>
      </c>
      <c r="D33" s="545">
        <f>+D19-G19</f>
        <v>-17639350</v>
      </c>
      <c r="E33" s="524"/>
      <c r="F33" s="525"/>
      <c r="G33" s="551"/>
    </row>
    <row r="34" spans="1:7" s="1" customFormat="1" ht="17.25">
      <c r="A34" s="146">
        <v>29</v>
      </c>
      <c r="B34" s="526"/>
      <c r="C34" s="528" t="s">
        <v>238</v>
      </c>
      <c r="D34" s="545">
        <f>+D31-G29</f>
        <v>-18573201</v>
      </c>
      <c r="E34" s="524"/>
      <c r="F34" s="525"/>
      <c r="G34" s="551"/>
    </row>
    <row r="35" spans="1:7" s="1" customFormat="1" ht="32.25" customHeight="1">
      <c r="A35" s="146">
        <v>30</v>
      </c>
      <c r="B35" s="526"/>
      <c r="C35" s="529" t="s">
        <v>398</v>
      </c>
      <c r="D35" s="545">
        <f>D28+D23</f>
        <v>17396684</v>
      </c>
      <c r="E35" s="524"/>
      <c r="F35" s="525"/>
      <c r="G35" s="551"/>
    </row>
    <row r="36" spans="1:7" s="1" customFormat="1" ht="33.75" customHeight="1">
      <c r="A36" s="146">
        <v>31</v>
      </c>
      <c r="B36" s="530"/>
      <c r="C36" s="531" t="s">
        <v>399</v>
      </c>
      <c r="D36" s="546">
        <f>D26</f>
        <v>1176517</v>
      </c>
      <c r="E36" s="532"/>
      <c r="F36" s="533"/>
      <c r="G36" s="553"/>
    </row>
    <row r="37" spans="1:7" ht="19.5" customHeight="1">
      <c r="A37" s="146">
        <v>32</v>
      </c>
      <c r="B37" s="534"/>
      <c r="C37" s="148" t="s">
        <v>239</v>
      </c>
      <c r="D37" s="547">
        <f>(D13+D22+D23+D24)/D30</f>
        <v>0.34885112160684967</v>
      </c>
      <c r="E37" s="535"/>
      <c r="F37" s="148" t="s">
        <v>240</v>
      </c>
      <c r="G37" s="554">
        <f>(G13+G22+G23)/G30</f>
        <v>0.33600702166849067</v>
      </c>
    </row>
    <row r="38" spans="1:7" ht="19.5" customHeight="1" thickBot="1">
      <c r="A38" s="146">
        <v>33</v>
      </c>
      <c r="B38" s="536"/>
      <c r="C38" s="537" t="s">
        <v>241</v>
      </c>
      <c r="D38" s="548">
        <f>(D19+D26+D27+D28)/D30</f>
        <v>0.6511488783931503</v>
      </c>
      <c r="E38" s="538"/>
      <c r="F38" s="537" t="s">
        <v>242</v>
      </c>
      <c r="G38" s="555">
        <f>(G19+G26+G27)/G30</f>
        <v>0.6639929783315093</v>
      </c>
    </row>
    <row r="39" ht="16.5">
      <c r="F39" s="148" t="s">
        <v>243</v>
      </c>
    </row>
  </sheetData>
  <sheetProtection/>
  <mergeCells count="3">
    <mergeCell ref="B1:C1"/>
    <mergeCell ref="B2:G2"/>
    <mergeCell ref="B3:G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SheetLayoutView="100" zoomScalePageLayoutView="0" workbookViewId="0" topLeftCell="A1">
      <selection activeCell="J17" sqref="J17"/>
    </sheetView>
  </sheetViews>
  <sheetFormatPr defaultColWidth="31.25390625" defaultRowHeight="12.75"/>
  <cols>
    <col min="1" max="1" width="3.75390625" style="132" customWidth="1"/>
    <col min="2" max="2" width="4.75390625" style="19" customWidth="1"/>
    <col min="3" max="3" width="50.75390625" style="39" customWidth="1"/>
    <col min="4" max="6" width="13.75390625" style="21" customWidth="1"/>
    <col min="7" max="7" width="30.75390625" style="22" customWidth="1"/>
    <col min="8" max="8" width="12.125" style="23" customWidth="1"/>
    <col min="9" max="9" width="12.875" style="23" customWidth="1"/>
    <col min="10" max="16384" width="31.25390625" style="23" customWidth="1"/>
  </cols>
  <sheetData>
    <row r="1" spans="1:7" ht="16.5">
      <c r="A1" s="265"/>
      <c r="B1" s="1848" t="s">
        <v>653</v>
      </c>
      <c r="C1" s="1848"/>
      <c r="D1" s="1848"/>
      <c r="E1" s="20"/>
      <c r="G1" s="1035"/>
    </row>
    <row r="2" spans="1:7" ht="24.75" customHeight="1">
      <c r="A2" s="265"/>
      <c r="C2" s="1592" t="s">
        <v>113</v>
      </c>
      <c r="D2" s="1592"/>
      <c r="E2" s="1592"/>
      <c r="F2" s="1592"/>
      <c r="G2" s="1592"/>
    </row>
    <row r="3" spans="1:7" ht="24.75" customHeight="1">
      <c r="A3" s="265"/>
      <c r="B3" s="1592" t="s">
        <v>677</v>
      </c>
      <c r="C3" s="1592"/>
      <c r="D3" s="1592"/>
      <c r="E3" s="1592"/>
      <c r="F3" s="1592"/>
      <c r="G3" s="1592"/>
    </row>
    <row r="4" spans="1:7" s="134" customFormat="1" ht="18" customHeight="1" thickBot="1">
      <c r="A4" s="132"/>
      <c r="B4" s="131" t="s">
        <v>1</v>
      </c>
      <c r="C4" s="133" t="s">
        <v>3</v>
      </c>
      <c r="D4" s="22" t="s">
        <v>2</v>
      </c>
      <c r="E4" s="22" t="s">
        <v>4</v>
      </c>
      <c r="F4" s="22" t="s">
        <v>5</v>
      </c>
      <c r="G4" s="22" t="s">
        <v>15</v>
      </c>
    </row>
    <row r="5" spans="2:7" ht="72" customHeight="1" thickBot="1">
      <c r="B5" s="24" t="s">
        <v>18</v>
      </c>
      <c r="C5" s="25" t="s">
        <v>6</v>
      </c>
      <c r="D5" s="481" t="s">
        <v>511</v>
      </c>
      <c r="E5" s="481" t="s">
        <v>114</v>
      </c>
      <c r="F5" s="481" t="s">
        <v>678</v>
      </c>
      <c r="G5" s="26" t="s">
        <v>115</v>
      </c>
    </row>
    <row r="6" spans="1:7" s="124" customFormat="1" ht="21.75" customHeight="1" thickTop="1">
      <c r="A6" s="131">
        <v>1</v>
      </c>
      <c r="B6" s="125">
        <v>1</v>
      </c>
      <c r="C6" s="589" t="s">
        <v>296</v>
      </c>
      <c r="D6" s="482">
        <v>38</v>
      </c>
      <c r="E6" s="482"/>
      <c r="F6" s="482">
        <f aca="true" t="shared" si="0" ref="F6:F24">SUM(D6:E6)</f>
        <v>38</v>
      </c>
      <c r="G6" s="136"/>
    </row>
    <row r="7" spans="1:7" s="124" customFormat="1" ht="21.75" customHeight="1">
      <c r="A7" s="131">
        <v>2</v>
      </c>
      <c r="B7" s="125">
        <v>2</v>
      </c>
      <c r="C7" s="589" t="s">
        <v>295</v>
      </c>
      <c r="D7" s="482">
        <v>70</v>
      </c>
      <c r="E7" s="482"/>
      <c r="F7" s="482">
        <f t="shared" si="0"/>
        <v>70</v>
      </c>
      <c r="G7" s="136"/>
    </row>
    <row r="8" spans="1:7" s="124" customFormat="1" ht="21.75" customHeight="1">
      <c r="A8" s="131">
        <v>3</v>
      </c>
      <c r="B8" s="125">
        <v>3</v>
      </c>
      <c r="C8" s="589" t="s">
        <v>256</v>
      </c>
      <c r="D8" s="482">
        <v>83.5</v>
      </c>
      <c r="E8" s="482"/>
      <c r="F8" s="482">
        <f t="shared" si="0"/>
        <v>83.5</v>
      </c>
      <c r="G8" s="136"/>
    </row>
    <row r="9" spans="1:7" s="124" customFormat="1" ht="21.75" customHeight="1">
      <c r="A9" s="131">
        <v>4</v>
      </c>
      <c r="B9" s="125">
        <v>4</v>
      </c>
      <c r="C9" s="589" t="s">
        <v>257</v>
      </c>
      <c r="D9" s="482">
        <v>60</v>
      </c>
      <c r="E9" s="482"/>
      <c r="F9" s="482">
        <f t="shared" si="0"/>
        <v>60</v>
      </c>
      <c r="G9" s="136"/>
    </row>
    <row r="10" spans="1:7" s="124" customFormat="1" ht="21.75" customHeight="1">
      <c r="A10" s="131">
        <v>5</v>
      </c>
      <c r="B10" s="125">
        <v>5</v>
      </c>
      <c r="C10" s="589" t="s">
        <v>258</v>
      </c>
      <c r="D10" s="482">
        <v>61.5</v>
      </c>
      <c r="E10" s="482"/>
      <c r="F10" s="482">
        <f t="shared" si="0"/>
        <v>61.5</v>
      </c>
      <c r="G10" s="136"/>
    </row>
    <row r="11" spans="1:7" s="124" customFormat="1" ht="21.75" customHeight="1">
      <c r="A11" s="131">
        <v>6</v>
      </c>
      <c r="B11" s="125">
        <v>6</v>
      </c>
      <c r="C11" s="589" t="s">
        <v>259</v>
      </c>
      <c r="D11" s="482">
        <v>36</v>
      </c>
      <c r="E11" s="482"/>
      <c r="F11" s="482">
        <f t="shared" si="0"/>
        <v>36</v>
      </c>
      <c r="G11" s="136"/>
    </row>
    <row r="12" spans="1:7" s="126" customFormat="1" ht="21.75" customHeight="1">
      <c r="A12" s="131">
        <v>7</v>
      </c>
      <c r="B12" s="1214"/>
      <c r="C12" s="127" t="s">
        <v>244</v>
      </c>
      <c r="D12" s="483">
        <v>2</v>
      </c>
      <c r="E12" s="483">
        <v>-2</v>
      </c>
      <c r="F12" s="483">
        <f t="shared" si="0"/>
        <v>0</v>
      </c>
      <c r="G12" s="137"/>
    </row>
    <row r="13" spans="1:7" s="124" customFormat="1" ht="33">
      <c r="A13" s="131">
        <v>8</v>
      </c>
      <c r="B13" s="125">
        <v>7</v>
      </c>
      <c r="C13" s="591" t="s">
        <v>344</v>
      </c>
      <c r="D13" s="482">
        <v>200</v>
      </c>
      <c r="E13" s="482"/>
      <c r="F13" s="482">
        <f t="shared" si="0"/>
        <v>200</v>
      </c>
      <c r="G13" s="635"/>
    </row>
    <row r="14" spans="1:7" ht="33" customHeight="1">
      <c r="A14" s="131">
        <v>9</v>
      </c>
      <c r="B14" s="125">
        <v>8</v>
      </c>
      <c r="C14" s="590" t="s">
        <v>116</v>
      </c>
      <c r="D14" s="482">
        <v>13.25</v>
      </c>
      <c r="E14" s="482"/>
      <c r="F14" s="482">
        <f t="shared" si="0"/>
        <v>13.25</v>
      </c>
      <c r="G14" s="138"/>
    </row>
    <row r="15" spans="1:7" ht="33" customHeight="1">
      <c r="A15" s="131">
        <v>10</v>
      </c>
      <c r="B15" s="125">
        <v>9</v>
      </c>
      <c r="C15" s="590" t="s">
        <v>436</v>
      </c>
      <c r="D15" s="482">
        <v>63</v>
      </c>
      <c r="E15" s="482">
        <v>1</v>
      </c>
      <c r="F15" s="482">
        <f t="shared" si="0"/>
        <v>64</v>
      </c>
      <c r="G15" s="138" t="s">
        <v>679</v>
      </c>
    </row>
    <row r="16" spans="1:7" ht="21.75" customHeight="1">
      <c r="A16" s="131">
        <v>12</v>
      </c>
      <c r="B16" s="122">
        <v>10</v>
      </c>
      <c r="C16" s="587" t="s">
        <v>437</v>
      </c>
      <c r="D16" s="28">
        <v>24.25</v>
      </c>
      <c r="E16" s="28"/>
      <c r="F16" s="28">
        <f t="shared" si="0"/>
        <v>24.25</v>
      </c>
      <c r="G16" s="138"/>
    </row>
    <row r="17" spans="1:7" ht="33" customHeight="1">
      <c r="A17" s="131">
        <v>13</v>
      </c>
      <c r="B17" s="125">
        <v>11</v>
      </c>
      <c r="C17" s="590" t="s">
        <v>429</v>
      </c>
      <c r="D17" s="28">
        <v>22</v>
      </c>
      <c r="E17" s="28"/>
      <c r="F17" s="28">
        <f t="shared" si="0"/>
        <v>22</v>
      </c>
      <c r="G17" s="138"/>
    </row>
    <row r="18" spans="1:7" s="124" customFormat="1" ht="21.75" customHeight="1">
      <c r="A18" s="131">
        <v>14</v>
      </c>
      <c r="B18" s="122">
        <v>12</v>
      </c>
      <c r="C18" s="123" t="s">
        <v>25</v>
      </c>
      <c r="D18" s="482">
        <v>51.5</v>
      </c>
      <c r="E18" s="482"/>
      <c r="F18" s="482">
        <f t="shared" si="0"/>
        <v>51.5</v>
      </c>
      <c r="G18" s="136"/>
    </row>
    <row r="19" spans="1:7" s="124" customFormat="1" ht="27.75" customHeight="1">
      <c r="A19" s="131">
        <v>15</v>
      </c>
      <c r="B19" s="122">
        <v>13</v>
      </c>
      <c r="C19" s="123" t="s">
        <v>32</v>
      </c>
      <c r="D19" s="482">
        <v>53</v>
      </c>
      <c r="E19" s="482"/>
      <c r="F19" s="482">
        <f t="shared" si="0"/>
        <v>53</v>
      </c>
      <c r="G19" s="141"/>
    </row>
    <row r="20" spans="1:7" s="126" customFormat="1" ht="34.5">
      <c r="A20" s="131">
        <v>16</v>
      </c>
      <c r="B20" s="125"/>
      <c r="C20" s="127" t="s">
        <v>634</v>
      </c>
      <c r="D20" s="482">
        <v>6</v>
      </c>
      <c r="E20" s="482"/>
      <c r="F20" s="482">
        <f t="shared" si="0"/>
        <v>6</v>
      </c>
      <c r="G20" s="127"/>
    </row>
    <row r="21" spans="1:7" ht="42.75" customHeight="1">
      <c r="A21" s="131">
        <v>18</v>
      </c>
      <c r="B21" s="122">
        <v>14</v>
      </c>
      <c r="C21" s="587" t="s">
        <v>431</v>
      </c>
      <c r="D21" s="482">
        <v>22</v>
      </c>
      <c r="E21" s="482">
        <v>-2</v>
      </c>
      <c r="F21" s="482">
        <f t="shared" si="0"/>
        <v>20</v>
      </c>
      <c r="G21" s="1374" t="s">
        <v>847</v>
      </c>
    </row>
    <row r="22" spans="1:7" s="126" customFormat="1" ht="21.75" customHeight="1">
      <c r="A22" s="131">
        <v>19</v>
      </c>
      <c r="B22" s="125"/>
      <c r="C22" s="127" t="s">
        <v>244</v>
      </c>
      <c r="D22" s="483">
        <v>2</v>
      </c>
      <c r="E22" s="483"/>
      <c r="F22" s="483">
        <f t="shared" si="0"/>
        <v>2</v>
      </c>
      <c r="G22" s="137"/>
    </row>
    <row r="23" spans="1:7" s="124" customFormat="1" ht="21.75" customHeight="1">
      <c r="A23" s="131">
        <v>20</v>
      </c>
      <c r="B23" s="122">
        <v>15</v>
      </c>
      <c r="C23" s="123" t="s">
        <v>148</v>
      </c>
      <c r="D23" s="482">
        <v>102</v>
      </c>
      <c r="E23" s="482"/>
      <c r="F23" s="482">
        <f t="shared" si="0"/>
        <v>102</v>
      </c>
      <c r="G23" s="136"/>
    </row>
    <row r="24" spans="1:7" ht="21.75" customHeight="1" thickBot="1">
      <c r="A24" s="131">
        <v>21</v>
      </c>
      <c r="B24" s="588">
        <v>16</v>
      </c>
      <c r="C24" s="648" t="s">
        <v>260</v>
      </c>
      <c r="D24" s="649">
        <v>53.25</v>
      </c>
      <c r="E24" s="649"/>
      <c r="F24" s="649">
        <f t="shared" si="0"/>
        <v>53.25</v>
      </c>
      <c r="G24" s="650"/>
    </row>
    <row r="25" spans="1:7" ht="30" customHeight="1" thickBot="1" thickTop="1">
      <c r="A25" s="131">
        <v>22</v>
      </c>
      <c r="B25" s="31"/>
      <c r="C25" s="32" t="s">
        <v>117</v>
      </c>
      <c r="D25" s="484">
        <f>SUM(D6:D24)</f>
        <v>963.25</v>
      </c>
      <c r="E25" s="484">
        <f>SUM(E6:E24)</f>
        <v>-3</v>
      </c>
      <c r="F25" s="484">
        <f>SUM(F6:F24)</f>
        <v>960.25</v>
      </c>
      <c r="G25" s="139"/>
    </row>
    <row r="26" spans="1:7" ht="21.75" customHeight="1">
      <c r="A26" s="131">
        <v>23</v>
      </c>
      <c r="B26" s="122">
        <v>17</v>
      </c>
      <c r="C26" s="587" t="s">
        <v>26</v>
      </c>
      <c r="D26" s="28">
        <v>200</v>
      </c>
      <c r="E26" s="28"/>
      <c r="F26" s="28">
        <f>SUM(D26:E26)</f>
        <v>200</v>
      </c>
      <c r="G26" s="138"/>
    </row>
    <row r="27" spans="1:7" ht="21.75" customHeight="1">
      <c r="A27" s="131">
        <v>24</v>
      </c>
      <c r="B27" s="122">
        <v>18</v>
      </c>
      <c r="C27" s="587" t="s">
        <v>118</v>
      </c>
      <c r="D27" s="1"/>
      <c r="E27" s="1"/>
      <c r="F27" s="1">
        <f>SUM(D27:E27)</f>
        <v>0</v>
      </c>
      <c r="G27" s="140" t="s">
        <v>243</v>
      </c>
    </row>
    <row r="28" spans="1:7" ht="21.75" customHeight="1">
      <c r="A28" s="131">
        <v>25</v>
      </c>
      <c r="B28" s="27"/>
      <c r="C28" s="198" t="s">
        <v>305</v>
      </c>
      <c r="D28" s="28">
        <v>3</v>
      </c>
      <c r="E28" s="28"/>
      <c r="F28" s="28">
        <f>SUM(D28:E28)</f>
        <v>3</v>
      </c>
      <c r="G28" s="140"/>
    </row>
    <row r="29" spans="1:7" s="126" customFormat="1" ht="21.75" customHeight="1" thickBot="1">
      <c r="A29" s="131">
        <v>26</v>
      </c>
      <c r="B29" s="125"/>
      <c r="C29" s="127" t="s">
        <v>277</v>
      </c>
      <c r="D29" s="483">
        <v>9.88</v>
      </c>
      <c r="E29" s="483">
        <v>-5.88</v>
      </c>
      <c r="F29" s="483">
        <f>SUM(D29:E29)</f>
        <v>4.000000000000001</v>
      </c>
      <c r="G29" s="141"/>
    </row>
    <row r="30" spans="1:7" ht="30" customHeight="1">
      <c r="A30" s="131">
        <v>27</v>
      </c>
      <c r="B30" s="583"/>
      <c r="C30" s="584" t="s">
        <v>13</v>
      </c>
      <c r="D30" s="585">
        <f>SUM(D25:D29)</f>
        <v>1176.13</v>
      </c>
      <c r="E30" s="585">
        <f>SUM(E25:E29)</f>
        <v>-8.879999999999999</v>
      </c>
      <c r="F30" s="585">
        <f>SUM(F25:F29)</f>
        <v>1167.25</v>
      </c>
      <c r="G30" s="586"/>
    </row>
    <row r="31" spans="1:7" ht="16.5" customHeight="1">
      <c r="A31" s="131">
        <v>28</v>
      </c>
      <c r="B31" s="27"/>
      <c r="C31" s="29" t="s">
        <v>119</v>
      </c>
      <c r="D31" s="28"/>
      <c r="E31" s="28"/>
      <c r="F31" s="28"/>
      <c r="G31" s="138"/>
    </row>
    <row r="32" spans="1:7" ht="16.5" customHeight="1" thickBot="1">
      <c r="A32" s="131">
        <v>29</v>
      </c>
      <c r="B32" s="31"/>
      <c r="C32" s="128" t="s">
        <v>277</v>
      </c>
      <c r="D32" s="485">
        <f>SUM(D12,D22,D29)</f>
        <v>13.88</v>
      </c>
      <c r="E32" s="485">
        <f>SUM(E12,E22,E29)</f>
        <v>-7.88</v>
      </c>
      <c r="F32" s="485">
        <f>SUM(F12,F22,F29)</f>
        <v>6.000000000000001</v>
      </c>
      <c r="G32" s="142"/>
    </row>
    <row r="34" spans="3:7" ht="16.5">
      <c r="C34" s="33"/>
      <c r="D34" s="28"/>
      <c r="E34" s="28"/>
      <c r="F34" s="28"/>
      <c r="G34" s="143"/>
    </row>
    <row r="35" spans="3:7" ht="16.5">
      <c r="C35" s="34"/>
      <c r="D35" s="35"/>
      <c r="E35" s="35"/>
      <c r="F35" s="35"/>
      <c r="G35" s="143"/>
    </row>
    <row r="36" spans="3:7" ht="16.5">
      <c r="C36" s="34"/>
      <c r="D36" s="35"/>
      <c r="E36" s="35"/>
      <c r="F36" s="35"/>
      <c r="G36" s="143"/>
    </row>
    <row r="37" spans="3:7" ht="16.5">
      <c r="C37" s="34"/>
      <c r="D37" s="35"/>
      <c r="E37" s="35"/>
      <c r="F37" s="35"/>
      <c r="G37" s="143"/>
    </row>
    <row r="38" spans="3:7" ht="16.5">
      <c r="C38" s="33"/>
      <c r="D38" s="28"/>
      <c r="E38" s="28"/>
      <c r="F38" s="28"/>
      <c r="G38" s="143"/>
    </row>
    <row r="39" spans="3:7" ht="16.5">
      <c r="C39" s="33"/>
      <c r="D39" s="28"/>
      <c r="E39" s="28"/>
      <c r="F39" s="28"/>
      <c r="G39" s="143"/>
    </row>
    <row r="40" spans="3:7" ht="16.5">
      <c r="C40" s="33"/>
      <c r="D40" s="28"/>
      <c r="E40" s="28"/>
      <c r="F40" s="28"/>
      <c r="G40" s="143"/>
    </row>
    <row r="43" spans="1:7" s="30" customFormat="1" ht="17.25">
      <c r="A43" s="379"/>
      <c r="B43" s="1055"/>
      <c r="C43" s="36"/>
      <c r="D43" s="37"/>
      <c r="E43" s="37"/>
      <c r="F43" s="37"/>
      <c r="G43" s="144"/>
    </row>
    <row r="45" spans="1:7" s="30" customFormat="1" ht="17.25">
      <c r="A45" s="379"/>
      <c r="B45" s="1055"/>
      <c r="C45" s="36"/>
      <c r="D45" s="37"/>
      <c r="E45" s="37"/>
      <c r="F45" s="37"/>
      <c r="G45" s="144"/>
    </row>
    <row r="48" spans="1:7" s="30" customFormat="1" ht="17.25">
      <c r="A48" s="379"/>
      <c r="B48" s="1055"/>
      <c r="C48" s="36"/>
      <c r="D48" s="37"/>
      <c r="E48" s="37"/>
      <c r="F48" s="37"/>
      <c r="G48" s="144"/>
    </row>
    <row r="66" spans="1:7" s="30" customFormat="1" ht="17.25">
      <c r="A66" s="379"/>
      <c r="B66" s="1055"/>
      <c r="C66" s="36"/>
      <c r="D66" s="37"/>
      <c r="E66" s="37"/>
      <c r="F66" s="37"/>
      <c r="G66" s="144"/>
    </row>
    <row r="75" ht="16.5">
      <c r="D75" s="38"/>
    </row>
    <row r="76" ht="16.5">
      <c r="D76" s="38"/>
    </row>
    <row r="77" ht="16.5">
      <c r="D77" s="38"/>
    </row>
    <row r="78" ht="16.5">
      <c r="D78" s="38"/>
    </row>
    <row r="79" ht="16.5">
      <c r="D79" s="38"/>
    </row>
    <row r="80" ht="16.5">
      <c r="D80" s="38"/>
    </row>
    <row r="81" ht="16.5">
      <c r="D81" s="38"/>
    </row>
    <row r="82" ht="16.5">
      <c r="D82" s="38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7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69">
      <selection activeCell="K66" sqref="K66"/>
    </sheetView>
  </sheetViews>
  <sheetFormatPr defaultColWidth="9.00390625" defaultRowHeight="12.75"/>
  <cols>
    <col min="1" max="1" width="4.375" style="434" customWidth="1"/>
    <col min="2" max="2" width="65.75390625" style="615" customWidth="1"/>
    <col min="3" max="6" width="15.75390625" style="607" customWidth="1"/>
    <col min="7" max="7" width="15.25390625" style="607" hidden="1" customWidth="1"/>
    <col min="8" max="249" width="9.125" style="440" customWidth="1"/>
    <col min="250" max="250" width="3.75390625" style="440" customWidth="1"/>
    <col min="251" max="251" width="58.75390625" style="440" customWidth="1"/>
    <col min="252" max="255" width="15.25390625" style="440" customWidth="1"/>
    <col min="256" max="16384" width="9.125" style="440" customWidth="1"/>
  </cols>
  <sheetData>
    <row r="1" spans="1:7" ht="17.25">
      <c r="A1" s="1205"/>
      <c r="B1" s="1851" t="s">
        <v>654</v>
      </c>
      <c r="C1" s="1851"/>
      <c r="D1" s="440"/>
      <c r="E1" s="440"/>
      <c r="F1" s="440"/>
      <c r="G1" s="440"/>
    </row>
    <row r="2" spans="1:7" ht="16.5">
      <c r="A2" s="1206"/>
      <c r="B2" s="98"/>
      <c r="C2" s="1207"/>
      <c r="D2" s="1207"/>
      <c r="E2" s="1207"/>
      <c r="F2" s="1207"/>
      <c r="G2" s="1207"/>
    </row>
    <row r="3" spans="1:7" ht="17.25">
      <c r="A3" s="1854" t="s">
        <v>481</v>
      </c>
      <c r="B3" s="1854"/>
      <c r="C3" s="1854"/>
      <c r="D3" s="1854"/>
      <c r="E3" s="1854"/>
      <c r="F3" s="1854"/>
      <c r="G3" s="440"/>
    </row>
    <row r="4" spans="1:7" ht="17.25">
      <c r="A4" s="1855" t="s">
        <v>319</v>
      </c>
      <c r="B4" s="1855"/>
      <c r="C4" s="1855"/>
      <c r="D4" s="1855"/>
      <c r="E4" s="1855"/>
      <c r="F4" s="1855"/>
      <c r="G4" s="440"/>
    </row>
    <row r="5" spans="2:6" ht="17.25">
      <c r="B5" s="1204"/>
      <c r="E5" s="608"/>
      <c r="F5" s="608" t="s">
        <v>0</v>
      </c>
    </row>
    <row r="6" spans="1:7" s="434" customFormat="1" ht="17.25" thickBot="1">
      <c r="A6" s="609"/>
      <c r="B6" s="609" t="s">
        <v>1</v>
      </c>
      <c r="C6" s="434" t="s">
        <v>3</v>
      </c>
      <c r="D6" s="434" t="s">
        <v>2</v>
      </c>
      <c r="E6" s="434" t="s">
        <v>4</v>
      </c>
      <c r="F6" s="434" t="s">
        <v>5</v>
      </c>
      <c r="G6" s="434" t="s">
        <v>4</v>
      </c>
    </row>
    <row r="7" spans="1:7" s="610" customFormat="1" ht="34.5" customHeight="1">
      <c r="A7" s="1856" t="s">
        <v>320</v>
      </c>
      <c r="B7" s="1858" t="s">
        <v>6</v>
      </c>
      <c r="C7" s="1860" t="s">
        <v>479</v>
      </c>
      <c r="D7" s="1860" t="s">
        <v>480</v>
      </c>
      <c r="E7" s="1862" t="s">
        <v>598</v>
      </c>
      <c r="F7" s="1864" t="s">
        <v>680</v>
      </c>
      <c r="G7" s="1852" t="s">
        <v>470</v>
      </c>
    </row>
    <row r="8" spans="1:7" s="610" customFormat="1" ht="34.5" customHeight="1" thickBot="1">
      <c r="A8" s="1857"/>
      <c r="B8" s="1859"/>
      <c r="C8" s="1861"/>
      <c r="D8" s="1861"/>
      <c r="E8" s="1863"/>
      <c r="F8" s="1865"/>
      <c r="G8" s="1853"/>
    </row>
    <row r="9" spans="1:7" s="611" customFormat="1" ht="22.5" customHeight="1">
      <c r="A9" s="1425">
        <v>1</v>
      </c>
      <c r="B9" s="1426" t="s">
        <v>878</v>
      </c>
      <c r="C9" s="646">
        <v>20000</v>
      </c>
      <c r="D9" s="1427"/>
      <c r="E9" s="1427"/>
      <c r="F9" s="660"/>
      <c r="G9" s="654"/>
    </row>
    <row r="10" spans="1:7" s="611" customFormat="1" ht="22.5" customHeight="1">
      <c r="A10" s="436">
        <v>2</v>
      </c>
      <c r="B10" s="1428" t="s">
        <v>348</v>
      </c>
      <c r="C10" s="612">
        <v>12000</v>
      </c>
      <c r="D10" s="612"/>
      <c r="E10" s="612"/>
      <c r="F10" s="661"/>
      <c r="G10" s="655"/>
    </row>
    <row r="11" spans="1:7" s="611" customFormat="1" ht="30">
      <c r="A11" s="436">
        <v>3</v>
      </c>
      <c r="B11" s="1429" t="s">
        <v>879</v>
      </c>
      <c r="C11" s="612"/>
      <c r="D11" s="612">
        <v>118000</v>
      </c>
      <c r="E11" s="612">
        <v>118000</v>
      </c>
      <c r="F11" s="661">
        <v>118000</v>
      </c>
      <c r="G11" s="655"/>
    </row>
    <row r="12" spans="1:7" s="611" customFormat="1" ht="22.5" customHeight="1">
      <c r="A12" s="436">
        <v>4</v>
      </c>
      <c r="B12" s="1428" t="s">
        <v>880</v>
      </c>
      <c r="C12" s="612">
        <v>28000</v>
      </c>
      <c r="D12" s="612"/>
      <c r="E12" s="612"/>
      <c r="F12" s="661"/>
      <c r="G12" s="655"/>
    </row>
    <row r="13" spans="1:7" s="611" customFormat="1" ht="30">
      <c r="A13" s="436">
        <v>5</v>
      </c>
      <c r="B13" s="1428" t="s">
        <v>881</v>
      </c>
      <c r="C13" s="612">
        <v>120000</v>
      </c>
      <c r="D13" s="612"/>
      <c r="E13" s="612"/>
      <c r="F13" s="661"/>
      <c r="G13" s="655"/>
    </row>
    <row r="14" spans="1:7" s="611" customFormat="1" ht="30">
      <c r="A14" s="436">
        <v>6</v>
      </c>
      <c r="B14" s="1428" t="s">
        <v>882</v>
      </c>
      <c r="C14" s="612">
        <v>50348</v>
      </c>
      <c r="D14" s="612"/>
      <c r="E14" s="612"/>
      <c r="F14" s="661"/>
      <c r="G14" s="655"/>
    </row>
    <row r="15" spans="1:7" s="611" customFormat="1" ht="22.5" customHeight="1">
      <c r="A15" s="436">
        <v>7</v>
      </c>
      <c r="B15" s="1428" t="s">
        <v>883</v>
      </c>
      <c r="C15" s="612">
        <v>38100</v>
      </c>
      <c r="D15" s="612"/>
      <c r="E15" s="612"/>
      <c r="F15" s="661"/>
      <c r="G15" s="655"/>
    </row>
    <row r="16" spans="1:7" s="611" customFormat="1" ht="22.5" customHeight="1">
      <c r="A16" s="436">
        <v>8</v>
      </c>
      <c r="B16" s="1428" t="s">
        <v>884</v>
      </c>
      <c r="C16" s="647">
        <v>469480</v>
      </c>
      <c r="D16" s="612">
        <v>1124480</v>
      </c>
      <c r="E16" s="612">
        <v>1124480</v>
      </c>
      <c r="F16" s="661">
        <v>1124480</v>
      </c>
      <c r="G16" s="655"/>
    </row>
    <row r="17" spans="1:7" s="611" customFormat="1" ht="30">
      <c r="A17" s="436"/>
      <c r="B17" s="1430" t="s">
        <v>941</v>
      </c>
      <c r="C17" s="614"/>
      <c r="D17" s="614"/>
      <c r="E17" s="614"/>
      <c r="F17" s="663"/>
      <c r="G17" s="655"/>
    </row>
    <row r="18" spans="1:8" s="611" customFormat="1" ht="22.5" customHeight="1">
      <c r="A18" s="436">
        <v>9</v>
      </c>
      <c r="B18" s="1431" t="s">
        <v>885</v>
      </c>
      <c r="C18" s="647">
        <v>121336</v>
      </c>
      <c r="D18" s="612">
        <v>342800</v>
      </c>
      <c r="E18" s="612">
        <v>342800</v>
      </c>
      <c r="F18" s="661">
        <v>342800</v>
      </c>
      <c r="G18" s="655"/>
      <c r="H18" s="1080"/>
    </row>
    <row r="19" spans="1:7" s="611" customFormat="1" ht="22.5" customHeight="1">
      <c r="A19" s="436">
        <v>10</v>
      </c>
      <c r="B19" s="1431" t="s">
        <v>886</v>
      </c>
      <c r="C19" s="647">
        <v>231700</v>
      </c>
      <c r="D19" s="612">
        <v>331700</v>
      </c>
      <c r="E19" s="612">
        <v>331700</v>
      </c>
      <c r="F19" s="661">
        <v>331700</v>
      </c>
      <c r="G19" s="655"/>
    </row>
    <row r="20" spans="1:7" ht="22.5" customHeight="1">
      <c r="A20" s="436">
        <v>11</v>
      </c>
      <c r="B20" s="1431" t="s">
        <v>887</v>
      </c>
      <c r="C20" s="614">
        <v>31600</v>
      </c>
      <c r="D20" s="614">
        <v>71600</v>
      </c>
      <c r="E20" s="614">
        <v>71600</v>
      </c>
      <c r="F20" s="663">
        <v>71600</v>
      </c>
      <c r="G20" s="658"/>
    </row>
    <row r="21" spans="1:7" s="611" customFormat="1" ht="22.5" customHeight="1">
      <c r="A21" s="436">
        <v>12</v>
      </c>
      <c r="B21" s="1431" t="s">
        <v>888</v>
      </c>
      <c r="C21" s="647">
        <v>37700</v>
      </c>
      <c r="D21" s="612">
        <v>57700</v>
      </c>
      <c r="E21" s="612">
        <v>57700</v>
      </c>
      <c r="F21" s="661">
        <v>57700</v>
      </c>
      <c r="G21" s="655"/>
    </row>
    <row r="22" spans="1:7" s="611" customFormat="1" ht="22.5" customHeight="1">
      <c r="A22" s="436"/>
      <c r="B22" s="1432" t="s">
        <v>889</v>
      </c>
      <c r="C22" s="647"/>
      <c r="D22" s="647"/>
      <c r="E22" s="1081"/>
      <c r="F22" s="1211"/>
      <c r="G22" s="655"/>
    </row>
    <row r="23" spans="1:7" s="611" customFormat="1" ht="22.5" customHeight="1">
      <c r="A23" s="436">
        <v>13</v>
      </c>
      <c r="B23" s="1431" t="s">
        <v>890</v>
      </c>
      <c r="C23" s="647"/>
      <c r="D23" s="612">
        <v>50000</v>
      </c>
      <c r="E23" s="612">
        <v>50000</v>
      </c>
      <c r="F23" s="661">
        <v>50000</v>
      </c>
      <c r="G23" s="655"/>
    </row>
    <row r="24" spans="1:7" s="611" customFormat="1" ht="22.5" customHeight="1">
      <c r="A24" s="436">
        <v>14</v>
      </c>
      <c r="B24" s="1433" t="s">
        <v>891</v>
      </c>
      <c r="C24" s="647"/>
      <c r="D24" s="612">
        <v>200436</v>
      </c>
      <c r="E24" s="612">
        <v>200436</v>
      </c>
      <c r="F24" s="661">
        <v>200436</v>
      </c>
      <c r="G24" s="655"/>
    </row>
    <row r="25" spans="1:7" s="611" customFormat="1" ht="22.5" customHeight="1">
      <c r="A25" s="436">
        <v>15</v>
      </c>
      <c r="B25" s="1433" t="s">
        <v>892</v>
      </c>
      <c r="C25" s="647">
        <v>147218</v>
      </c>
      <c r="D25" s="612"/>
      <c r="E25" s="612"/>
      <c r="F25" s="661"/>
      <c r="G25" s="655"/>
    </row>
    <row r="26" spans="1:7" s="611" customFormat="1" ht="30">
      <c r="A26" s="436">
        <v>16</v>
      </c>
      <c r="B26" s="1434" t="s">
        <v>893</v>
      </c>
      <c r="C26" s="612">
        <v>150000</v>
      </c>
      <c r="D26" s="612"/>
      <c r="E26" s="612"/>
      <c r="F26" s="661"/>
      <c r="G26" s="655"/>
    </row>
    <row r="27" spans="1:7" ht="30">
      <c r="A27" s="436">
        <v>17</v>
      </c>
      <c r="B27" s="1434" t="s">
        <v>894</v>
      </c>
      <c r="C27" s="613">
        <v>120000</v>
      </c>
      <c r="D27" s="613"/>
      <c r="E27" s="612"/>
      <c r="F27" s="662"/>
      <c r="G27" s="656">
        <v>38324</v>
      </c>
    </row>
    <row r="28" spans="1:7" ht="22.5" customHeight="1">
      <c r="A28" s="436">
        <v>18</v>
      </c>
      <c r="B28" s="1429" t="s">
        <v>895</v>
      </c>
      <c r="C28" s="613">
        <v>70000</v>
      </c>
      <c r="D28" s="613"/>
      <c r="E28" s="613"/>
      <c r="F28" s="662"/>
      <c r="G28" s="656"/>
    </row>
    <row r="29" spans="1:7" ht="45">
      <c r="A29" s="436">
        <v>19</v>
      </c>
      <c r="B29" s="1435" t="s">
        <v>896</v>
      </c>
      <c r="C29" s="613">
        <v>155000</v>
      </c>
      <c r="D29" s="613">
        <v>100000</v>
      </c>
      <c r="E29" s="613"/>
      <c r="F29" s="662"/>
      <c r="G29" s="656"/>
    </row>
    <row r="30" spans="1:7" ht="30">
      <c r="A30" s="436">
        <v>20</v>
      </c>
      <c r="B30" s="1436" t="s">
        <v>897</v>
      </c>
      <c r="C30" s="613">
        <v>239</v>
      </c>
      <c r="D30" s="613">
        <v>239</v>
      </c>
      <c r="E30" s="613">
        <v>239</v>
      </c>
      <c r="F30" s="662">
        <v>239</v>
      </c>
      <c r="G30" s="656">
        <v>38100</v>
      </c>
    </row>
    <row r="31" spans="1:7" ht="30">
      <c r="A31" s="436">
        <v>21</v>
      </c>
      <c r="B31" s="1436" t="s">
        <v>898</v>
      </c>
      <c r="C31" s="613">
        <v>70000</v>
      </c>
      <c r="D31" s="613"/>
      <c r="E31" s="613"/>
      <c r="F31" s="662"/>
      <c r="G31" s="656"/>
    </row>
    <row r="32" spans="1:7" ht="30">
      <c r="A32" s="436">
        <v>22</v>
      </c>
      <c r="B32" s="1428" t="s">
        <v>899</v>
      </c>
      <c r="C32" s="613">
        <v>12500</v>
      </c>
      <c r="D32" s="613">
        <v>25000</v>
      </c>
      <c r="E32" s="613">
        <v>25000</v>
      </c>
      <c r="F32" s="662"/>
      <c r="G32" s="656"/>
    </row>
    <row r="33" spans="1:7" ht="45">
      <c r="A33" s="436">
        <v>23</v>
      </c>
      <c r="B33" s="1428" t="s">
        <v>900</v>
      </c>
      <c r="C33" s="613">
        <v>12500</v>
      </c>
      <c r="D33" s="613"/>
      <c r="E33" s="613"/>
      <c r="F33" s="662"/>
      <c r="G33" s="656"/>
    </row>
    <row r="34" spans="1:7" ht="30">
      <c r="A34" s="436">
        <v>24</v>
      </c>
      <c r="B34" s="1428" t="s">
        <v>901</v>
      </c>
      <c r="C34" s="613">
        <v>8500</v>
      </c>
      <c r="D34" s="613">
        <v>17000</v>
      </c>
      <c r="E34" s="613"/>
      <c r="F34" s="662"/>
      <c r="G34" s="656">
        <v>270000</v>
      </c>
    </row>
    <row r="35" spans="1:7" ht="22.5" customHeight="1">
      <c r="A35" s="436">
        <v>25</v>
      </c>
      <c r="B35" s="1428" t="s">
        <v>902</v>
      </c>
      <c r="C35" s="613">
        <v>15000</v>
      </c>
      <c r="D35" s="613"/>
      <c r="E35" s="613"/>
      <c r="F35" s="662"/>
      <c r="G35" s="656">
        <v>288725</v>
      </c>
    </row>
    <row r="36" spans="1:7" ht="30">
      <c r="A36" s="436">
        <v>26</v>
      </c>
      <c r="B36" s="1429" t="s">
        <v>903</v>
      </c>
      <c r="C36" s="613">
        <v>40000</v>
      </c>
      <c r="D36" s="613"/>
      <c r="E36" s="613"/>
      <c r="F36" s="662"/>
      <c r="G36" s="656">
        <v>21000</v>
      </c>
    </row>
    <row r="37" spans="1:7" ht="30">
      <c r="A37" s="436">
        <v>27</v>
      </c>
      <c r="B37" s="1429" t="s">
        <v>904</v>
      </c>
      <c r="C37" s="613">
        <v>22000</v>
      </c>
      <c r="D37" s="613">
        <v>22000</v>
      </c>
      <c r="E37" s="613">
        <v>22000</v>
      </c>
      <c r="F37" s="662"/>
      <c r="G37" s="656">
        <v>186000</v>
      </c>
    </row>
    <row r="38" spans="1:7" ht="22.5" customHeight="1">
      <c r="A38" s="436">
        <v>28</v>
      </c>
      <c r="B38" s="1429" t="s">
        <v>380</v>
      </c>
      <c r="C38" s="613">
        <v>7750</v>
      </c>
      <c r="D38" s="613">
        <v>7750</v>
      </c>
      <c r="E38" s="613">
        <v>7750</v>
      </c>
      <c r="F38" s="662">
        <v>7750</v>
      </c>
      <c r="G38" s="656">
        <v>180000</v>
      </c>
    </row>
    <row r="39" spans="1:7" ht="30">
      <c r="A39" s="436">
        <v>29</v>
      </c>
      <c r="B39" s="1428" t="s">
        <v>905</v>
      </c>
      <c r="C39" s="613">
        <v>2819</v>
      </c>
      <c r="D39" s="613">
        <v>1175</v>
      </c>
      <c r="E39" s="613"/>
      <c r="F39" s="662"/>
      <c r="G39" s="656">
        <v>20000</v>
      </c>
    </row>
    <row r="40" spans="1:7" ht="60">
      <c r="A40" s="436">
        <v>30</v>
      </c>
      <c r="B40" s="1429" t="s">
        <v>906</v>
      </c>
      <c r="C40" s="613">
        <v>5500</v>
      </c>
      <c r="D40" s="613">
        <v>917</v>
      </c>
      <c r="E40" s="613"/>
      <c r="F40" s="662"/>
      <c r="G40" s="656" t="s">
        <v>243</v>
      </c>
    </row>
    <row r="41" spans="1:7" ht="22.5" customHeight="1">
      <c r="A41" s="436">
        <v>31</v>
      </c>
      <c r="B41" s="1424" t="s">
        <v>411</v>
      </c>
      <c r="C41" s="614">
        <v>3840</v>
      </c>
      <c r="D41" s="614">
        <v>3840</v>
      </c>
      <c r="E41" s="614">
        <v>3840</v>
      </c>
      <c r="F41" s="663">
        <v>3840</v>
      </c>
      <c r="G41" s="657"/>
    </row>
    <row r="42" spans="1:7" ht="22.5" customHeight="1">
      <c r="A42" s="436">
        <v>32</v>
      </c>
      <c r="B42" s="1437" t="s">
        <v>907</v>
      </c>
      <c r="C42" s="613">
        <v>300</v>
      </c>
      <c r="D42" s="613">
        <v>300</v>
      </c>
      <c r="E42" s="613">
        <v>300</v>
      </c>
      <c r="F42" s="662">
        <v>300</v>
      </c>
      <c r="G42" s="656"/>
    </row>
    <row r="43" spans="1:7" ht="22.5" customHeight="1">
      <c r="A43" s="436">
        <v>33</v>
      </c>
      <c r="B43" s="1437" t="s">
        <v>908</v>
      </c>
      <c r="C43" s="613">
        <v>127</v>
      </c>
      <c r="D43" s="613">
        <v>127</v>
      </c>
      <c r="E43" s="613">
        <v>127</v>
      </c>
      <c r="F43" s="662">
        <v>127</v>
      </c>
      <c r="G43" s="656"/>
    </row>
    <row r="44" spans="1:7" ht="33">
      <c r="A44" s="436">
        <v>34</v>
      </c>
      <c r="B44" s="1437" t="s">
        <v>909</v>
      </c>
      <c r="C44" s="614">
        <v>1500</v>
      </c>
      <c r="D44" s="614">
        <v>1500</v>
      </c>
      <c r="E44" s="614">
        <v>1500</v>
      </c>
      <c r="F44" s="663">
        <v>1500</v>
      </c>
      <c r="G44" s="657">
        <v>239</v>
      </c>
    </row>
    <row r="45" spans="1:7" ht="22.5" customHeight="1">
      <c r="A45" s="436">
        <v>35</v>
      </c>
      <c r="B45" s="1437" t="s">
        <v>910</v>
      </c>
      <c r="C45" s="614">
        <v>300</v>
      </c>
      <c r="D45" s="614">
        <v>300</v>
      </c>
      <c r="E45" s="614">
        <v>300</v>
      </c>
      <c r="F45" s="663">
        <v>300</v>
      </c>
      <c r="G45" s="657"/>
    </row>
    <row r="46" spans="1:7" ht="22.5" customHeight="1">
      <c r="A46" s="436">
        <v>36</v>
      </c>
      <c r="B46" s="1437" t="s">
        <v>911</v>
      </c>
      <c r="C46" s="613">
        <v>120</v>
      </c>
      <c r="D46" s="613">
        <v>120</v>
      </c>
      <c r="E46" s="613">
        <v>120</v>
      </c>
      <c r="F46" s="662">
        <v>120</v>
      </c>
      <c r="G46" s="656">
        <v>25000</v>
      </c>
    </row>
    <row r="47" spans="1:7" ht="22.5" customHeight="1">
      <c r="A47" s="436">
        <v>37</v>
      </c>
      <c r="B47" s="1437" t="s">
        <v>912</v>
      </c>
      <c r="C47" s="613">
        <v>2000</v>
      </c>
      <c r="D47" s="613">
        <v>2000</v>
      </c>
      <c r="E47" s="613">
        <v>2000</v>
      </c>
      <c r="F47" s="662">
        <v>2000</v>
      </c>
      <c r="G47" s="656"/>
    </row>
    <row r="48" spans="1:7" ht="22.5" customHeight="1">
      <c r="A48" s="436">
        <v>38</v>
      </c>
      <c r="B48" s="1437" t="s">
        <v>913</v>
      </c>
      <c r="C48" s="613">
        <v>600</v>
      </c>
      <c r="D48" s="613">
        <v>600</v>
      </c>
      <c r="E48" s="613">
        <v>600</v>
      </c>
      <c r="F48" s="662">
        <v>600</v>
      </c>
      <c r="G48" s="656"/>
    </row>
    <row r="49" spans="1:7" ht="33">
      <c r="A49" s="436">
        <v>39</v>
      </c>
      <c r="B49" s="1437" t="s">
        <v>914</v>
      </c>
      <c r="C49" s="613">
        <v>12000</v>
      </c>
      <c r="D49" s="613">
        <v>12000</v>
      </c>
      <c r="E49" s="613">
        <v>12000</v>
      </c>
      <c r="F49" s="662">
        <v>12000</v>
      </c>
      <c r="G49" s="656"/>
    </row>
    <row r="50" spans="1:7" ht="33">
      <c r="A50" s="436">
        <v>40</v>
      </c>
      <c r="B50" s="1424" t="s">
        <v>426</v>
      </c>
      <c r="C50" s="612">
        <v>168214</v>
      </c>
      <c r="D50" s="612">
        <v>168214</v>
      </c>
      <c r="E50" s="613">
        <v>168214</v>
      </c>
      <c r="F50" s="662">
        <v>168214</v>
      </c>
      <c r="G50" s="656"/>
    </row>
    <row r="51" spans="1:7" ht="22.5" customHeight="1">
      <c r="A51" s="436">
        <v>41</v>
      </c>
      <c r="B51" s="1437" t="s">
        <v>915</v>
      </c>
      <c r="C51" s="614">
        <v>60000</v>
      </c>
      <c r="D51" s="614">
        <v>60000</v>
      </c>
      <c r="E51" s="614">
        <v>60000</v>
      </c>
      <c r="F51" s="663">
        <v>60000</v>
      </c>
      <c r="G51" s="657"/>
    </row>
    <row r="52" spans="1:7" ht="49.5">
      <c r="A52" s="436">
        <v>42</v>
      </c>
      <c r="B52" s="1437" t="s">
        <v>916</v>
      </c>
      <c r="C52" s="613">
        <v>6451</v>
      </c>
      <c r="D52" s="613">
        <v>6451</v>
      </c>
      <c r="E52" s="613">
        <v>6451</v>
      </c>
      <c r="F52" s="662">
        <v>6451</v>
      </c>
      <c r="G52" s="656"/>
    </row>
    <row r="53" spans="1:7" ht="49.5">
      <c r="A53" s="436">
        <v>43</v>
      </c>
      <c r="B53" s="1424" t="s">
        <v>917</v>
      </c>
      <c r="C53" s="614">
        <v>9398</v>
      </c>
      <c r="D53" s="614">
        <v>9398</v>
      </c>
      <c r="E53" s="614"/>
      <c r="F53" s="663"/>
      <c r="G53" s="657"/>
    </row>
    <row r="54" spans="1:7" ht="49.5">
      <c r="A54" s="436">
        <v>44</v>
      </c>
      <c r="B54" s="1437" t="s">
        <v>918</v>
      </c>
      <c r="C54" s="614">
        <v>8538</v>
      </c>
      <c r="D54" s="614"/>
      <c r="E54" s="613"/>
      <c r="F54" s="663"/>
      <c r="G54" s="657">
        <v>3840</v>
      </c>
    </row>
    <row r="55" spans="1:7" ht="22.5" customHeight="1">
      <c r="A55" s="436">
        <v>45</v>
      </c>
      <c r="B55" s="1437" t="s">
        <v>919</v>
      </c>
      <c r="C55" s="614">
        <v>67000</v>
      </c>
      <c r="D55" s="614">
        <v>67000</v>
      </c>
      <c r="E55" s="613">
        <v>67000</v>
      </c>
      <c r="F55" s="663">
        <v>67000</v>
      </c>
      <c r="G55" s="657">
        <v>4000</v>
      </c>
    </row>
    <row r="56" spans="1:7" ht="22.5" customHeight="1">
      <c r="A56" s="436">
        <v>46</v>
      </c>
      <c r="B56" s="1437" t="s">
        <v>920</v>
      </c>
      <c r="C56" s="613">
        <v>36000</v>
      </c>
      <c r="D56" s="613"/>
      <c r="E56" s="613"/>
      <c r="F56" s="662"/>
      <c r="G56" s="656">
        <v>300</v>
      </c>
    </row>
    <row r="57" spans="1:7" ht="33">
      <c r="A57" s="436">
        <v>47</v>
      </c>
      <c r="B57" s="1437" t="s">
        <v>921</v>
      </c>
      <c r="C57" s="613">
        <v>10200</v>
      </c>
      <c r="D57" s="613">
        <v>10200</v>
      </c>
      <c r="E57" s="613"/>
      <c r="F57" s="662"/>
      <c r="G57" s="656">
        <v>127</v>
      </c>
    </row>
    <row r="58" spans="1:7" ht="22.5" customHeight="1">
      <c r="A58" s="436">
        <v>48</v>
      </c>
      <c r="B58" s="1437" t="s">
        <v>11</v>
      </c>
      <c r="C58" s="613">
        <v>100</v>
      </c>
      <c r="D58" s="613">
        <v>100</v>
      </c>
      <c r="E58" s="613">
        <v>100</v>
      </c>
      <c r="F58" s="662">
        <v>100</v>
      </c>
      <c r="G58" s="656">
        <v>1200</v>
      </c>
    </row>
    <row r="59" spans="1:7" ht="22.5" customHeight="1">
      <c r="A59" s="436">
        <v>49</v>
      </c>
      <c r="B59" s="1437" t="s">
        <v>12</v>
      </c>
      <c r="C59" s="613">
        <v>1000</v>
      </c>
      <c r="D59" s="613">
        <v>1000</v>
      </c>
      <c r="E59" s="613">
        <v>1000</v>
      </c>
      <c r="F59" s="662">
        <v>1000</v>
      </c>
      <c r="G59" s="656">
        <v>300</v>
      </c>
    </row>
    <row r="60" spans="1:7" ht="33">
      <c r="A60" s="436">
        <v>50</v>
      </c>
      <c r="B60" s="1424" t="s">
        <v>922</v>
      </c>
      <c r="C60" s="613">
        <v>19025</v>
      </c>
      <c r="D60" s="613"/>
      <c r="E60" s="613"/>
      <c r="F60" s="662"/>
      <c r="G60" s="656">
        <v>120</v>
      </c>
    </row>
    <row r="61" spans="1:7" ht="49.5">
      <c r="A61" s="436">
        <v>51</v>
      </c>
      <c r="B61" s="1424" t="s">
        <v>923</v>
      </c>
      <c r="C61" s="613">
        <v>8509</v>
      </c>
      <c r="D61" s="613"/>
      <c r="E61" s="613"/>
      <c r="F61" s="662"/>
      <c r="G61" s="656">
        <v>1700</v>
      </c>
    </row>
    <row r="62" spans="1:7" ht="33">
      <c r="A62" s="436">
        <v>52</v>
      </c>
      <c r="B62" s="1424" t="s">
        <v>924</v>
      </c>
      <c r="C62" s="613">
        <v>99619</v>
      </c>
      <c r="D62" s="613">
        <v>110457</v>
      </c>
      <c r="E62" s="613">
        <v>121503</v>
      </c>
      <c r="F62" s="662"/>
      <c r="G62" s="656">
        <v>600</v>
      </c>
    </row>
    <row r="63" spans="1:7" ht="33">
      <c r="A63" s="436">
        <v>53</v>
      </c>
      <c r="B63" s="1424" t="s">
        <v>925</v>
      </c>
      <c r="C63" s="613">
        <v>6000</v>
      </c>
      <c r="D63" s="613">
        <v>6000</v>
      </c>
      <c r="E63" s="613">
        <v>6000</v>
      </c>
      <c r="F63" s="662">
        <v>6000</v>
      </c>
      <c r="G63" s="656">
        <v>12000</v>
      </c>
    </row>
    <row r="64" spans="1:7" ht="66">
      <c r="A64" s="436">
        <v>54</v>
      </c>
      <c r="B64" s="1424" t="s">
        <v>926</v>
      </c>
      <c r="C64" s="613">
        <v>5280</v>
      </c>
      <c r="D64" s="613"/>
      <c r="E64" s="613"/>
      <c r="F64" s="662"/>
      <c r="G64" s="656">
        <v>356958</v>
      </c>
    </row>
    <row r="65" spans="1:7" ht="22.5" customHeight="1">
      <c r="A65" s="436">
        <v>55</v>
      </c>
      <c r="B65" s="1424" t="s">
        <v>927</v>
      </c>
      <c r="C65" s="613">
        <v>180</v>
      </c>
      <c r="D65" s="613">
        <v>180</v>
      </c>
      <c r="E65" s="613">
        <v>180</v>
      </c>
      <c r="F65" s="662">
        <v>180</v>
      </c>
      <c r="G65" s="656">
        <v>38148</v>
      </c>
    </row>
    <row r="66" spans="1:7" ht="22.5" customHeight="1">
      <c r="A66" s="436">
        <v>56</v>
      </c>
      <c r="B66" s="1424" t="s">
        <v>928</v>
      </c>
      <c r="C66" s="614">
        <v>517509</v>
      </c>
      <c r="D66" s="614"/>
      <c r="E66" s="613"/>
      <c r="F66" s="662"/>
      <c r="G66" s="657"/>
    </row>
    <row r="67" spans="1:7" ht="33">
      <c r="A67" s="436">
        <v>57</v>
      </c>
      <c r="B67" s="1424" t="s">
        <v>929</v>
      </c>
      <c r="C67" s="614">
        <v>460286</v>
      </c>
      <c r="D67" s="614">
        <v>1018623</v>
      </c>
      <c r="E67" s="613">
        <v>1121023</v>
      </c>
      <c r="F67" s="662">
        <v>1233714</v>
      </c>
      <c r="G67" s="657"/>
    </row>
    <row r="68" spans="1:7" ht="49.5">
      <c r="A68" s="436">
        <v>58</v>
      </c>
      <c r="B68" s="1424" t="s">
        <v>930</v>
      </c>
      <c r="C68" s="614">
        <v>3277</v>
      </c>
      <c r="D68" s="614">
        <v>3440</v>
      </c>
      <c r="E68" s="613">
        <v>3613</v>
      </c>
      <c r="F68" s="662">
        <v>3793</v>
      </c>
      <c r="G68" s="657"/>
    </row>
    <row r="69" spans="1:7" ht="49.5">
      <c r="A69" s="436">
        <v>59</v>
      </c>
      <c r="B69" s="1424" t="s">
        <v>931</v>
      </c>
      <c r="C69" s="614">
        <v>2349</v>
      </c>
      <c r="D69" s="614">
        <v>2458</v>
      </c>
      <c r="E69" s="613">
        <v>2188</v>
      </c>
      <c r="F69" s="662">
        <v>2290</v>
      </c>
      <c r="G69" s="657"/>
    </row>
    <row r="70" spans="1:7" ht="33">
      <c r="A70" s="436">
        <v>60</v>
      </c>
      <c r="B70" s="1424" t="s">
        <v>932</v>
      </c>
      <c r="C70" s="614">
        <v>595</v>
      </c>
      <c r="D70" s="614"/>
      <c r="E70" s="613"/>
      <c r="F70" s="662"/>
      <c r="G70" s="657"/>
    </row>
    <row r="71" spans="1:7" ht="33">
      <c r="A71" s="436">
        <v>61</v>
      </c>
      <c r="B71" s="1424" t="s">
        <v>933</v>
      </c>
      <c r="C71" s="614">
        <v>42642</v>
      </c>
      <c r="D71" s="614"/>
      <c r="E71" s="613"/>
      <c r="F71" s="662"/>
      <c r="G71" s="657"/>
    </row>
    <row r="72" spans="1:7" ht="33">
      <c r="A72" s="436">
        <v>62</v>
      </c>
      <c r="B72" s="1424" t="s">
        <v>934</v>
      </c>
      <c r="C72" s="614">
        <v>3429</v>
      </c>
      <c r="D72" s="614"/>
      <c r="E72" s="613"/>
      <c r="F72" s="662"/>
      <c r="G72" s="657"/>
    </row>
    <row r="73" spans="1:7" ht="33">
      <c r="A73" s="436">
        <v>63</v>
      </c>
      <c r="B73" s="1424" t="s">
        <v>935</v>
      </c>
      <c r="C73" s="614">
        <v>5182</v>
      </c>
      <c r="D73" s="614">
        <v>2591</v>
      </c>
      <c r="E73" s="613"/>
      <c r="F73" s="662"/>
      <c r="G73" s="657"/>
    </row>
    <row r="74" spans="1:7" ht="33">
      <c r="A74" s="436">
        <v>64</v>
      </c>
      <c r="B74" s="1424" t="s">
        <v>936</v>
      </c>
      <c r="C74" s="614">
        <v>5000</v>
      </c>
      <c r="D74" s="614"/>
      <c r="E74" s="613"/>
      <c r="F74" s="662"/>
      <c r="G74" s="657"/>
    </row>
    <row r="75" spans="1:7" ht="33">
      <c r="A75" s="436">
        <v>65</v>
      </c>
      <c r="B75" s="1424" t="s">
        <v>937</v>
      </c>
      <c r="C75" s="614">
        <v>217000</v>
      </c>
      <c r="D75" s="614">
        <v>283000</v>
      </c>
      <c r="E75" s="613"/>
      <c r="F75" s="662"/>
      <c r="G75" s="657"/>
    </row>
    <row r="76" spans="1:7" ht="33">
      <c r="A76" s="436">
        <v>66</v>
      </c>
      <c r="B76" s="1424" t="s">
        <v>938</v>
      </c>
      <c r="C76" s="614">
        <v>11000</v>
      </c>
      <c r="D76" s="614"/>
      <c r="E76" s="613"/>
      <c r="F76" s="663"/>
      <c r="G76" s="657">
        <v>95000</v>
      </c>
    </row>
    <row r="77" spans="1:7" ht="49.5">
      <c r="A77" s="436">
        <v>67</v>
      </c>
      <c r="B77" s="1424" t="s">
        <v>939</v>
      </c>
      <c r="C77" s="614">
        <v>93</v>
      </c>
      <c r="D77" s="614">
        <v>80</v>
      </c>
      <c r="E77" s="613">
        <v>80</v>
      </c>
      <c r="F77" s="663">
        <v>80</v>
      </c>
      <c r="G77" s="657">
        <v>5600</v>
      </c>
    </row>
    <row r="78" spans="1:7" ht="50.25" thickBot="1">
      <c r="A78" s="436">
        <v>68</v>
      </c>
      <c r="B78" s="1424" t="s">
        <v>940</v>
      </c>
      <c r="C78" s="613">
        <v>6996</v>
      </c>
      <c r="D78" s="613">
        <v>7896</v>
      </c>
      <c r="E78" s="613"/>
      <c r="F78" s="662"/>
      <c r="G78" s="656"/>
    </row>
    <row r="79" spans="1:7" s="445" customFormat="1" ht="29.25" customHeight="1" thickBot="1">
      <c r="A79" s="1849" t="s">
        <v>875</v>
      </c>
      <c r="B79" s="1850"/>
      <c r="C79" s="1438">
        <f>SUM(C9:C78)</f>
        <v>3800949</v>
      </c>
      <c r="D79" s="1438">
        <f>SUM(D9:D78)</f>
        <v>4248672</v>
      </c>
      <c r="E79" s="1438">
        <f>SUM(E9:E78)</f>
        <v>3929844</v>
      </c>
      <c r="F79" s="1439">
        <f>SUM(F9:F78)</f>
        <v>3874314</v>
      </c>
      <c r="G79" s="659">
        <f>SUM(G27:G78)</f>
        <v>1587281</v>
      </c>
    </row>
    <row r="82" ht="17.25">
      <c r="B82" s="672"/>
    </row>
    <row r="83" ht="17.25">
      <c r="B83" s="672"/>
    </row>
  </sheetData>
  <sheetProtection/>
  <mergeCells count="11">
    <mergeCell ref="A79:B79"/>
    <mergeCell ref="B1:C1"/>
    <mergeCell ref="G7:G8"/>
    <mergeCell ref="A3:F3"/>
    <mergeCell ref="A4:F4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portrait" paperSize="9" scale="76" r:id="rId1"/>
  <headerFooter>
    <oddFooter>&amp;C
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view="pageBreakPreview" zoomScaleSheetLayoutView="100" zoomScalePageLayoutView="0" workbookViewId="0" topLeftCell="A7">
      <selection activeCell="E7" sqref="E7"/>
    </sheetView>
  </sheetViews>
  <sheetFormatPr defaultColWidth="9.00390625" defaultRowHeight="12.75"/>
  <cols>
    <col min="1" max="1" width="3.75390625" style="561" customWidth="1"/>
    <col min="2" max="2" width="3.75390625" style="562" customWidth="1"/>
    <col min="3" max="3" width="18.875" style="579" customWidth="1"/>
    <col min="4" max="4" width="19.75390625" style="562" customWidth="1"/>
    <col min="5" max="5" width="14.75390625" style="562" customWidth="1"/>
    <col min="6" max="8" width="11.75390625" style="562" customWidth="1"/>
    <col min="9" max="9" width="17.00390625" style="562" customWidth="1"/>
    <col min="10" max="10" width="12.75390625" style="562" customWidth="1"/>
    <col min="11" max="17" width="11.75390625" style="562" customWidth="1"/>
    <col min="18" max="20" width="11.75390625" style="563" customWidth="1"/>
    <col min="21" max="248" width="8.00390625" style="563" customWidth="1"/>
    <col min="249" max="249" width="2.375" style="563" bestFit="1" customWidth="1"/>
    <col min="250" max="250" width="28.25390625" style="563" bestFit="1" customWidth="1"/>
    <col min="251" max="251" width="14.25390625" style="563" bestFit="1" customWidth="1"/>
    <col min="252" max="252" width="13.625" style="563" bestFit="1" customWidth="1"/>
    <col min="253" max="253" width="10.75390625" style="563" bestFit="1" customWidth="1"/>
    <col min="254" max="254" width="9.375" style="563" bestFit="1" customWidth="1"/>
    <col min="255" max="255" width="9.875" style="563" bestFit="1" customWidth="1"/>
    <col min="256" max="16384" width="11.25390625" style="563" bestFit="1" customWidth="1"/>
  </cols>
  <sheetData>
    <row r="1" spans="2:6" ht="16.5">
      <c r="B1" s="1604" t="s">
        <v>948</v>
      </c>
      <c r="C1" s="1604"/>
      <c r="D1" s="1604"/>
      <c r="E1" s="1604"/>
      <c r="F1" s="1604"/>
    </row>
    <row r="2" spans="1:20" s="564" customFormat="1" ht="17.25">
      <c r="A2" s="561"/>
      <c r="B2" s="1869" t="s">
        <v>113</v>
      </c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  <c r="N2" s="1869"/>
      <c r="O2" s="1869"/>
      <c r="P2" s="1869"/>
      <c r="Q2" s="1869"/>
      <c r="R2" s="1869"/>
      <c r="S2" s="1869"/>
      <c r="T2" s="1869"/>
    </row>
    <row r="3" spans="1:20" s="564" customFormat="1" ht="17.25">
      <c r="A3" s="561"/>
      <c r="B3" s="1869" t="s">
        <v>14</v>
      </c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</row>
    <row r="4" spans="1:20" s="564" customFormat="1" ht="17.25">
      <c r="A4" s="561"/>
      <c r="B4" s="1869" t="s">
        <v>321</v>
      </c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</row>
    <row r="5" spans="2:20" ht="17.25"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1870" t="s">
        <v>0</v>
      </c>
      <c r="T5" s="1870"/>
    </row>
    <row r="6" spans="2:20" ht="17.25" thickBot="1">
      <c r="B6" s="1866" t="s">
        <v>1</v>
      </c>
      <c r="C6" s="1866"/>
      <c r="D6" s="566" t="s">
        <v>3</v>
      </c>
      <c r="E6" s="566" t="s">
        <v>2</v>
      </c>
      <c r="F6" s="566" t="s">
        <v>4</v>
      </c>
      <c r="G6" s="566" t="s">
        <v>5</v>
      </c>
      <c r="H6" s="566" t="s">
        <v>15</v>
      </c>
      <c r="I6" s="566" t="s">
        <v>16</v>
      </c>
      <c r="J6" s="566" t="s">
        <v>34</v>
      </c>
      <c r="K6" s="566" t="s">
        <v>30</v>
      </c>
      <c r="L6" s="566" t="s">
        <v>23</v>
      </c>
      <c r="M6" s="566" t="s">
        <v>35</v>
      </c>
      <c r="N6" s="566" t="s">
        <v>36</v>
      </c>
      <c r="O6" s="566" t="s">
        <v>151</v>
      </c>
      <c r="P6" s="566" t="s">
        <v>152</v>
      </c>
      <c r="Q6" s="567" t="s">
        <v>153</v>
      </c>
      <c r="R6" s="567" t="s">
        <v>322</v>
      </c>
      <c r="S6" s="567" t="s">
        <v>462</v>
      </c>
      <c r="T6" s="567" t="s">
        <v>463</v>
      </c>
    </row>
    <row r="7" spans="1:20" s="561" customFormat="1" ht="99.75" customHeight="1" thickBot="1">
      <c r="A7" s="561">
        <v>1</v>
      </c>
      <c r="B7" s="1867" t="s">
        <v>323</v>
      </c>
      <c r="C7" s="1868"/>
      <c r="D7" s="427" t="s">
        <v>324</v>
      </c>
      <c r="E7" s="427" t="s">
        <v>325</v>
      </c>
      <c r="F7" s="427" t="s">
        <v>326</v>
      </c>
      <c r="G7" s="427" t="s">
        <v>327</v>
      </c>
      <c r="H7" s="427" t="s">
        <v>849</v>
      </c>
      <c r="I7" s="427" t="s">
        <v>872</v>
      </c>
      <c r="J7" s="427" t="s">
        <v>850</v>
      </c>
      <c r="K7" s="427" t="s">
        <v>424</v>
      </c>
      <c r="L7" s="427" t="s">
        <v>851</v>
      </c>
      <c r="M7" s="427" t="s">
        <v>425</v>
      </c>
      <c r="N7" s="427" t="s">
        <v>464</v>
      </c>
      <c r="O7" s="427" t="s">
        <v>592</v>
      </c>
      <c r="P7" s="427" t="s">
        <v>852</v>
      </c>
      <c r="Q7" s="427" t="s">
        <v>853</v>
      </c>
      <c r="R7" s="427" t="s">
        <v>465</v>
      </c>
      <c r="S7" s="427" t="s">
        <v>593</v>
      </c>
      <c r="T7" s="669" t="s">
        <v>854</v>
      </c>
    </row>
    <row r="8" spans="1:20" ht="33" customHeight="1" thickTop="1">
      <c r="A8" s="561">
        <v>2</v>
      </c>
      <c r="B8" s="568" t="s">
        <v>121</v>
      </c>
      <c r="C8" s="428" t="s">
        <v>372</v>
      </c>
      <c r="D8" s="569" t="s">
        <v>328</v>
      </c>
      <c r="E8" s="560" t="s">
        <v>594</v>
      </c>
      <c r="F8" s="429">
        <v>44104</v>
      </c>
      <c r="G8" s="430">
        <v>1500000</v>
      </c>
      <c r="H8" s="430">
        <v>0</v>
      </c>
      <c r="I8" s="430"/>
      <c r="J8" s="430">
        <v>0</v>
      </c>
      <c r="K8" s="430">
        <v>0</v>
      </c>
      <c r="L8" s="430">
        <f>H8-K8+I8</f>
        <v>0</v>
      </c>
      <c r="M8" s="430">
        <v>15375</v>
      </c>
      <c r="N8" s="430">
        <v>0</v>
      </c>
      <c r="O8" s="430"/>
      <c r="P8" s="430"/>
      <c r="Q8" s="430"/>
      <c r="R8" s="430"/>
      <c r="S8" s="430"/>
      <c r="T8" s="670"/>
    </row>
    <row r="9" spans="1:20" ht="33">
      <c r="A9" s="561">
        <v>3</v>
      </c>
      <c r="B9" s="570" t="s">
        <v>128</v>
      </c>
      <c r="C9" s="571" t="s">
        <v>329</v>
      </c>
      <c r="D9" s="431" t="s">
        <v>330</v>
      </c>
      <c r="E9" s="572">
        <v>40736</v>
      </c>
      <c r="F9" s="572">
        <v>48040</v>
      </c>
      <c r="G9" s="1386">
        <v>484000</v>
      </c>
      <c r="H9" s="1386">
        <v>27285</v>
      </c>
      <c r="I9" s="1386"/>
      <c r="J9" s="1386">
        <v>0</v>
      </c>
      <c r="K9" s="1386">
        <f>12340+1</f>
        <v>12341</v>
      </c>
      <c r="L9" s="1386">
        <f aca="true" t="shared" si="0" ref="L9:L14">H9-K9+I9</f>
        <v>14944</v>
      </c>
      <c r="M9" s="1386">
        <v>511</v>
      </c>
      <c r="N9" s="1386">
        <v>12340</v>
      </c>
      <c r="O9" s="1386">
        <v>2604</v>
      </c>
      <c r="P9" s="1386"/>
      <c r="Q9" s="1386">
        <f>L9-N9-O9-P9</f>
        <v>0</v>
      </c>
      <c r="R9" s="1386">
        <v>233</v>
      </c>
      <c r="S9" s="1386">
        <v>15</v>
      </c>
      <c r="T9" s="1387">
        <v>0</v>
      </c>
    </row>
    <row r="10" spans="1:20" ht="38.25" customHeight="1">
      <c r="A10" s="561">
        <v>4</v>
      </c>
      <c r="B10" s="570" t="s">
        <v>129</v>
      </c>
      <c r="C10" s="571" t="s">
        <v>331</v>
      </c>
      <c r="D10" s="431" t="s">
        <v>332</v>
      </c>
      <c r="E10" s="572">
        <v>41555</v>
      </c>
      <c r="F10" s="572">
        <v>48859</v>
      </c>
      <c r="G10" s="1386">
        <v>200000</v>
      </c>
      <c r="H10" s="1386">
        <v>103493</v>
      </c>
      <c r="I10" s="1386"/>
      <c r="J10" s="1386">
        <v>0</v>
      </c>
      <c r="K10" s="1386">
        <v>8918</v>
      </c>
      <c r="L10" s="1386">
        <f t="shared" si="0"/>
        <v>94575</v>
      </c>
      <c r="M10" s="1386">
        <v>3010</v>
      </c>
      <c r="N10" s="1386">
        <v>8918</v>
      </c>
      <c r="O10" s="1386">
        <v>8918</v>
      </c>
      <c r="P10" s="1386">
        <v>8918</v>
      </c>
      <c r="Q10" s="1386">
        <f>L10-N10-O10-P10</f>
        <v>67821</v>
      </c>
      <c r="R10" s="1386">
        <v>2742</v>
      </c>
      <c r="S10" s="1386">
        <v>2474</v>
      </c>
      <c r="T10" s="1387">
        <v>2206</v>
      </c>
    </row>
    <row r="11" spans="1:20" ht="38.25" customHeight="1">
      <c r="A11" s="561">
        <v>5</v>
      </c>
      <c r="B11" s="570" t="s">
        <v>130</v>
      </c>
      <c r="C11" s="571" t="s">
        <v>373</v>
      </c>
      <c r="D11" s="431" t="s">
        <v>330</v>
      </c>
      <c r="E11" s="572">
        <v>41759</v>
      </c>
      <c r="F11" s="572">
        <v>49064</v>
      </c>
      <c r="G11" s="1386">
        <v>200000</v>
      </c>
      <c r="H11" s="1386">
        <v>119954</v>
      </c>
      <c r="I11" s="1386"/>
      <c r="J11" s="1386">
        <v>0</v>
      </c>
      <c r="K11" s="1386">
        <v>8886</v>
      </c>
      <c r="L11" s="1386">
        <f t="shared" si="0"/>
        <v>111068</v>
      </c>
      <c r="M11" s="1386">
        <v>2492</v>
      </c>
      <c r="N11" s="1386">
        <v>8886</v>
      </c>
      <c r="O11" s="1386">
        <v>8886</v>
      </c>
      <c r="P11" s="1386">
        <v>8886</v>
      </c>
      <c r="Q11" s="1386">
        <f>L11-O11-P11-N11</f>
        <v>84410</v>
      </c>
      <c r="R11" s="1386">
        <v>2301</v>
      </c>
      <c r="S11" s="1386">
        <v>2111</v>
      </c>
      <c r="T11" s="1387">
        <v>1922</v>
      </c>
    </row>
    <row r="12" spans="1:20" ht="35.25" customHeight="1">
      <c r="A12" s="561">
        <v>6</v>
      </c>
      <c r="B12" s="573" t="s">
        <v>131</v>
      </c>
      <c r="C12" s="574" t="s">
        <v>374</v>
      </c>
      <c r="D12" s="432" t="s">
        <v>328</v>
      </c>
      <c r="E12" s="575">
        <v>41759</v>
      </c>
      <c r="F12" s="575">
        <v>45285</v>
      </c>
      <c r="G12" s="1388">
        <v>151317</v>
      </c>
      <c r="H12" s="1388">
        <v>57842</v>
      </c>
      <c r="I12" s="1388"/>
      <c r="J12" s="1388">
        <v>0</v>
      </c>
      <c r="K12" s="1388">
        <v>19678</v>
      </c>
      <c r="L12" s="1388">
        <f t="shared" si="0"/>
        <v>38164</v>
      </c>
      <c r="M12" s="1388">
        <v>1140</v>
      </c>
      <c r="N12" s="1388">
        <v>19679</v>
      </c>
      <c r="O12" s="1388">
        <v>18485</v>
      </c>
      <c r="P12" s="1388"/>
      <c r="Q12" s="1386"/>
      <c r="R12" s="1388">
        <v>696</v>
      </c>
      <c r="S12" s="1388">
        <v>251</v>
      </c>
      <c r="T12" s="1389">
        <v>0</v>
      </c>
    </row>
    <row r="13" spans="1:20" ht="36" customHeight="1">
      <c r="A13" s="561">
        <v>7</v>
      </c>
      <c r="B13" s="573" t="s">
        <v>214</v>
      </c>
      <c r="C13" s="574" t="s">
        <v>855</v>
      </c>
      <c r="D13" s="432" t="s">
        <v>328</v>
      </c>
      <c r="E13" s="575">
        <v>42943</v>
      </c>
      <c r="F13" s="575">
        <v>46568</v>
      </c>
      <c r="G13" s="1388">
        <v>99000</v>
      </c>
      <c r="H13" s="1388">
        <v>81000</v>
      </c>
      <c r="I13" s="1388"/>
      <c r="J13" s="1388">
        <v>0</v>
      </c>
      <c r="K13" s="1388">
        <v>12000</v>
      </c>
      <c r="L13" s="1388">
        <f t="shared" si="0"/>
        <v>69000</v>
      </c>
      <c r="M13" s="1388">
        <v>1584</v>
      </c>
      <c r="N13" s="1388">
        <v>12000</v>
      </c>
      <c r="O13" s="1388">
        <v>12000</v>
      </c>
      <c r="P13" s="1388">
        <v>12000</v>
      </c>
      <c r="Q13" s="1386">
        <f>L13-O13-P13-N13</f>
        <v>33000</v>
      </c>
      <c r="R13" s="1388">
        <v>1335</v>
      </c>
      <c r="S13" s="1388">
        <v>1087</v>
      </c>
      <c r="T13" s="1389">
        <v>838</v>
      </c>
    </row>
    <row r="14" spans="1:20" ht="33" customHeight="1">
      <c r="A14" s="561">
        <v>8</v>
      </c>
      <c r="B14" s="1390" t="s">
        <v>333</v>
      </c>
      <c r="C14" s="574" t="s">
        <v>856</v>
      </c>
      <c r="D14" s="432" t="s">
        <v>328</v>
      </c>
      <c r="E14" s="1391">
        <v>43641</v>
      </c>
      <c r="F14" s="1391">
        <v>47299</v>
      </c>
      <c r="G14" s="1388">
        <v>1260000</v>
      </c>
      <c r="H14" s="1388">
        <v>645374</v>
      </c>
      <c r="I14" s="1388">
        <v>614626</v>
      </c>
      <c r="J14" s="1388">
        <v>0</v>
      </c>
      <c r="K14" s="1388">
        <v>76364</v>
      </c>
      <c r="L14" s="1388">
        <f t="shared" si="0"/>
        <v>1183636</v>
      </c>
      <c r="M14" s="1388">
        <v>22758</v>
      </c>
      <c r="N14" s="1388">
        <v>152728</v>
      </c>
      <c r="O14" s="1388">
        <v>152727</v>
      </c>
      <c r="P14" s="1388">
        <v>152727</v>
      </c>
      <c r="Q14" s="1388">
        <f>L14-O14-P14-N14</f>
        <v>725454</v>
      </c>
      <c r="R14" s="1388">
        <v>20500</v>
      </c>
      <c r="S14" s="1388">
        <v>17720</v>
      </c>
      <c r="T14" s="1389">
        <v>14941</v>
      </c>
    </row>
    <row r="15" spans="1:20" ht="33" customHeight="1" thickBot="1">
      <c r="A15" s="561">
        <v>9</v>
      </c>
      <c r="B15" s="1392" t="s">
        <v>466</v>
      </c>
      <c r="C15" s="576" t="s">
        <v>857</v>
      </c>
      <c r="D15" s="640" t="s">
        <v>873</v>
      </c>
      <c r="E15" s="1393" t="s">
        <v>774</v>
      </c>
      <c r="F15" s="1393" t="s">
        <v>858</v>
      </c>
      <c r="G15" s="1394">
        <v>561891</v>
      </c>
      <c r="H15" s="1394">
        <v>0</v>
      </c>
      <c r="I15" s="1394"/>
      <c r="J15" s="1394">
        <v>561891</v>
      </c>
      <c r="K15" s="1394"/>
      <c r="L15" s="1394">
        <f>H15-K15+I15+J15</f>
        <v>561891</v>
      </c>
      <c r="M15" s="1394">
        <v>5000</v>
      </c>
      <c r="N15" s="1394"/>
      <c r="O15" s="1394">
        <v>34054</v>
      </c>
      <c r="P15" s="1394">
        <v>68108</v>
      </c>
      <c r="Q15" s="1394">
        <f>L15-O15-P15</f>
        <v>459729</v>
      </c>
      <c r="R15" s="1394">
        <v>15666</v>
      </c>
      <c r="S15" s="1394">
        <v>15372</v>
      </c>
      <c r="T15" s="1395">
        <v>13695</v>
      </c>
    </row>
    <row r="16" spans="1:20" s="564" customFormat="1" ht="30" customHeight="1" thickBot="1" thickTop="1">
      <c r="A16" s="561">
        <v>10</v>
      </c>
      <c r="B16" s="577" t="s">
        <v>245</v>
      </c>
      <c r="C16" s="578" t="s">
        <v>334</v>
      </c>
      <c r="D16" s="578"/>
      <c r="E16" s="578"/>
      <c r="F16" s="578"/>
      <c r="G16" s="578"/>
      <c r="H16" s="578">
        <f>SUM(H8:H15)</f>
        <v>1034948</v>
      </c>
      <c r="I16" s="578">
        <f aca="true" t="shared" si="1" ref="I16:T16">SUM(I8:I15)</f>
        <v>614626</v>
      </c>
      <c r="J16" s="578">
        <f t="shared" si="1"/>
        <v>561891</v>
      </c>
      <c r="K16" s="578">
        <f t="shared" si="1"/>
        <v>138187</v>
      </c>
      <c r="L16" s="578">
        <f t="shared" si="1"/>
        <v>2073278</v>
      </c>
      <c r="M16" s="578">
        <f t="shared" si="1"/>
        <v>51870</v>
      </c>
      <c r="N16" s="578">
        <f t="shared" si="1"/>
        <v>214551</v>
      </c>
      <c r="O16" s="578">
        <f t="shared" si="1"/>
        <v>237674</v>
      </c>
      <c r="P16" s="578">
        <f t="shared" si="1"/>
        <v>250639</v>
      </c>
      <c r="Q16" s="578">
        <f t="shared" si="1"/>
        <v>1370414</v>
      </c>
      <c r="R16" s="578">
        <f t="shared" si="1"/>
        <v>43473</v>
      </c>
      <c r="S16" s="578">
        <f t="shared" si="1"/>
        <v>39030</v>
      </c>
      <c r="T16" s="671">
        <f t="shared" si="1"/>
        <v>33602</v>
      </c>
    </row>
    <row r="17" ht="30" customHeight="1">
      <c r="R17" s="562"/>
    </row>
  </sheetData>
  <sheetProtection/>
  <mergeCells count="7">
    <mergeCell ref="B1:F1"/>
    <mergeCell ref="B6:C6"/>
    <mergeCell ref="B7:C7"/>
    <mergeCell ref="B2:T2"/>
    <mergeCell ref="B3:T3"/>
    <mergeCell ref="B4:T4"/>
    <mergeCell ref="S5:T5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0" r:id="rId1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view="pageBreakPreview" zoomScaleSheetLayoutView="100" zoomScalePageLayoutView="0" workbookViewId="0" topLeftCell="A16">
      <selection activeCell="D32" sqref="D32"/>
    </sheetView>
  </sheetViews>
  <sheetFormatPr defaultColWidth="3.00390625" defaultRowHeight="12.75"/>
  <cols>
    <col min="1" max="1" width="3.25390625" style="621" bestFit="1" customWidth="1"/>
    <col min="2" max="2" width="5.125" style="626" customWidth="1"/>
    <col min="3" max="3" width="4.375" style="627" customWidth="1"/>
    <col min="4" max="4" width="74.00390625" style="627" customWidth="1"/>
    <col min="5" max="5" width="20.00390625" style="625" customWidth="1"/>
    <col min="6" max="248" width="8.00390625" style="625" customWidth="1"/>
    <col min="249" max="249" width="3.00390625" style="625" bestFit="1" customWidth="1"/>
    <col min="250" max="16384" width="3.00390625" style="41" customWidth="1"/>
  </cols>
  <sheetData>
    <row r="1" spans="2:250" ht="16.5">
      <c r="B1" s="1885" t="s">
        <v>655</v>
      </c>
      <c r="C1" s="1885"/>
      <c r="D1" s="1886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3"/>
      <c r="AY1" s="623"/>
      <c r="AZ1" s="623"/>
      <c r="BA1" s="623"/>
      <c r="BB1" s="623"/>
      <c r="BC1" s="623"/>
      <c r="BD1" s="623"/>
      <c r="BE1" s="623"/>
      <c r="BF1" s="623"/>
      <c r="BG1" s="623"/>
      <c r="BH1" s="623"/>
      <c r="BI1" s="623"/>
      <c r="BJ1" s="623"/>
      <c r="BK1" s="623"/>
      <c r="BL1" s="623"/>
      <c r="BM1" s="623"/>
      <c r="BN1" s="623"/>
      <c r="BO1" s="623"/>
      <c r="BP1" s="623"/>
      <c r="BQ1" s="623"/>
      <c r="BR1" s="623"/>
      <c r="BS1" s="623"/>
      <c r="BT1" s="623"/>
      <c r="BU1" s="623"/>
      <c r="BV1" s="623"/>
      <c r="BW1" s="623"/>
      <c r="BX1" s="623"/>
      <c r="BY1" s="623"/>
      <c r="BZ1" s="623"/>
      <c r="CA1" s="623"/>
      <c r="CB1" s="623"/>
      <c r="CC1" s="623"/>
      <c r="CD1" s="623"/>
      <c r="CE1" s="623"/>
      <c r="CF1" s="623"/>
      <c r="CG1" s="623"/>
      <c r="CH1" s="623"/>
      <c r="CI1" s="623"/>
      <c r="CJ1" s="623"/>
      <c r="CK1" s="623"/>
      <c r="CL1" s="623"/>
      <c r="CM1" s="623"/>
      <c r="CN1" s="623"/>
      <c r="CO1" s="623"/>
      <c r="CP1" s="623"/>
      <c r="CQ1" s="623"/>
      <c r="CR1" s="623"/>
      <c r="CS1" s="623"/>
      <c r="CT1" s="623"/>
      <c r="CU1" s="623"/>
      <c r="CV1" s="623"/>
      <c r="CW1" s="623"/>
      <c r="CX1" s="623"/>
      <c r="CY1" s="623"/>
      <c r="CZ1" s="623"/>
      <c r="DA1" s="623"/>
      <c r="DB1" s="623"/>
      <c r="DC1" s="623"/>
      <c r="DD1" s="623"/>
      <c r="DE1" s="623"/>
      <c r="DF1" s="623"/>
      <c r="DG1" s="623"/>
      <c r="DH1" s="623"/>
      <c r="DI1" s="623"/>
      <c r="DJ1" s="623"/>
      <c r="DK1" s="623"/>
      <c r="DL1" s="623"/>
      <c r="DM1" s="623"/>
      <c r="DN1" s="623"/>
      <c r="DO1" s="623"/>
      <c r="DP1" s="623"/>
      <c r="DQ1" s="623"/>
      <c r="DR1" s="623"/>
      <c r="DS1" s="623"/>
      <c r="DT1" s="623"/>
      <c r="DU1" s="623"/>
      <c r="DV1" s="623"/>
      <c r="DW1" s="623"/>
      <c r="DX1" s="623"/>
      <c r="DY1" s="623"/>
      <c r="DZ1" s="623"/>
      <c r="EA1" s="623"/>
      <c r="EB1" s="623"/>
      <c r="EC1" s="623"/>
      <c r="ED1" s="623"/>
      <c r="EE1" s="623"/>
      <c r="EF1" s="623"/>
      <c r="EG1" s="623"/>
      <c r="EH1" s="623"/>
      <c r="EI1" s="623"/>
      <c r="EJ1" s="623"/>
      <c r="EK1" s="623"/>
      <c r="EL1" s="623"/>
      <c r="EM1" s="623"/>
      <c r="EN1" s="623"/>
      <c r="EO1" s="623"/>
      <c r="EP1" s="623"/>
      <c r="EQ1" s="623"/>
      <c r="ER1" s="623"/>
      <c r="ES1" s="623"/>
      <c r="ET1" s="623"/>
      <c r="EU1" s="623"/>
      <c r="EV1" s="623"/>
      <c r="EW1" s="623"/>
      <c r="EX1" s="623"/>
      <c r="EY1" s="623"/>
      <c r="EZ1" s="623"/>
      <c r="FA1" s="623"/>
      <c r="FB1" s="623"/>
      <c r="FC1" s="623"/>
      <c r="FD1" s="623"/>
      <c r="FE1" s="623"/>
      <c r="FF1" s="623"/>
      <c r="FG1" s="623"/>
      <c r="FH1" s="623"/>
      <c r="FI1" s="623"/>
      <c r="FJ1" s="623"/>
      <c r="FK1" s="623"/>
      <c r="FL1" s="623"/>
      <c r="FM1" s="623"/>
      <c r="FN1" s="623"/>
      <c r="FO1" s="623"/>
      <c r="FP1" s="623"/>
      <c r="FQ1" s="623"/>
      <c r="FR1" s="623"/>
      <c r="FS1" s="623"/>
      <c r="FT1" s="623"/>
      <c r="FU1" s="623"/>
      <c r="FV1" s="623"/>
      <c r="FW1" s="623"/>
      <c r="FX1" s="623"/>
      <c r="FY1" s="623"/>
      <c r="FZ1" s="623"/>
      <c r="GA1" s="623"/>
      <c r="GB1" s="623"/>
      <c r="GC1" s="623"/>
      <c r="GD1" s="623"/>
      <c r="GE1" s="623"/>
      <c r="GF1" s="623"/>
      <c r="GG1" s="623"/>
      <c r="GH1" s="623"/>
      <c r="GI1" s="623"/>
      <c r="GJ1" s="623"/>
      <c r="GK1" s="623"/>
      <c r="GL1" s="623"/>
      <c r="GM1" s="623"/>
      <c r="GN1" s="623"/>
      <c r="GO1" s="623"/>
      <c r="GP1" s="623"/>
      <c r="GQ1" s="623"/>
      <c r="GR1" s="623"/>
      <c r="GS1" s="623"/>
      <c r="GT1" s="623"/>
      <c r="GU1" s="623"/>
      <c r="GV1" s="623"/>
      <c r="GW1" s="623"/>
      <c r="GX1" s="623"/>
      <c r="GY1" s="623"/>
      <c r="GZ1" s="623"/>
      <c r="HA1" s="623"/>
      <c r="HB1" s="623"/>
      <c r="HC1" s="623"/>
      <c r="HD1" s="623"/>
      <c r="HE1" s="623"/>
      <c r="HF1" s="623"/>
      <c r="HG1" s="623"/>
      <c r="HH1" s="623"/>
      <c r="HI1" s="623"/>
      <c r="HJ1" s="623"/>
      <c r="HK1" s="623"/>
      <c r="HL1" s="623"/>
      <c r="HM1" s="623"/>
      <c r="HN1" s="623"/>
      <c r="HO1" s="623"/>
      <c r="HP1" s="623"/>
      <c r="HQ1" s="623"/>
      <c r="HR1" s="623"/>
      <c r="HS1" s="623"/>
      <c r="HT1" s="623"/>
      <c r="HU1" s="623"/>
      <c r="HV1" s="623"/>
      <c r="HW1" s="623"/>
      <c r="HX1" s="623"/>
      <c r="HY1" s="623"/>
      <c r="HZ1" s="623"/>
      <c r="IA1" s="623"/>
      <c r="IB1" s="623"/>
      <c r="IC1" s="623"/>
      <c r="ID1" s="623"/>
      <c r="IE1" s="623"/>
      <c r="IF1" s="623"/>
      <c r="IG1" s="623"/>
      <c r="IH1" s="623"/>
      <c r="II1" s="623"/>
      <c r="IJ1" s="623"/>
      <c r="IK1" s="623"/>
      <c r="IL1" s="623"/>
      <c r="IM1" s="623"/>
      <c r="IN1" s="623"/>
      <c r="IO1" s="623"/>
      <c r="IP1" s="220"/>
    </row>
    <row r="2" spans="2:250" ht="16.5">
      <c r="B2" s="1382"/>
      <c r="C2" s="1382"/>
      <c r="D2" s="1382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623"/>
      <c r="BC2" s="623"/>
      <c r="BD2" s="623"/>
      <c r="BE2" s="623"/>
      <c r="BF2" s="623"/>
      <c r="BG2" s="623"/>
      <c r="BH2" s="623"/>
      <c r="BI2" s="623"/>
      <c r="BJ2" s="623"/>
      <c r="BK2" s="623"/>
      <c r="BL2" s="623"/>
      <c r="BM2" s="623"/>
      <c r="BN2" s="623"/>
      <c r="BO2" s="623"/>
      <c r="BP2" s="623"/>
      <c r="BQ2" s="623"/>
      <c r="BR2" s="623"/>
      <c r="BS2" s="623"/>
      <c r="BT2" s="623"/>
      <c r="BU2" s="623"/>
      <c r="BV2" s="623"/>
      <c r="BW2" s="623"/>
      <c r="BX2" s="623"/>
      <c r="BY2" s="623"/>
      <c r="BZ2" s="623"/>
      <c r="CA2" s="623"/>
      <c r="CB2" s="623"/>
      <c r="CC2" s="623"/>
      <c r="CD2" s="623"/>
      <c r="CE2" s="623"/>
      <c r="CF2" s="623"/>
      <c r="CG2" s="623"/>
      <c r="CH2" s="623"/>
      <c r="CI2" s="623"/>
      <c r="CJ2" s="623"/>
      <c r="CK2" s="623"/>
      <c r="CL2" s="623"/>
      <c r="CM2" s="623"/>
      <c r="CN2" s="623"/>
      <c r="CO2" s="623"/>
      <c r="CP2" s="623"/>
      <c r="CQ2" s="623"/>
      <c r="CR2" s="623"/>
      <c r="CS2" s="623"/>
      <c r="CT2" s="623"/>
      <c r="CU2" s="623"/>
      <c r="CV2" s="623"/>
      <c r="CW2" s="623"/>
      <c r="CX2" s="623"/>
      <c r="CY2" s="623"/>
      <c r="CZ2" s="623"/>
      <c r="DA2" s="623"/>
      <c r="DB2" s="623"/>
      <c r="DC2" s="623"/>
      <c r="DD2" s="623"/>
      <c r="DE2" s="623"/>
      <c r="DF2" s="623"/>
      <c r="DG2" s="623"/>
      <c r="DH2" s="623"/>
      <c r="DI2" s="623"/>
      <c r="DJ2" s="623"/>
      <c r="DK2" s="623"/>
      <c r="DL2" s="623"/>
      <c r="DM2" s="623"/>
      <c r="DN2" s="623"/>
      <c r="DO2" s="623"/>
      <c r="DP2" s="623"/>
      <c r="DQ2" s="623"/>
      <c r="DR2" s="623"/>
      <c r="DS2" s="623"/>
      <c r="DT2" s="623"/>
      <c r="DU2" s="623"/>
      <c r="DV2" s="623"/>
      <c r="DW2" s="623"/>
      <c r="DX2" s="623"/>
      <c r="DY2" s="623"/>
      <c r="DZ2" s="623"/>
      <c r="EA2" s="623"/>
      <c r="EB2" s="623"/>
      <c r="EC2" s="623"/>
      <c r="ED2" s="623"/>
      <c r="EE2" s="623"/>
      <c r="EF2" s="623"/>
      <c r="EG2" s="623"/>
      <c r="EH2" s="623"/>
      <c r="EI2" s="623"/>
      <c r="EJ2" s="623"/>
      <c r="EK2" s="623"/>
      <c r="EL2" s="623"/>
      <c r="EM2" s="623"/>
      <c r="EN2" s="623"/>
      <c r="EO2" s="623"/>
      <c r="EP2" s="623"/>
      <c r="EQ2" s="623"/>
      <c r="ER2" s="623"/>
      <c r="ES2" s="623"/>
      <c r="ET2" s="623"/>
      <c r="EU2" s="623"/>
      <c r="EV2" s="623"/>
      <c r="EW2" s="623"/>
      <c r="EX2" s="623"/>
      <c r="EY2" s="623"/>
      <c r="EZ2" s="623"/>
      <c r="FA2" s="623"/>
      <c r="FB2" s="623"/>
      <c r="FC2" s="623"/>
      <c r="FD2" s="623"/>
      <c r="FE2" s="623"/>
      <c r="FF2" s="623"/>
      <c r="FG2" s="623"/>
      <c r="FH2" s="623"/>
      <c r="FI2" s="623"/>
      <c r="FJ2" s="623"/>
      <c r="FK2" s="623"/>
      <c r="FL2" s="623"/>
      <c r="FM2" s="623"/>
      <c r="FN2" s="623"/>
      <c r="FO2" s="623"/>
      <c r="FP2" s="623"/>
      <c r="FQ2" s="623"/>
      <c r="FR2" s="623"/>
      <c r="FS2" s="623"/>
      <c r="FT2" s="623"/>
      <c r="FU2" s="623"/>
      <c r="FV2" s="623"/>
      <c r="FW2" s="623"/>
      <c r="FX2" s="623"/>
      <c r="FY2" s="623"/>
      <c r="FZ2" s="623"/>
      <c r="GA2" s="623"/>
      <c r="GB2" s="623"/>
      <c r="GC2" s="623"/>
      <c r="GD2" s="623"/>
      <c r="GE2" s="623"/>
      <c r="GF2" s="623"/>
      <c r="GG2" s="623"/>
      <c r="GH2" s="623"/>
      <c r="GI2" s="623"/>
      <c r="GJ2" s="623"/>
      <c r="GK2" s="623"/>
      <c r="GL2" s="623"/>
      <c r="GM2" s="623"/>
      <c r="GN2" s="623"/>
      <c r="GO2" s="623"/>
      <c r="GP2" s="623"/>
      <c r="GQ2" s="623"/>
      <c r="GR2" s="623"/>
      <c r="GS2" s="623"/>
      <c r="GT2" s="623"/>
      <c r="GU2" s="623"/>
      <c r="GV2" s="623"/>
      <c r="GW2" s="623"/>
      <c r="GX2" s="623"/>
      <c r="GY2" s="623"/>
      <c r="GZ2" s="623"/>
      <c r="HA2" s="623"/>
      <c r="HB2" s="623"/>
      <c r="HC2" s="623"/>
      <c r="HD2" s="623"/>
      <c r="HE2" s="623"/>
      <c r="HF2" s="623"/>
      <c r="HG2" s="623"/>
      <c r="HH2" s="623"/>
      <c r="HI2" s="623"/>
      <c r="HJ2" s="623"/>
      <c r="HK2" s="623"/>
      <c r="HL2" s="623"/>
      <c r="HM2" s="623"/>
      <c r="HN2" s="623"/>
      <c r="HO2" s="623"/>
      <c r="HP2" s="623"/>
      <c r="HQ2" s="623"/>
      <c r="HR2" s="623"/>
      <c r="HS2" s="623"/>
      <c r="HT2" s="623"/>
      <c r="HU2" s="623"/>
      <c r="HV2" s="623"/>
      <c r="HW2" s="623"/>
      <c r="HX2" s="623"/>
      <c r="HY2" s="623"/>
      <c r="HZ2" s="623"/>
      <c r="IA2" s="623"/>
      <c r="IB2" s="623"/>
      <c r="IC2" s="623"/>
      <c r="ID2" s="623"/>
      <c r="IE2" s="623"/>
      <c r="IF2" s="623"/>
      <c r="IG2" s="623"/>
      <c r="IH2" s="623"/>
      <c r="II2" s="623"/>
      <c r="IJ2" s="623"/>
      <c r="IK2" s="623"/>
      <c r="IL2" s="623"/>
      <c r="IM2" s="623"/>
      <c r="IN2" s="623"/>
      <c r="IO2" s="623"/>
      <c r="IP2" s="220"/>
    </row>
    <row r="3" spans="2:250" ht="17.25" customHeight="1">
      <c r="B3" s="1891" t="s">
        <v>874</v>
      </c>
      <c r="C3" s="1891"/>
      <c r="D3" s="1891"/>
      <c r="E3" s="1891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  <c r="CO3" s="624"/>
      <c r="CP3" s="624"/>
      <c r="CQ3" s="624"/>
      <c r="CR3" s="624"/>
      <c r="CS3" s="624"/>
      <c r="CT3" s="624"/>
      <c r="CU3" s="624"/>
      <c r="CV3" s="624"/>
      <c r="CW3" s="624"/>
      <c r="CX3" s="624"/>
      <c r="CY3" s="624"/>
      <c r="CZ3" s="624"/>
      <c r="DA3" s="624"/>
      <c r="DB3" s="624"/>
      <c r="DC3" s="624"/>
      <c r="DD3" s="624"/>
      <c r="DE3" s="624"/>
      <c r="DF3" s="624"/>
      <c r="DG3" s="624"/>
      <c r="DH3" s="624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24"/>
      <c r="DW3" s="624"/>
      <c r="DX3" s="624"/>
      <c r="DY3" s="624"/>
      <c r="DZ3" s="624"/>
      <c r="EA3" s="624"/>
      <c r="EB3" s="624"/>
      <c r="EC3" s="624"/>
      <c r="ED3" s="624"/>
      <c r="EE3" s="624"/>
      <c r="EF3" s="624"/>
      <c r="EG3" s="624"/>
      <c r="EH3" s="624"/>
      <c r="EI3" s="624"/>
      <c r="EJ3" s="624"/>
      <c r="EK3" s="624"/>
      <c r="EL3" s="624"/>
      <c r="EM3" s="624"/>
      <c r="EN3" s="624"/>
      <c r="EO3" s="624"/>
      <c r="EP3" s="624"/>
      <c r="EQ3" s="624"/>
      <c r="ER3" s="624"/>
      <c r="ES3" s="624"/>
      <c r="ET3" s="624"/>
      <c r="EU3" s="624"/>
      <c r="EV3" s="624"/>
      <c r="EW3" s="624"/>
      <c r="EX3" s="624"/>
      <c r="EY3" s="624"/>
      <c r="EZ3" s="624"/>
      <c r="FA3" s="624"/>
      <c r="FB3" s="624"/>
      <c r="FC3" s="624"/>
      <c r="FD3" s="624"/>
      <c r="FE3" s="624"/>
      <c r="FF3" s="624"/>
      <c r="FG3" s="624"/>
      <c r="FH3" s="624"/>
      <c r="FI3" s="624"/>
      <c r="FJ3" s="624"/>
      <c r="FK3" s="624"/>
      <c r="FL3" s="624"/>
      <c r="FM3" s="624"/>
      <c r="FN3" s="624"/>
      <c r="FO3" s="624"/>
      <c r="FP3" s="624"/>
      <c r="FQ3" s="624"/>
      <c r="FR3" s="624"/>
      <c r="FS3" s="624"/>
      <c r="FT3" s="624"/>
      <c r="FU3" s="624"/>
      <c r="FV3" s="624"/>
      <c r="FW3" s="624"/>
      <c r="FX3" s="624"/>
      <c r="FY3" s="624"/>
      <c r="FZ3" s="624"/>
      <c r="GA3" s="624"/>
      <c r="GB3" s="624"/>
      <c r="GC3" s="624"/>
      <c r="GD3" s="624"/>
      <c r="GE3" s="624"/>
      <c r="GF3" s="624"/>
      <c r="GG3" s="624"/>
      <c r="GH3" s="624"/>
      <c r="GI3" s="624"/>
      <c r="GJ3" s="624"/>
      <c r="GK3" s="624"/>
      <c r="GL3" s="624"/>
      <c r="GM3" s="624"/>
      <c r="GN3" s="624"/>
      <c r="GO3" s="624"/>
      <c r="GP3" s="624"/>
      <c r="GQ3" s="624"/>
      <c r="GR3" s="624"/>
      <c r="GS3" s="624"/>
      <c r="GT3" s="624"/>
      <c r="GU3" s="624"/>
      <c r="GV3" s="624"/>
      <c r="GW3" s="624"/>
      <c r="GX3" s="624"/>
      <c r="GY3" s="624"/>
      <c r="GZ3" s="624"/>
      <c r="HA3" s="624"/>
      <c r="HB3" s="624"/>
      <c r="HC3" s="624"/>
      <c r="HD3" s="624"/>
      <c r="HE3" s="624"/>
      <c r="HF3" s="624"/>
      <c r="HG3" s="624"/>
      <c r="HH3" s="624"/>
      <c r="HI3" s="624"/>
      <c r="HJ3" s="624"/>
      <c r="HK3" s="624"/>
      <c r="HL3" s="624"/>
      <c r="HM3" s="624"/>
      <c r="HN3" s="624"/>
      <c r="HO3" s="624"/>
      <c r="HP3" s="624"/>
      <c r="HQ3" s="624"/>
      <c r="HR3" s="624"/>
      <c r="HS3" s="624"/>
      <c r="HT3" s="624"/>
      <c r="HU3" s="624"/>
      <c r="HV3" s="624"/>
      <c r="HW3" s="624"/>
      <c r="HX3" s="624"/>
      <c r="HY3" s="624"/>
      <c r="HZ3" s="624"/>
      <c r="IA3" s="624"/>
      <c r="IB3" s="624"/>
      <c r="IC3" s="624"/>
      <c r="ID3" s="624"/>
      <c r="IE3" s="624"/>
      <c r="IF3" s="624"/>
      <c r="IG3" s="624"/>
      <c r="IH3" s="624"/>
      <c r="II3" s="624"/>
      <c r="IJ3" s="624"/>
      <c r="IK3" s="624"/>
      <c r="IL3" s="624"/>
      <c r="IM3" s="624"/>
      <c r="IN3" s="624"/>
      <c r="IO3" s="624"/>
      <c r="IP3" s="44"/>
    </row>
    <row r="4" spans="2:5" ht="17.25" customHeight="1">
      <c r="B4" s="1891"/>
      <c r="C4" s="1891"/>
      <c r="D4" s="1891"/>
      <c r="E4" s="1891"/>
    </row>
    <row r="5" spans="2:5" ht="17.25">
      <c r="B5" s="1383"/>
      <c r="C5" s="1383"/>
      <c r="D5" s="1383"/>
      <c r="E5" s="1383"/>
    </row>
    <row r="6" spans="2:5" ht="17.25">
      <c r="B6" s="1383"/>
      <c r="C6" s="1383"/>
      <c r="D6" s="1383"/>
      <c r="E6" s="668" t="s">
        <v>0</v>
      </c>
    </row>
    <row r="7" spans="2:5" ht="17.25" thickBot="1">
      <c r="B7" s="1887" t="s">
        <v>1</v>
      </c>
      <c r="C7" s="1887"/>
      <c r="D7" s="1887"/>
      <c r="E7" s="639" t="s">
        <v>3</v>
      </c>
    </row>
    <row r="8" spans="1:250" ht="18" thickBot="1">
      <c r="A8" s="1082">
        <v>1</v>
      </c>
      <c r="B8" s="1888" t="s">
        <v>595</v>
      </c>
      <c r="C8" s="1889"/>
      <c r="D8" s="1890"/>
      <c r="E8" s="1396" t="s">
        <v>859</v>
      </c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39"/>
      <c r="BU8" s="639"/>
      <c r="BV8" s="639"/>
      <c r="BW8" s="639"/>
      <c r="BX8" s="639"/>
      <c r="BY8" s="639"/>
      <c r="BZ8" s="639"/>
      <c r="CA8" s="639"/>
      <c r="CB8" s="639"/>
      <c r="CC8" s="639"/>
      <c r="CD8" s="639"/>
      <c r="CE8" s="639"/>
      <c r="CF8" s="639"/>
      <c r="CG8" s="639"/>
      <c r="CH8" s="639"/>
      <c r="CI8" s="639"/>
      <c r="CJ8" s="639"/>
      <c r="CK8" s="639"/>
      <c r="CL8" s="639"/>
      <c r="CM8" s="639"/>
      <c r="CN8" s="639"/>
      <c r="CO8" s="639"/>
      <c r="CP8" s="639"/>
      <c r="CQ8" s="639"/>
      <c r="CR8" s="639"/>
      <c r="CS8" s="639"/>
      <c r="CT8" s="639"/>
      <c r="CU8" s="639"/>
      <c r="CV8" s="639"/>
      <c r="CW8" s="639"/>
      <c r="CX8" s="639"/>
      <c r="CY8" s="639"/>
      <c r="CZ8" s="639"/>
      <c r="DA8" s="639"/>
      <c r="DB8" s="639"/>
      <c r="DC8" s="639"/>
      <c r="DD8" s="639"/>
      <c r="DE8" s="639"/>
      <c r="DF8" s="639"/>
      <c r="DG8" s="639"/>
      <c r="DH8" s="639"/>
      <c r="DI8" s="639"/>
      <c r="DJ8" s="639"/>
      <c r="DK8" s="639"/>
      <c r="DL8" s="639"/>
      <c r="DM8" s="639"/>
      <c r="DN8" s="639"/>
      <c r="DO8" s="639"/>
      <c r="DP8" s="639"/>
      <c r="DQ8" s="639"/>
      <c r="DR8" s="639"/>
      <c r="DS8" s="639"/>
      <c r="DT8" s="639"/>
      <c r="DU8" s="639"/>
      <c r="DV8" s="639"/>
      <c r="DW8" s="639"/>
      <c r="DX8" s="639"/>
      <c r="DY8" s="639"/>
      <c r="DZ8" s="639"/>
      <c r="EA8" s="639"/>
      <c r="EB8" s="639"/>
      <c r="EC8" s="639"/>
      <c r="ED8" s="639"/>
      <c r="EE8" s="639"/>
      <c r="EF8" s="639"/>
      <c r="EG8" s="639"/>
      <c r="EH8" s="639"/>
      <c r="EI8" s="639"/>
      <c r="EJ8" s="639"/>
      <c r="EK8" s="639"/>
      <c r="EL8" s="639"/>
      <c r="EM8" s="639"/>
      <c r="EN8" s="639"/>
      <c r="EO8" s="639"/>
      <c r="EP8" s="639"/>
      <c r="EQ8" s="639"/>
      <c r="ER8" s="639"/>
      <c r="ES8" s="639"/>
      <c r="ET8" s="639"/>
      <c r="EU8" s="639"/>
      <c r="EV8" s="639"/>
      <c r="EW8" s="639"/>
      <c r="EX8" s="639"/>
      <c r="EY8" s="639"/>
      <c r="EZ8" s="639"/>
      <c r="FA8" s="639"/>
      <c r="FB8" s="639"/>
      <c r="FC8" s="639"/>
      <c r="FD8" s="639"/>
      <c r="FE8" s="639"/>
      <c r="FF8" s="639"/>
      <c r="FG8" s="639"/>
      <c r="FH8" s="639"/>
      <c r="FI8" s="639"/>
      <c r="FJ8" s="639"/>
      <c r="FK8" s="639"/>
      <c r="FL8" s="639"/>
      <c r="FM8" s="639"/>
      <c r="FN8" s="639"/>
      <c r="FO8" s="639"/>
      <c r="FP8" s="639"/>
      <c r="FQ8" s="639"/>
      <c r="FR8" s="639"/>
      <c r="FS8" s="639"/>
      <c r="FT8" s="639"/>
      <c r="FU8" s="639"/>
      <c r="FV8" s="639"/>
      <c r="FW8" s="639"/>
      <c r="FX8" s="639"/>
      <c r="FY8" s="639"/>
      <c r="FZ8" s="639"/>
      <c r="GA8" s="639"/>
      <c r="GB8" s="639"/>
      <c r="GC8" s="639"/>
      <c r="GD8" s="639"/>
      <c r="GE8" s="639"/>
      <c r="GF8" s="639"/>
      <c r="GG8" s="639"/>
      <c r="GH8" s="639"/>
      <c r="GI8" s="639"/>
      <c r="GJ8" s="639"/>
      <c r="GK8" s="639"/>
      <c r="GL8" s="639"/>
      <c r="GM8" s="639"/>
      <c r="GN8" s="639"/>
      <c r="GO8" s="639"/>
      <c r="GP8" s="639"/>
      <c r="GQ8" s="639"/>
      <c r="GR8" s="639"/>
      <c r="GS8" s="639"/>
      <c r="GT8" s="639"/>
      <c r="GU8" s="639"/>
      <c r="GV8" s="639"/>
      <c r="GW8" s="639"/>
      <c r="GX8" s="639"/>
      <c r="GY8" s="639"/>
      <c r="GZ8" s="639"/>
      <c r="HA8" s="639"/>
      <c r="HB8" s="639"/>
      <c r="HC8" s="639"/>
      <c r="HD8" s="639"/>
      <c r="HE8" s="639"/>
      <c r="HF8" s="639"/>
      <c r="HG8" s="639"/>
      <c r="HH8" s="639"/>
      <c r="HI8" s="639"/>
      <c r="HJ8" s="639"/>
      <c r="HK8" s="639"/>
      <c r="HL8" s="639"/>
      <c r="HM8" s="639"/>
      <c r="HN8" s="639"/>
      <c r="HO8" s="639"/>
      <c r="HP8" s="639"/>
      <c r="HQ8" s="639"/>
      <c r="HR8" s="639"/>
      <c r="HS8" s="639"/>
      <c r="HT8" s="639"/>
      <c r="HU8" s="639"/>
      <c r="HV8" s="639"/>
      <c r="HW8" s="639"/>
      <c r="HX8" s="639"/>
      <c r="HY8" s="639"/>
      <c r="HZ8" s="639"/>
      <c r="IA8" s="639"/>
      <c r="IB8" s="639"/>
      <c r="IC8" s="639"/>
      <c r="ID8" s="639"/>
      <c r="IE8" s="639"/>
      <c r="IF8" s="639"/>
      <c r="IG8" s="639"/>
      <c r="IH8" s="639"/>
      <c r="II8" s="639"/>
      <c r="IJ8" s="639"/>
      <c r="IK8" s="639"/>
      <c r="IL8" s="639"/>
      <c r="IM8" s="639"/>
      <c r="IN8" s="639"/>
      <c r="IO8" s="639"/>
      <c r="IP8" s="44"/>
    </row>
    <row r="9" spans="1:5" ht="53.25" customHeight="1">
      <c r="A9" s="1877">
        <v>2</v>
      </c>
      <c r="B9" s="1878">
        <v>1</v>
      </c>
      <c r="C9" s="1880" t="s">
        <v>599</v>
      </c>
      <c r="D9" s="1881"/>
      <c r="E9" s="1875">
        <v>23783</v>
      </c>
    </row>
    <row r="10" spans="1:250" ht="17.25" thickBot="1">
      <c r="A10" s="1877"/>
      <c r="B10" s="1884"/>
      <c r="C10" s="1083"/>
      <c r="D10" s="1397" t="s">
        <v>541</v>
      </c>
      <c r="E10" s="1876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/>
      <c r="AD10" s="624"/>
      <c r="AE10" s="624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624"/>
      <c r="AW10" s="624"/>
      <c r="AX10" s="624"/>
      <c r="AY10" s="624"/>
      <c r="AZ10" s="624"/>
      <c r="BA10" s="624"/>
      <c r="BB10" s="624"/>
      <c r="BC10" s="624"/>
      <c r="BD10" s="624"/>
      <c r="BE10" s="624"/>
      <c r="BF10" s="624"/>
      <c r="BG10" s="62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4"/>
      <c r="BR10" s="624"/>
      <c r="BS10" s="624"/>
      <c r="BT10" s="624"/>
      <c r="BU10" s="624"/>
      <c r="BV10" s="624"/>
      <c r="BW10" s="624"/>
      <c r="BX10" s="624"/>
      <c r="BY10" s="624"/>
      <c r="BZ10" s="624"/>
      <c r="CA10" s="624"/>
      <c r="CB10" s="624"/>
      <c r="CC10" s="624"/>
      <c r="CD10" s="624"/>
      <c r="CE10" s="624"/>
      <c r="CF10" s="624"/>
      <c r="CG10" s="624"/>
      <c r="CH10" s="624"/>
      <c r="CI10" s="624"/>
      <c r="CJ10" s="624"/>
      <c r="CK10" s="624"/>
      <c r="CL10" s="624"/>
      <c r="CM10" s="624"/>
      <c r="CN10" s="624"/>
      <c r="CO10" s="624"/>
      <c r="CP10" s="624"/>
      <c r="CQ10" s="624"/>
      <c r="CR10" s="624"/>
      <c r="CS10" s="624"/>
      <c r="CT10" s="624"/>
      <c r="CU10" s="624"/>
      <c r="CV10" s="624"/>
      <c r="CW10" s="624"/>
      <c r="CX10" s="624"/>
      <c r="CY10" s="624"/>
      <c r="CZ10" s="624"/>
      <c r="DA10" s="624"/>
      <c r="DB10" s="624"/>
      <c r="DC10" s="624"/>
      <c r="DD10" s="624"/>
      <c r="DE10" s="624"/>
      <c r="DF10" s="624"/>
      <c r="DG10" s="624"/>
      <c r="DH10" s="624"/>
      <c r="DI10" s="624"/>
      <c r="DJ10" s="624"/>
      <c r="DK10" s="624"/>
      <c r="DL10" s="624"/>
      <c r="DM10" s="624"/>
      <c r="DN10" s="624"/>
      <c r="DO10" s="624"/>
      <c r="DP10" s="624"/>
      <c r="DQ10" s="624"/>
      <c r="DR10" s="624"/>
      <c r="DS10" s="624"/>
      <c r="DT10" s="624"/>
      <c r="DU10" s="624"/>
      <c r="DV10" s="624"/>
      <c r="DW10" s="624"/>
      <c r="DX10" s="624"/>
      <c r="DY10" s="624"/>
      <c r="DZ10" s="624"/>
      <c r="EA10" s="624"/>
      <c r="EB10" s="624"/>
      <c r="EC10" s="624"/>
      <c r="ED10" s="624"/>
      <c r="EE10" s="624"/>
      <c r="EF10" s="624"/>
      <c r="EG10" s="624"/>
      <c r="EH10" s="624"/>
      <c r="EI10" s="624"/>
      <c r="EJ10" s="624"/>
      <c r="EK10" s="624"/>
      <c r="EL10" s="624"/>
      <c r="EM10" s="624"/>
      <c r="EN10" s="624"/>
      <c r="EO10" s="624"/>
      <c r="EP10" s="624"/>
      <c r="EQ10" s="624"/>
      <c r="ER10" s="624"/>
      <c r="ES10" s="624"/>
      <c r="ET10" s="624"/>
      <c r="EU10" s="624"/>
      <c r="EV10" s="624"/>
      <c r="EW10" s="624"/>
      <c r="EX10" s="624"/>
      <c r="EY10" s="624"/>
      <c r="EZ10" s="624"/>
      <c r="FA10" s="624"/>
      <c r="FB10" s="624"/>
      <c r="FC10" s="624"/>
      <c r="FD10" s="624"/>
      <c r="FE10" s="624"/>
      <c r="FF10" s="624"/>
      <c r="FG10" s="624"/>
      <c r="FH10" s="624"/>
      <c r="FI10" s="624"/>
      <c r="FJ10" s="624"/>
      <c r="FK10" s="624"/>
      <c r="FL10" s="624"/>
      <c r="FM10" s="624"/>
      <c r="FN10" s="624"/>
      <c r="FO10" s="624"/>
      <c r="FP10" s="624"/>
      <c r="FQ10" s="624"/>
      <c r="FR10" s="624"/>
      <c r="FS10" s="624"/>
      <c r="FT10" s="624"/>
      <c r="FU10" s="624"/>
      <c r="FV10" s="624"/>
      <c r="FW10" s="624"/>
      <c r="FX10" s="624"/>
      <c r="FY10" s="624"/>
      <c r="FZ10" s="624"/>
      <c r="GA10" s="624"/>
      <c r="GB10" s="624"/>
      <c r="GC10" s="624"/>
      <c r="GD10" s="624"/>
      <c r="GE10" s="624"/>
      <c r="GF10" s="624"/>
      <c r="GG10" s="624"/>
      <c r="GH10" s="624"/>
      <c r="GI10" s="624"/>
      <c r="GJ10" s="624"/>
      <c r="GK10" s="624"/>
      <c r="GL10" s="624"/>
      <c r="GM10" s="624"/>
      <c r="GN10" s="624"/>
      <c r="GO10" s="624"/>
      <c r="GP10" s="624"/>
      <c r="GQ10" s="624"/>
      <c r="GR10" s="624"/>
      <c r="GS10" s="624"/>
      <c r="GT10" s="624"/>
      <c r="GU10" s="624"/>
      <c r="GV10" s="624"/>
      <c r="GW10" s="624"/>
      <c r="GX10" s="624"/>
      <c r="GY10" s="624"/>
      <c r="GZ10" s="624"/>
      <c r="HA10" s="624"/>
      <c r="HB10" s="624"/>
      <c r="HC10" s="624"/>
      <c r="HD10" s="624"/>
      <c r="HE10" s="624"/>
      <c r="HF10" s="624"/>
      <c r="HG10" s="624"/>
      <c r="HH10" s="624"/>
      <c r="HI10" s="624"/>
      <c r="HJ10" s="624"/>
      <c r="HK10" s="624"/>
      <c r="HL10" s="624"/>
      <c r="HM10" s="624"/>
      <c r="HN10" s="624"/>
      <c r="HO10" s="624"/>
      <c r="HP10" s="624"/>
      <c r="HQ10" s="624"/>
      <c r="HR10" s="624"/>
      <c r="HS10" s="624"/>
      <c r="HT10" s="624"/>
      <c r="HU10" s="624"/>
      <c r="HV10" s="624"/>
      <c r="HW10" s="624"/>
      <c r="HX10" s="624"/>
      <c r="HY10" s="624"/>
      <c r="HZ10" s="624"/>
      <c r="IA10" s="624"/>
      <c r="IB10" s="624"/>
      <c r="IC10" s="624"/>
      <c r="ID10" s="624"/>
      <c r="IE10" s="624"/>
      <c r="IF10" s="624"/>
      <c r="IG10" s="624"/>
      <c r="IH10" s="624"/>
      <c r="II10" s="624"/>
      <c r="IJ10" s="624"/>
      <c r="IK10" s="624"/>
      <c r="IL10" s="624"/>
      <c r="IM10" s="624"/>
      <c r="IN10" s="624"/>
      <c r="IO10" s="624"/>
      <c r="IP10" s="44"/>
    </row>
    <row r="11" spans="1:250" ht="39.75" customHeight="1">
      <c r="A11" s="1877">
        <v>3</v>
      </c>
      <c r="B11" s="1878">
        <v>2</v>
      </c>
      <c r="C11" s="1880" t="s">
        <v>600</v>
      </c>
      <c r="D11" s="1881"/>
      <c r="E11" s="1875">
        <v>0</v>
      </c>
      <c r="F11" s="624"/>
      <c r="G11" s="624"/>
      <c r="H11" s="624"/>
      <c r="I11" s="624"/>
      <c r="J11" s="624"/>
      <c r="K11" s="624"/>
      <c r="L11" s="624" t="s">
        <v>243</v>
      </c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624"/>
      <c r="AW11" s="624"/>
      <c r="AX11" s="624"/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4"/>
      <c r="BR11" s="624"/>
      <c r="BS11" s="624"/>
      <c r="BT11" s="624"/>
      <c r="BU11" s="624"/>
      <c r="BV11" s="624"/>
      <c r="BW11" s="624"/>
      <c r="BX11" s="624"/>
      <c r="BY11" s="624"/>
      <c r="BZ11" s="624"/>
      <c r="CA11" s="624"/>
      <c r="CB11" s="624"/>
      <c r="CC11" s="624"/>
      <c r="CD11" s="624"/>
      <c r="CE11" s="624"/>
      <c r="CF11" s="624"/>
      <c r="CG11" s="624"/>
      <c r="CH11" s="624"/>
      <c r="CI11" s="624"/>
      <c r="CJ11" s="624"/>
      <c r="CK11" s="624"/>
      <c r="CL11" s="624"/>
      <c r="CM11" s="624"/>
      <c r="CN11" s="624"/>
      <c r="CO11" s="624"/>
      <c r="CP11" s="624"/>
      <c r="CQ11" s="624"/>
      <c r="CR11" s="624"/>
      <c r="CS11" s="624"/>
      <c r="CT11" s="624"/>
      <c r="CU11" s="624"/>
      <c r="CV11" s="624"/>
      <c r="CW11" s="624"/>
      <c r="CX11" s="624"/>
      <c r="CY11" s="624"/>
      <c r="CZ11" s="624"/>
      <c r="DA11" s="624"/>
      <c r="DB11" s="624"/>
      <c r="DC11" s="624"/>
      <c r="DD11" s="624"/>
      <c r="DE11" s="624"/>
      <c r="DF11" s="624"/>
      <c r="DG11" s="624"/>
      <c r="DH11" s="624"/>
      <c r="DI11" s="624"/>
      <c r="DJ11" s="624"/>
      <c r="DK11" s="624"/>
      <c r="DL11" s="624"/>
      <c r="DM11" s="624"/>
      <c r="DN11" s="624"/>
      <c r="DO11" s="624"/>
      <c r="DP11" s="624"/>
      <c r="DQ11" s="624"/>
      <c r="DR11" s="624"/>
      <c r="DS11" s="624"/>
      <c r="DT11" s="624"/>
      <c r="DU11" s="624"/>
      <c r="DV11" s="624"/>
      <c r="DW11" s="624"/>
      <c r="DX11" s="624"/>
      <c r="DY11" s="624"/>
      <c r="DZ11" s="624"/>
      <c r="EA11" s="624"/>
      <c r="EB11" s="624"/>
      <c r="EC11" s="624"/>
      <c r="ED11" s="624"/>
      <c r="EE11" s="624"/>
      <c r="EF11" s="624"/>
      <c r="EG11" s="624"/>
      <c r="EH11" s="624"/>
      <c r="EI11" s="624"/>
      <c r="EJ11" s="624"/>
      <c r="EK11" s="624"/>
      <c r="EL11" s="624"/>
      <c r="EM11" s="624"/>
      <c r="EN11" s="624"/>
      <c r="EO11" s="624"/>
      <c r="EP11" s="624"/>
      <c r="EQ11" s="624"/>
      <c r="ER11" s="624"/>
      <c r="ES11" s="624"/>
      <c r="ET11" s="624"/>
      <c r="EU11" s="624"/>
      <c r="EV11" s="624"/>
      <c r="EW11" s="624"/>
      <c r="EX11" s="624"/>
      <c r="EY11" s="624"/>
      <c r="EZ11" s="624"/>
      <c r="FA11" s="624"/>
      <c r="FB11" s="624"/>
      <c r="FC11" s="624"/>
      <c r="FD11" s="624"/>
      <c r="FE11" s="624"/>
      <c r="FF11" s="624"/>
      <c r="FG11" s="624"/>
      <c r="FH11" s="624"/>
      <c r="FI11" s="624"/>
      <c r="FJ11" s="624"/>
      <c r="FK11" s="624"/>
      <c r="FL11" s="624"/>
      <c r="FM11" s="624"/>
      <c r="FN11" s="624"/>
      <c r="FO11" s="624"/>
      <c r="FP11" s="624"/>
      <c r="FQ11" s="624"/>
      <c r="FR11" s="624"/>
      <c r="FS11" s="624"/>
      <c r="FT11" s="624"/>
      <c r="FU11" s="624"/>
      <c r="FV11" s="624"/>
      <c r="FW11" s="624"/>
      <c r="FX11" s="624"/>
      <c r="FY11" s="624"/>
      <c r="FZ11" s="624"/>
      <c r="GA11" s="624"/>
      <c r="GB11" s="624"/>
      <c r="GC11" s="624"/>
      <c r="GD11" s="624"/>
      <c r="GE11" s="624"/>
      <c r="GF11" s="624"/>
      <c r="GG11" s="624"/>
      <c r="GH11" s="624"/>
      <c r="GI11" s="624"/>
      <c r="GJ11" s="624"/>
      <c r="GK11" s="624"/>
      <c r="GL11" s="624"/>
      <c r="GM11" s="624"/>
      <c r="GN11" s="624"/>
      <c r="GO11" s="624"/>
      <c r="GP11" s="624"/>
      <c r="GQ11" s="624"/>
      <c r="GR11" s="624"/>
      <c r="GS11" s="624"/>
      <c r="GT11" s="624"/>
      <c r="GU11" s="624"/>
      <c r="GV11" s="624"/>
      <c r="GW11" s="624"/>
      <c r="GX11" s="624"/>
      <c r="GY11" s="624"/>
      <c r="GZ11" s="624"/>
      <c r="HA11" s="624"/>
      <c r="HB11" s="624"/>
      <c r="HC11" s="624"/>
      <c r="HD11" s="624"/>
      <c r="HE11" s="624"/>
      <c r="HF11" s="624"/>
      <c r="HG11" s="624"/>
      <c r="HH11" s="624"/>
      <c r="HI11" s="624"/>
      <c r="HJ11" s="624"/>
      <c r="HK11" s="624"/>
      <c r="HL11" s="624"/>
      <c r="HM11" s="624"/>
      <c r="HN11" s="624"/>
      <c r="HO11" s="624"/>
      <c r="HP11" s="624"/>
      <c r="HQ11" s="624"/>
      <c r="HR11" s="624"/>
      <c r="HS11" s="624"/>
      <c r="HT11" s="624"/>
      <c r="HU11" s="624"/>
      <c r="HV11" s="624"/>
      <c r="HW11" s="624"/>
      <c r="HX11" s="624"/>
      <c r="HY11" s="624"/>
      <c r="HZ11" s="624"/>
      <c r="IA11" s="624"/>
      <c r="IB11" s="624"/>
      <c r="IC11" s="624"/>
      <c r="ID11" s="624"/>
      <c r="IE11" s="624"/>
      <c r="IF11" s="624"/>
      <c r="IG11" s="624"/>
      <c r="IH11" s="624"/>
      <c r="II11" s="624"/>
      <c r="IJ11" s="624"/>
      <c r="IK11" s="624"/>
      <c r="IL11" s="624"/>
      <c r="IM11" s="624"/>
      <c r="IN11" s="624"/>
      <c r="IO11" s="624"/>
      <c r="IP11" s="44"/>
    </row>
    <row r="12" spans="1:250" ht="16.5">
      <c r="A12" s="1877"/>
      <c r="B12" s="1879"/>
      <c r="C12" s="1084"/>
      <c r="D12" s="1398" t="s">
        <v>347</v>
      </c>
      <c r="E12" s="1876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4"/>
      <c r="BF12" s="624"/>
      <c r="BG12" s="624"/>
      <c r="BH12" s="624"/>
      <c r="BI12" s="624"/>
      <c r="BJ12" s="624"/>
      <c r="BK12" s="624"/>
      <c r="BL12" s="624"/>
      <c r="BM12" s="624"/>
      <c r="BN12" s="624"/>
      <c r="BO12" s="624"/>
      <c r="BP12" s="624"/>
      <c r="BQ12" s="624"/>
      <c r="BR12" s="624"/>
      <c r="BS12" s="624"/>
      <c r="BT12" s="624"/>
      <c r="BU12" s="624"/>
      <c r="BV12" s="624"/>
      <c r="BW12" s="624"/>
      <c r="BX12" s="624"/>
      <c r="BY12" s="624"/>
      <c r="BZ12" s="624"/>
      <c r="CA12" s="624"/>
      <c r="CB12" s="624"/>
      <c r="CC12" s="624"/>
      <c r="CD12" s="624"/>
      <c r="CE12" s="624"/>
      <c r="CF12" s="624"/>
      <c r="CG12" s="624"/>
      <c r="CH12" s="624"/>
      <c r="CI12" s="624"/>
      <c r="CJ12" s="624"/>
      <c r="CK12" s="624"/>
      <c r="CL12" s="62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4"/>
      <c r="DE12" s="624"/>
      <c r="DF12" s="624"/>
      <c r="DG12" s="624"/>
      <c r="DH12" s="624"/>
      <c r="DI12" s="624"/>
      <c r="DJ12" s="624"/>
      <c r="DK12" s="624"/>
      <c r="DL12" s="624"/>
      <c r="DM12" s="624"/>
      <c r="DN12" s="624"/>
      <c r="DO12" s="624"/>
      <c r="DP12" s="624"/>
      <c r="DQ12" s="624"/>
      <c r="DR12" s="624"/>
      <c r="DS12" s="624"/>
      <c r="DT12" s="624"/>
      <c r="DU12" s="624"/>
      <c r="DV12" s="624"/>
      <c r="DW12" s="624"/>
      <c r="DX12" s="624"/>
      <c r="DY12" s="624"/>
      <c r="DZ12" s="624"/>
      <c r="EA12" s="624"/>
      <c r="EB12" s="624"/>
      <c r="EC12" s="624"/>
      <c r="ED12" s="624"/>
      <c r="EE12" s="624"/>
      <c r="EF12" s="624"/>
      <c r="EG12" s="624"/>
      <c r="EH12" s="624"/>
      <c r="EI12" s="624"/>
      <c r="EJ12" s="624"/>
      <c r="EK12" s="624"/>
      <c r="EL12" s="624"/>
      <c r="EM12" s="624"/>
      <c r="EN12" s="624"/>
      <c r="EO12" s="624"/>
      <c r="EP12" s="624"/>
      <c r="EQ12" s="624"/>
      <c r="ER12" s="624"/>
      <c r="ES12" s="624"/>
      <c r="ET12" s="624"/>
      <c r="EU12" s="624"/>
      <c r="EV12" s="624"/>
      <c r="EW12" s="624"/>
      <c r="EX12" s="624"/>
      <c r="EY12" s="624"/>
      <c r="EZ12" s="624"/>
      <c r="FA12" s="624"/>
      <c r="FB12" s="624"/>
      <c r="FC12" s="624"/>
      <c r="FD12" s="624"/>
      <c r="FE12" s="624"/>
      <c r="FF12" s="624"/>
      <c r="FG12" s="624"/>
      <c r="FH12" s="624"/>
      <c r="FI12" s="624"/>
      <c r="FJ12" s="624"/>
      <c r="FK12" s="624"/>
      <c r="FL12" s="624"/>
      <c r="FM12" s="624"/>
      <c r="FN12" s="624"/>
      <c r="FO12" s="624"/>
      <c r="FP12" s="624"/>
      <c r="FQ12" s="624"/>
      <c r="FR12" s="624"/>
      <c r="FS12" s="624"/>
      <c r="FT12" s="624"/>
      <c r="FU12" s="624"/>
      <c r="FV12" s="624"/>
      <c r="FW12" s="624"/>
      <c r="FX12" s="624"/>
      <c r="FY12" s="624"/>
      <c r="FZ12" s="624"/>
      <c r="GA12" s="624"/>
      <c r="GB12" s="624"/>
      <c r="GC12" s="624"/>
      <c r="GD12" s="624"/>
      <c r="GE12" s="624"/>
      <c r="GF12" s="624"/>
      <c r="GG12" s="624"/>
      <c r="GH12" s="624"/>
      <c r="GI12" s="624"/>
      <c r="GJ12" s="624"/>
      <c r="GK12" s="624"/>
      <c r="GL12" s="624"/>
      <c r="GM12" s="624"/>
      <c r="GN12" s="624"/>
      <c r="GO12" s="624"/>
      <c r="GP12" s="624"/>
      <c r="GQ12" s="624"/>
      <c r="GR12" s="624"/>
      <c r="GS12" s="624"/>
      <c r="GT12" s="624"/>
      <c r="GU12" s="624"/>
      <c r="GV12" s="624"/>
      <c r="GW12" s="624"/>
      <c r="GX12" s="624"/>
      <c r="GY12" s="624"/>
      <c r="GZ12" s="624"/>
      <c r="HA12" s="624"/>
      <c r="HB12" s="624"/>
      <c r="HC12" s="624"/>
      <c r="HD12" s="624"/>
      <c r="HE12" s="624"/>
      <c r="HF12" s="624"/>
      <c r="HG12" s="624"/>
      <c r="HH12" s="624"/>
      <c r="HI12" s="624"/>
      <c r="HJ12" s="624"/>
      <c r="HK12" s="624"/>
      <c r="HL12" s="624"/>
      <c r="HM12" s="624"/>
      <c r="HN12" s="624"/>
      <c r="HO12" s="624"/>
      <c r="HP12" s="624"/>
      <c r="HQ12" s="624"/>
      <c r="HR12" s="624"/>
      <c r="HS12" s="624"/>
      <c r="HT12" s="624"/>
      <c r="HU12" s="624"/>
      <c r="HV12" s="624"/>
      <c r="HW12" s="624"/>
      <c r="HX12" s="624"/>
      <c r="HY12" s="624"/>
      <c r="HZ12" s="624"/>
      <c r="IA12" s="624"/>
      <c r="IB12" s="624"/>
      <c r="IC12" s="624"/>
      <c r="ID12" s="624"/>
      <c r="IE12" s="624"/>
      <c r="IF12" s="624"/>
      <c r="IG12" s="624"/>
      <c r="IH12" s="624"/>
      <c r="II12" s="624"/>
      <c r="IJ12" s="624"/>
      <c r="IK12" s="624"/>
      <c r="IL12" s="624"/>
      <c r="IM12" s="624"/>
      <c r="IN12" s="624"/>
      <c r="IO12" s="624"/>
      <c r="IP12" s="44"/>
    </row>
    <row r="13" spans="1:249" ht="17.25" thickBot="1">
      <c r="A13" s="1877"/>
      <c r="B13" s="1884"/>
      <c r="C13" s="1083"/>
      <c r="D13" s="1397" t="s">
        <v>467</v>
      </c>
      <c r="E13" s="1882"/>
      <c r="IJ13" s="41"/>
      <c r="IK13" s="41"/>
      <c r="IL13" s="41"/>
      <c r="IM13" s="41"/>
      <c r="IN13" s="41"/>
      <c r="IO13" s="41"/>
    </row>
    <row r="14" spans="1:5" ht="36" customHeight="1">
      <c r="A14" s="1877">
        <v>4</v>
      </c>
      <c r="B14" s="1878">
        <v>3</v>
      </c>
      <c r="C14" s="1883" t="s">
        <v>601</v>
      </c>
      <c r="D14" s="1881"/>
      <c r="E14" s="1875">
        <v>301000</v>
      </c>
    </row>
    <row r="15" spans="1:5" ht="23.25" customHeight="1">
      <c r="A15" s="1877"/>
      <c r="B15" s="1879"/>
      <c r="C15" s="1084"/>
      <c r="D15" s="1398" t="s">
        <v>602</v>
      </c>
      <c r="E15" s="1876"/>
    </row>
    <row r="16" spans="1:5" ht="33">
      <c r="A16" s="1877"/>
      <c r="B16" s="1879"/>
      <c r="C16" s="1084"/>
      <c r="D16" s="1398" t="s">
        <v>603</v>
      </c>
      <c r="E16" s="1876"/>
    </row>
    <row r="17" spans="1:5" ht="16.5">
      <c r="A17" s="1877"/>
      <c r="B17" s="1879"/>
      <c r="C17" s="1084"/>
      <c r="D17" s="1398" t="s">
        <v>604</v>
      </c>
      <c r="E17" s="1876"/>
    </row>
    <row r="18" spans="1:5" ht="16.5">
      <c r="A18" s="1877"/>
      <c r="B18" s="1879"/>
      <c r="C18" s="1084"/>
      <c r="D18" s="1398" t="s">
        <v>605</v>
      </c>
      <c r="E18" s="1876"/>
    </row>
    <row r="19" spans="1:5" ht="17.25" thickBot="1">
      <c r="A19" s="1877"/>
      <c r="B19" s="1884"/>
      <c r="C19" s="1083"/>
      <c r="D19" s="1397" t="s">
        <v>860</v>
      </c>
      <c r="E19" s="1882"/>
    </row>
    <row r="20" spans="1:5" ht="32.25" customHeight="1">
      <c r="A20" s="1877">
        <v>5</v>
      </c>
      <c r="B20" s="1878">
        <v>4</v>
      </c>
      <c r="C20" s="1883" t="s">
        <v>606</v>
      </c>
      <c r="D20" s="1881"/>
      <c r="E20" s="1875">
        <v>44000</v>
      </c>
    </row>
    <row r="21" spans="1:5" ht="15.75" customHeight="1">
      <c r="A21" s="1877"/>
      <c r="B21" s="1879"/>
      <c r="C21" s="1084"/>
      <c r="D21" s="1398" t="s">
        <v>607</v>
      </c>
      <c r="E21" s="1876"/>
    </row>
    <row r="22" spans="1:5" ht="17.25" thickBot="1">
      <c r="A22" s="1877"/>
      <c r="B22" s="1879"/>
      <c r="C22" s="1083"/>
      <c r="D22" s="1397" t="s">
        <v>608</v>
      </c>
      <c r="E22" s="1876"/>
    </row>
    <row r="23" spans="1:5" ht="60.75" customHeight="1">
      <c r="A23" s="1877">
        <v>6</v>
      </c>
      <c r="B23" s="1878">
        <v>5</v>
      </c>
      <c r="C23" s="1880" t="s">
        <v>609</v>
      </c>
      <c r="D23" s="1881"/>
      <c r="E23" s="1875">
        <v>245843</v>
      </c>
    </row>
    <row r="24" spans="1:5" ht="16.5">
      <c r="A24" s="1877"/>
      <c r="B24" s="1879"/>
      <c r="C24" s="1085"/>
      <c r="D24" s="1399" t="s">
        <v>610</v>
      </c>
      <c r="E24" s="1876"/>
    </row>
    <row r="25" spans="1:5" ht="33">
      <c r="A25" s="1877"/>
      <c r="B25" s="1879"/>
      <c r="C25" s="1085"/>
      <c r="D25" s="1399" t="s">
        <v>547</v>
      </c>
      <c r="E25" s="1876"/>
    </row>
    <row r="26" spans="1:5" ht="16.5">
      <c r="A26" s="1877"/>
      <c r="B26" s="1879"/>
      <c r="C26" s="1085"/>
      <c r="D26" s="1399" t="s">
        <v>611</v>
      </c>
      <c r="E26" s="1876"/>
    </row>
    <row r="27" spans="1:5" ht="16.5">
      <c r="A27" s="1877"/>
      <c r="B27" s="1879"/>
      <c r="C27" s="1085"/>
      <c r="D27" s="1399" t="s">
        <v>612</v>
      </c>
      <c r="E27" s="1876"/>
    </row>
    <row r="28" spans="1:5" ht="16.5">
      <c r="A28" s="1877"/>
      <c r="B28" s="1879"/>
      <c r="C28" s="1085"/>
      <c r="D28" s="1399" t="s">
        <v>550</v>
      </c>
      <c r="E28" s="1876"/>
    </row>
    <row r="29" spans="1:5" ht="16.5">
      <c r="A29" s="1877"/>
      <c r="B29" s="1879"/>
      <c r="C29" s="1085"/>
      <c r="D29" s="1399" t="s">
        <v>540</v>
      </c>
      <c r="E29" s="1876"/>
    </row>
    <row r="30" spans="1:5" ht="16.5">
      <c r="A30" s="1877"/>
      <c r="B30" s="1879"/>
      <c r="C30" s="1085"/>
      <c r="D30" s="1399" t="s">
        <v>542</v>
      </c>
      <c r="E30" s="1876"/>
    </row>
    <row r="31" spans="1:5" ht="16.5">
      <c r="A31" s="1877"/>
      <c r="B31" s="1879"/>
      <c r="C31" s="1085"/>
      <c r="D31" s="1399" t="s">
        <v>455</v>
      </c>
      <c r="E31" s="1876"/>
    </row>
    <row r="32" spans="1:5" ht="17.25" thickBot="1">
      <c r="A32" s="1877"/>
      <c r="B32" s="1879"/>
      <c r="C32" s="1086"/>
      <c r="D32" s="1400" t="s">
        <v>516</v>
      </c>
      <c r="E32" s="1882"/>
    </row>
    <row r="33" spans="1:5" ht="32.25" customHeight="1" thickBot="1">
      <c r="A33" s="1082">
        <v>7</v>
      </c>
      <c r="B33" s="1871" t="s">
        <v>120</v>
      </c>
      <c r="C33" s="1872"/>
      <c r="D33" s="1873"/>
      <c r="E33" s="1401">
        <f>SUM(E9:E32)</f>
        <v>614626</v>
      </c>
    </row>
    <row r="34" spans="2:5" ht="81" customHeight="1">
      <c r="B34" s="1874" t="s">
        <v>861</v>
      </c>
      <c r="C34" s="1874"/>
      <c r="D34" s="1874"/>
      <c r="E34" s="1874"/>
    </row>
  </sheetData>
  <sheetProtection/>
  <mergeCells count="26">
    <mergeCell ref="B1:D1"/>
    <mergeCell ref="B7:D7"/>
    <mergeCell ref="C14:D14"/>
    <mergeCell ref="B8:D8"/>
    <mergeCell ref="E9:E10"/>
    <mergeCell ref="E11:E13"/>
    <mergeCell ref="B3:E4"/>
    <mergeCell ref="E14:E19"/>
    <mergeCell ref="A9:A10"/>
    <mergeCell ref="B9:B10"/>
    <mergeCell ref="C9:D9"/>
    <mergeCell ref="A14:A19"/>
    <mergeCell ref="B14:B19"/>
    <mergeCell ref="A11:A13"/>
    <mergeCell ref="B11:B13"/>
    <mergeCell ref="C11:D11"/>
    <mergeCell ref="B33:D33"/>
    <mergeCell ref="B34:E34"/>
    <mergeCell ref="E20:E22"/>
    <mergeCell ref="A23:A32"/>
    <mergeCell ref="B23:B32"/>
    <mergeCell ref="C23:D23"/>
    <mergeCell ref="E23:E32"/>
    <mergeCell ref="A20:A22"/>
    <mergeCell ref="B20:B22"/>
    <mergeCell ref="C20:D2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4" r:id="rId1"/>
  <headerFooter>
    <oddFooter>&amp;C-&amp;P -</oddFoot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SheetLayoutView="100" zoomScalePageLayoutView="0" workbookViewId="0" topLeftCell="A10">
      <selection activeCell="D6" sqref="D6:D7"/>
    </sheetView>
  </sheetViews>
  <sheetFormatPr defaultColWidth="9.00390625" defaultRowHeight="12.75"/>
  <cols>
    <col min="1" max="1" width="3.75390625" style="199" customWidth="1"/>
    <col min="2" max="2" width="86.75390625" style="216" customWidth="1"/>
    <col min="3" max="4" width="13.75390625" style="217" customWidth="1"/>
    <col min="5" max="5" width="15.75390625" style="217" customWidth="1"/>
    <col min="6" max="6" width="13.75390625" style="217" customWidth="1"/>
    <col min="7" max="7" width="16.875" style="218" customWidth="1"/>
    <col min="8" max="16384" width="9.125" style="218" customWidth="1"/>
  </cols>
  <sheetData>
    <row r="1" spans="1:6" s="200" customFormat="1" ht="16.5" customHeight="1">
      <c r="A1" s="199"/>
      <c r="B1" s="1594" t="s">
        <v>640</v>
      </c>
      <c r="C1" s="1594"/>
      <c r="D1" s="1595"/>
      <c r="E1" s="1595"/>
      <c r="F1" s="1305"/>
    </row>
    <row r="2" spans="1:12" s="202" customFormat="1" ht="24.75" customHeight="1">
      <c r="A2" s="199"/>
      <c r="B2" s="1596" t="s">
        <v>830</v>
      </c>
      <c r="C2" s="1596"/>
      <c r="D2" s="1596"/>
      <c r="E2" s="1596"/>
      <c r="F2" s="201"/>
      <c r="G2" s="1597"/>
      <c r="H2" s="1597"/>
      <c r="I2" s="1597"/>
      <c r="J2" s="1597"/>
      <c r="K2" s="1597"/>
      <c r="L2" s="1597"/>
    </row>
    <row r="3" spans="1:12" s="200" customFormat="1" ht="24.75" customHeight="1">
      <c r="A3" s="199"/>
      <c r="B3" s="1598" t="s">
        <v>831</v>
      </c>
      <c r="C3" s="1598"/>
      <c r="D3" s="1598"/>
      <c r="E3" s="1598"/>
      <c r="F3" s="203"/>
      <c r="G3" s="1599"/>
      <c r="H3" s="1599"/>
      <c r="I3" s="1599"/>
      <c r="J3" s="1599"/>
      <c r="K3" s="1599"/>
      <c r="L3" s="1599"/>
    </row>
    <row r="4" spans="1:6" s="798" customFormat="1" ht="15">
      <c r="A4" s="204"/>
      <c r="B4" s="794"/>
      <c r="C4" s="795"/>
      <c r="D4" s="795"/>
      <c r="E4" s="796" t="s">
        <v>0</v>
      </c>
      <c r="F4" s="797"/>
    </row>
    <row r="5" spans="1:6" s="129" customFormat="1" ht="15" thickBot="1">
      <c r="A5" s="204"/>
      <c r="B5" s="205" t="s">
        <v>1</v>
      </c>
      <c r="C5" s="206" t="s">
        <v>3</v>
      </c>
      <c r="D5" s="206" t="s">
        <v>2</v>
      </c>
      <c r="E5" s="63" t="s">
        <v>4</v>
      </c>
      <c r="F5" s="63"/>
    </row>
    <row r="6" spans="1:6" s="41" customFormat="1" ht="17.25">
      <c r="A6" s="204"/>
      <c r="B6" s="1600" t="s">
        <v>6</v>
      </c>
      <c r="C6" s="1602" t="s">
        <v>478</v>
      </c>
      <c r="D6" s="1602" t="s">
        <v>479</v>
      </c>
      <c r="E6" s="207" t="s">
        <v>306</v>
      </c>
      <c r="F6" s="208"/>
    </row>
    <row r="7" spans="1:6" s="41" customFormat="1" ht="18" thickBot="1">
      <c r="A7" s="204"/>
      <c r="B7" s="1601"/>
      <c r="C7" s="1603"/>
      <c r="D7" s="1603"/>
      <c r="E7" s="209" t="s">
        <v>832</v>
      </c>
      <c r="F7" s="208"/>
    </row>
    <row r="8" spans="1:7" s="1360" customFormat="1" ht="22.5" customHeight="1">
      <c r="A8" s="204">
        <v>1</v>
      </c>
      <c r="B8" s="1355" t="s">
        <v>833</v>
      </c>
      <c r="C8" s="1356">
        <v>0</v>
      </c>
      <c r="D8" s="1356">
        <f>SUM(D9:D15)</f>
        <v>1209808</v>
      </c>
      <c r="E8" s="1357"/>
      <c r="F8" s="1358"/>
      <c r="G8" s="1359"/>
    </row>
    <row r="9" spans="1:6" s="41" customFormat="1" ht="18" customHeight="1">
      <c r="A9" s="204">
        <v>2</v>
      </c>
      <c r="B9" s="1361" t="s">
        <v>834</v>
      </c>
      <c r="C9" s="1362"/>
      <c r="D9" s="1362">
        <v>776793</v>
      </c>
      <c r="E9" s="1363"/>
      <c r="F9" s="211"/>
    </row>
    <row r="10" spans="1:6" s="41" customFormat="1" ht="18" customHeight="1">
      <c r="A10" s="204">
        <v>3</v>
      </c>
      <c r="B10" s="1361" t="s">
        <v>944</v>
      </c>
      <c r="C10" s="1362"/>
      <c r="D10" s="1362">
        <v>56808</v>
      </c>
      <c r="E10" s="1363"/>
      <c r="F10" s="211"/>
    </row>
    <row r="11" spans="1:6" s="41" customFormat="1" ht="18" customHeight="1">
      <c r="A11" s="204">
        <v>4</v>
      </c>
      <c r="B11" s="1361" t="s">
        <v>945</v>
      </c>
      <c r="C11" s="1362"/>
      <c r="D11" s="1362">
        <v>120392</v>
      </c>
      <c r="E11" s="1363"/>
      <c r="F11" s="211"/>
    </row>
    <row r="12" spans="1:6" s="41" customFormat="1" ht="18" customHeight="1">
      <c r="A12" s="204">
        <v>5</v>
      </c>
      <c r="B12" s="1361" t="s">
        <v>946</v>
      </c>
      <c r="C12" s="1362"/>
      <c r="D12" s="1362">
        <v>15072</v>
      </c>
      <c r="E12" s="1363"/>
      <c r="F12" s="211"/>
    </row>
    <row r="13" spans="1:6" s="41" customFormat="1" ht="18" customHeight="1">
      <c r="A13" s="204">
        <v>6</v>
      </c>
      <c r="B13" s="1361" t="s">
        <v>947</v>
      </c>
      <c r="C13" s="1362"/>
      <c r="D13" s="1362">
        <v>91122</v>
      </c>
      <c r="E13" s="1363"/>
      <c r="F13" s="211"/>
    </row>
    <row r="14" spans="1:6" s="41" customFormat="1" ht="18" customHeight="1">
      <c r="A14" s="204">
        <v>7</v>
      </c>
      <c r="B14" s="1361" t="s">
        <v>835</v>
      </c>
      <c r="C14" s="1362"/>
      <c r="D14" s="1362">
        <v>149167</v>
      </c>
      <c r="E14" s="1363"/>
      <c r="F14" s="211"/>
    </row>
    <row r="15" spans="1:6" s="41" customFormat="1" ht="18" customHeight="1">
      <c r="A15" s="204">
        <v>8</v>
      </c>
      <c r="B15" s="1361" t="s">
        <v>836</v>
      </c>
      <c r="C15" s="1362"/>
      <c r="D15" s="1362">
        <v>454</v>
      </c>
      <c r="E15" s="1363"/>
      <c r="F15" s="211"/>
    </row>
    <row r="16" spans="1:6" s="1360" customFormat="1" ht="22.5" customHeight="1">
      <c r="A16" s="204">
        <v>9</v>
      </c>
      <c r="B16" s="1364" t="s">
        <v>837</v>
      </c>
      <c r="C16" s="1365">
        <f>SUM(C17:C21)</f>
        <v>1125011</v>
      </c>
      <c r="D16" s="1365">
        <f>SUM(D17:D21)</f>
        <v>1198897</v>
      </c>
      <c r="E16" s="1357">
        <f aca="true" t="shared" si="0" ref="E16:E43">(D16/C16)</f>
        <v>1.0656758022810444</v>
      </c>
      <c r="F16" s="1358"/>
    </row>
    <row r="17" spans="1:6" s="41" customFormat="1" ht="18" customHeight="1">
      <c r="A17" s="204">
        <v>10</v>
      </c>
      <c r="B17" s="1361" t="s">
        <v>307</v>
      </c>
      <c r="C17" s="1362">
        <v>162239</v>
      </c>
      <c r="D17" s="1362">
        <v>151817</v>
      </c>
      <c r="E17" s="1363">
        <f t="shared" si="0"/>
        <v>0.9357614383717848</v>
      </c>
      <c r="F17" s="211"/>
    </row>
    <row r="18" spans="1:6" s="41" customFormat="1" ht="18" customHeight="1">
      <c r="A18" s="204">
        <v>11</v>
      </c>
      <c r="B18" s="1361" t="s">
        <v>838</v>
      </c>
      <c r="C18" s="1362">
        <v>650042</v>
      </c>
      <c r="D18" s="1362">
        <v>680610</v>
      </c>
      <c r="E18" s="1363">
        <f>(D18/C18)</f>
        <v>1.0470246537916013</v>
      </c>
      <c r="F18" s="211"/>
    </row>
    <row r="19" spans="1:6" s="41" customFormat="1" ht="31.5">
      <c r="A19" s="204">
        <v>12</v>
      </c>
      <c r="B19" s="1361" t="s">
        <v>839</v>
      </c>
      <c r="C19" s="1362">
        <v>30745</v>
      </c>
      <c r="D19" s="1362">
        <f>22032+11277+520+1820</f>
        <v>35649</v>
      </c>
      <c r="E19" s="1363">
        <f t="shared" si="0"/>
        <v>1.1595056106684014</v>
      </c>
      <c r="F19" s="211"/>
    </row>
    <row r="20" spans="1:6" s="41" customFormat="1" ht="18" customHeight="1">
      <c r="A20" s="204">
        <v>13</v>
      </c>
      <c r="B20" s="1361" t="s">
        <v>441</v>
      </c>
      <c r="C20" s="1362">
        <v>4870</v>
      </c>
      <c r="D20" s="1362">
        <v>4870</v>
      </c>
      <c r="E20" s="1363">
        <f t="shared" si="0"/>
        <v>1</v>
      </c>
      <c r="F20" s="211"/>
    </row>
    <row r="21" spans="1:6" s="41" customFormat="1" ht="31.5">
      <c r="A21" s="204">
        <v>14</v>
      </c>
      <c r="B21" s="1361" t="s">
        <v>840</v>
      </c>
      <c r="C21" s="1362">
        <v>277115</v>
      </c>
      <c r="D21" s="1362">
        <f>321090+4861</f>
        <v>325951</v>
      </c>
      <c r="E21" s="1363">
        <f>(D21/C21)</f>
        <v>1.176230084982769</v>
      </c>
      <c r="F21" s="211"/>
    </row>
    <row r="22" spans="1:6" s="1360" customFormat="1" ht="22.5" customHeight="1">
      <c r="A22" s="204">
        <v>15</v>
      </c>
      <c r="B22" s="1364" t="s">
        <v>841</v>
      </c>
      <c r="C22" s="1365">
        <f>SUM(C23:C33)</f>
        <v>978351</v>
      </c>
      <c r="D22" s="1365">
        <f>SUM(D23:D33)</f>
        <v>1080565</v>
      </c>
      <c r="E22" s="1357">
        <f t="shared" si="0"/>
        <v>1.1044757965188363</v>
      </c>
      <c r="F22" s="1358"/>
    </row>
    <row r="23" spans="1:6" s="41" customFormat="1" ht="18" customHeight="1">
      <c r="A23" s="204">
        <v>16</v>
      </c>
      <c r="B23" s="1361" t="s">
        <v>357</v>
      </c>
      <c r="C23" s="1362">
        <v>35020</v>
      </c>
      <c r="D23" s="1362">
        <v>45100</v>
      </c>
      <c r="E23" s="1363">
        <f t="shared" si="0"/>
        <v>1.287835522558538</v>
      </c>
      <c r="F23" s="211"/>
    </row>
    <row r="24" spans="1:6" s="41" customFormat="1" ht="18" customHeight="1">
      <c r="A24" s="204">
        <v>17</v>
      </c>
      <c r="B24" s="1361" t="s">
        <v>358</v>
      </c>
      <c r="C24" s="1362">
        <v>39270</v>
      </c>
      <c r="D24" s="1362">
        <v>42705</v>
      </c>
      <c r="E24" s="1363">
        <f t="shared" si="0"/>
        <v>1.0874713521772346</v>
      </c>
      <c r="F24" s="211"/>
    </row>
    <row r="25" spans="1:6" s="41" customFormat="1" ht="18" customHeight="1">
      <c r="A25" s="204">
        <v>18</v>
      </c>
      <c r="B25" s="1361" t="s">
        <v>308</v>
      </c>
      <c r="C25" s="1362">
        <v>49393</v>
      </c>
      <c r="D25" s="1362">
        <v>52046</v>
      </c>
      <c r="E25" s="1363">
        <f t="shared" si="0"/>
        <v>1.0537120644625757</v>
      </c>
      <c r="F25" s="211"/>
    </row>
    <row r="26" spans="1:6" s="41" customFormat="1" ht="18" customHeight="1">
      <c r="A26" s="204">
        <v>19</v>
      </c>
      <c r="B26" s="1361" t="s">
        <v>309</v>
      </c>
      <c r="C26" s="1362">
        <v>65687</v>
      </c>
      <c r="D26" s="1362">
        <f>25+76920</f>
        <v>76945</v>
      </c>
      <c r="E26" s="1363">
        <f t="shared" si="0"/>
        <v>1.1713885548129768</v>
      </c>
      <c r="F26" s="211"/>
    </row>
    <row r="27" spans="1:6" s="41" customFormat="1" ht="18" customHeight="1">
      <c r="A27" s="204">
        <v>20</v>
      </c>
      <c r="B27" s="1361" t="s">
        <v>310</v>
      </c>
      <c r="C27" s="1362">
        <v>39900</v>
      </c>
      <c r="D27" s="1362">
        <v>39711</v>
      </c>
      <c r="E27" s="1363">
        <f t="shared" si="0"/>
        <v>0.9952631578947368</v>
      </c>
      <c r="F27" s="211"/>
    </row>
    <row r="28" spans="1:6" s="41" customFormat="1" ht="18" customHeight="1">
      <c r="A28" s="204">
        <v>21</v>
      </c>
      <c r="B28" s="1361" t="s">
        <v>359</v>
      </c>
      <c r="C28" s="1362">
        <v>32245</v>
      </c>
      <c r="D28" s="1362">
        <f>30744+3514</f>
        <v>34258</v>
      </c>
      <c r="E28" s="1363">
        <f t="shared" si="0"/>
        <v>1.0624282834547991</v>
      </c>
      <c r="F28" s="211"/>
    </row>
    <row r="29" spans="1:6" s="41" customFormat="1" ht="18" customHeight="1">
      <c r="A29" s="204">
        <v>22</v>
      </c>
      <c r="B29" s="1361" t="s">
        <v>360</v>
      </c>
      <c r="C29" s="1362">
        <v>13780</v>
      </c>
      <c r="D29" s="1362">
        <v>15372</v>
      </c>
      <c r="E29" s="1363">
        <f t="shared" si="0"/>
        <v>1.1155297532656023</v>
      </c>
      <c r="F29" s="211"/>
    </row>
    <row r="30" spans="1:6" s="41" customFormat="1" ht="18" customHeight="1">
      <c r="A30" s="204">
        <v>23</v>
      </c>
      <c r="B30" s="1361" t="s">
        <v>442</v>
      </c>
      <c r="C30" s="1362">
        <v>54612</v>
      </c>
      <c r="D30" s="1362">
        <v>55088</v>
      </c>
      <c r="E30" s="1363">
        <f t="shared" si="0"/>
        <v>1.008716033106277</v>
      </c>
      <c r="F30" s="211"/>
    </row>
    <row r="31" spans="1:6" s="41" customFormat="1" ht="18" customHeight="1">
      <c r="A31" s="204">
        <v>24</v>
      </c>
      <c r="B31" s="1361" t="s">
        <v>842</v>
      </c>
      <c r="C31" s="1362">
        <v>456349</v>
      </c>
      <c r="D31" s="1362">
        <f>112200+260286+144439</f>
        <v>516925</v>
      </c>
      <c r="E31" s="1363">
        <f>(D31/C31)</f>
        <v>1.13274051219571</v>
      </c>
      <c r="F31" s="211"/>
    </row>
    <row r="32" spans="1:6" s="41" customFormat="1" ht="18" customHeight="1">
      <c r="A32" s="204">
        <v>25</v>
      </c>
      <c r="B32" s="1361" t="s">
        <v>843</v>
      </c>
      <c r="C32" s="1362">
        <v>19290</v>
      </c>
      <c r="D32" s="1362">
        <v>16936</v>
      </c>
      <c r="E32" s="1363">
        <f t="shared" si="0"/>
        <v>0.8779678589942975</v>
      </c>
      <c r="F32" s="211"/>
    </row>
    <row r="33" spans="1:6" s="41" customFormat="1" ht="18" customHeight="1">
      <c r="A33" s="204">
        <v>26</v>
      </c>
      <c r="B33" s="1361" t="s">
        <v>311</v>
      </c>
      <c r="C33" s="1362">
        <f>142747+30058</f>
        <v>172805</v>
      </c>
      <c r="D33" s="1362">
        <f>152425+33054</f>
        <v>185479</v>
      </c>
      <c r="E33" s="1363">
        <f t="shared" si="0"/>
        <v>1.073342785220335</v>
      </c>
      <c r="F33" s="211"/>
    </row>
    <row r="34" spans="1:6" s="1360" customFormat="1" ht="22.5" customHeight="1">
      <c r="A34" s="204">
        <v>27</v>
      </c>
      <c r="B34" s="1364" t="s">
        <v>844</v>
      </c>
      <c r="C34" s="1365">
        <f>SUM(C35:C36)</f>
        <v>501982</v>
      </c>
      <c r="D34" s="1365">
        <f>SUM(D35:D36)</f>
        <v>567989</v>
      </c>
      <c r="E34" s="1357">
        <f t="shared" si="0"/>
        <v>1.131492762688702</v>
      </c>
      <c r="F34" s="1358"/>
    </row>
    <row r="35" spans="1:6" s="41" customFormat="1" ht="18" customHeight="1">
      <c r="A35" s="204">
        <v>28</v>
      </c>
      <c r="B35" s="1361" t="s">
        <v>845</v>
      </c>
      <c r="C35" s="1362">
        <v>501906</v>
      </c>
      <c r="D35" s="1362">
        <f>243184+324805</f>
        <v>567989</v>
      </c>
      <c r="E35" s="1363">
        <f t="shared" si="0"/>
        <v>1.1316640964642781</v>
      </c>
      <c r="F35" s="211"/>
    </row>
    <row r="36" spans="1:6" s="41" customFormat="1" ht="18" customHeight="1">
      <c r="A36" s="204">
        <v>29</v>
      </c>
      <c r="B36" s="1361" t="s">
        <v>312</v>
      </c>
      <c r="C36" s="1362">
        <v>76</v>
      </c>
      <c r="D36" s="1362">
        <v>0</v>
      </c>
      <c r="E36" s="1363">
        <f>(D36/C36)</f>
        <v>0</v>
      </c>
      <c r="F36" s="211"/>
    </row>
    <row r="37" spans="1:6" s="1370" customFormat="1" ht="22.5" customHeight="1">
      <c r="A37" s="204">
        <v>30</v>
      </c>
      <c r="B37" s="1366" t="s">
        <v>846</v>
      </c>
      <c r="C37" s="1367">
        <f>SUM(C38:C42)</f>
        <v>461283</v>
      </c>
      <c r="D37" s="1367">
        <f>SUM(D38:D42)</f>
        <v>487700</v>
      </c>
      <c r="E37" s="1368">
        <f t="shared" si="0"/>
        <v>1.0572685314654995</v>
      </c>
      <c r="F37" s="1369"/>
    </row>
    <row r="38" spans="1:6" s="581" customFormat="1" ht="18" customHeight="1">
      <c r="A38" s="204">
        <v>31</v>
      </c>
      <c r="B38" s="1371" t="s">
        <v>313</v>
      </c>
      <c r="C38" s="1372">
        <v>120660</v>
      </c>
      <c r="D38" s="1372">
        <v>120660</v>
      </c>
      <c r="E38" s="1373">
        <f t="shared" si="0"/>
        <v>1</v>
      </c>
      <c r="F38" s="580"/>
    </row>
    <row r="39" spans="1:6" s="581" customFormat="1" ht="18" customHeight="1">
      <c r="A39" s="204">
        <v>32</v>
      </c>
      <c r="B39" s="1371" t="s">
        <v>314</v>
      </c>
      <c r="C39" s="1372">
        <v>140200</v>
      </c>
      <c r="D39" s="1372">
        <v>140200</v>
      </c>
      <c r="E39" s="1373">
        <f t="shared" si="0"/>
        <v>1</v>
      </c>
      <c r="F39" s="580"/>
    </row>
    <row r="40" spans="1:6" s="581" customFormat="1" ht="18" customHeight="1">
      <c r="A40" s="204">
        <v>33</v>
      </c>
      <c r="B40" s="1371" t="s">
        <v>315</v>
      </c>
      <c r="C40" s="1372">
        <v>25675</v>
      </c>
      <c r="D40" s="1372">
        <v>52485</v>
      </c>
      <c r="E40" s="1373">
        <f t="shared" si="0"/>
        <v>2.0442064264849074</v>
      </c>
      <c r="F40" s="580"/>
    </row>
    <row r="41" spans="1:6" s="581" customFormat="1" ht="18" customHeight="1">
      <c r="A41" s="204">
        <v>34</v>
      </c>
      <c r="B41" s="1371" t="s">
        <v>316</v>
      </c>
      <c r="C41" s="1372">
        <v>150648</v>
      </c>
      <c r="D41" s="1372">
        <v>150255</v>
      </c>
      <c r="E41" s="1373">
        <f t="shared" si="0"/>
        <v>0.9973912697148319</v>
      </c>
      <c r="F41" s="580"/>
    </row>
    <row r="42" spans="1:6" s="581" customFormat="1" ht="18" customHeight="1" thickBot="1">
      <c r="A42" s="204">
        <v>35</v>
      </c>
      <c r="B42" s="1371" t="s">
        <v>317</v>
      </c>
      <c r="C42" s="1372">
        <v>24100</v>
      </c>
      <c r="D42" s="1372">
        <v>24100</v>
      </c>
      <c r="E42" s="1373">
        <f t="shared" si="0"/>
        <v>1</v>
      </c>
      <c r="F42" s="580"/>
    </row>
    <row r="43" spans="1:6" s="215" customFormat="1" ht="36" customHeight="1" thickBot="1">
      <c r="A43" s="204">
        <v>36</v>
      </c>
      <c r="B43" s="212" t="s">
        <v>13</v>
      </c>
      <c r="C43" s="213">
        <f>SUM(C8,C16,C22,C34,C37)</f>
        <v>3066627</v>
      </c>
      <c r="D43" s="213">
        <f>SUM(D8,D16,D22,D34,D37)</f>
        <v>4544959</v>
      </c>
      <c r="E43" s="214">
        <f t="shared" si="0"/>
        <v>1.4820710180925167</v>
      </c>
      <c r="F43" s="210"/>
    </row>
  </sheetData>
  <sheetProtection/>
  <mergeCells count="9">
    <mergeCell ref="B6:B7"/>
    <mergeCell ref="C6:C7"/>
    <mergeCell ref="D6:D7"/>
    <mergeCell ref="B1:C1"/>
    <mergeCell ref="D1:E1"/>
    <mergeCell ref="B2:E2"/>
    <mergeCell ref="G2:L2"/>
    <mergeCell ref="B3:E3"/>
    <mergeCell ref="G3:L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5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view="pageBreakPreview" zoomScaleSheetLayoutView="100" zoomScalePageLayoutView="0" workbookViewId="0" topLeftCell="A7">
      <selection activeCell="J17" sqref="J17"/>
    </sheetView>
  </sheetViews>
  <sheetFormatPr defaultColWidth="3.00390625" defaultRowHeight="12.75"/>
  <cols>
    <col min="1" max="3" width="4.375" style="621" customWidth="1"/>
    <col min="4" max="4" width="60.75390625" style="627" customWidth="1"/>
    <col min="5" max="5" width="16.00390625" style="628" customWidth="1"/>
    <col min="6" max="252" width="8.00390625" style="625" customWidth="1"/>
    <col min="253" max="253" width="3.00390625" style="625" bestFit="1" customWidth="1"/>
    <col min="254" max="16384" width="3.00390625" style="41" customWidth="1"/>
  </cols>
  <sheetData>
    <row r="1" spans="2:254" ht="17.25">
      <c r="B1" s="1" t="s">
        <v>656</v>
      </c>
      <c r="D1" s="1"/>
      <c r="E1" s="622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3"/>
      <c r="AY1" s="623"/>
      <c r="AZ1" s="623"/>
      <c r="BA1" s="623"/>
      <c r="BB1" s="623"/>
      <c r="BC1" s="623"/>
      <c r="BD1" s="623"/>
      <c r="BE1" s="623"/>
      <c r="BF1" s="623"/>
      <c r="BG1" s="623"/>
      <c r="BH1" s="623"/>
      <c r="BI1" s="623"/>
      <c r="BJ1" s="623"/>
      <c r="BK1" s="623"/>
      <c r="BL1" s="623"/>
      <c r="BM1" s="623"/>
      <c r="BN1" s="623"/>
      <c r="BO1" s="623"/>
      <c r="BP1" s="623"/>
      <c r="BQ1" s="623"/>
      <c r="BR1" s="623"/>
      <c r="BS1" s="623"/>
      <c r="BT1" s="623"/>
      <c r="BU1" s="623"/>
      <c r="BV1" s="623"/>
      <c r="BW1" s="623"/>
      <c r="BX1" s="623"/>
      <c r="BY1" s="623"/>
      <c r="BZ1" s="623"/>
      <c r="CA1" s="623"/>
      <c r="CB1" s="623"/>
      <c r="CC1" s="623"/>
      <c r="CD1" s="623"/>
      <c r="CE1" s="623"/>
      <c r="CF1" s="623"/>
      <c r="CG1" s="623"/>
      <c r="CH1" s="623"/>
      <c r="CI1" s="623"/>
      <c r="CJ1" s="623"/>
      <c r="CK1" s="623"/>
      <c r="CL1" s="623"/>
      <c r="CM1" s="623"/>
      <c r="CN1" s="623"/>
      <c r="CO1" s="623"/>
      <c r="CP1" s="623"/>
      <c r="CQ1" s="623"/>
      <c r="CR1" s="623"/>
      <c r="CS1" s="623"/>
      <c r="CT1" s="623"/>
      <c r="CU1" s="623"/>
      <c r="CV1" s="623"/>
      <c r="CW1" s="623"/>
      <c r="CX1" s="623"/>
      <c r="CY1" s="623"/>
      <c r="CZ1" s="623"/>
      <c r="DA1" s="623"/>
      <c r="DB1" s="623"/>
      <c r="DC1" s="623"/>
      <c r="DD1" s="623"/>
      <c r="DE1" s="623"/>
      <c r="DF1" s="623"/>
      <c r="DG1" s="623"/>
      <c r="DH1" s="623"/>
      <c r="DI1" s="623"/>
      <c r="DJ1" s="623"/>
      <c r="DK1" s="623"/>
      <c r="DL1" s="623"/>
      <c r="DM1" s="623"/>
      <c r="DN1" s="623"/>
      <c r="DO1" s="623"/>
      <c r="DP1" s="623"/>
      <c r="DQ1" s="623"/>
      <c r="DR1" s="623"/>
      <c r="DS1" s="623"/>
      <c r="DT1" s="623"/>
      <c r="DU1" s="623"/>
      <c r="DV1" s="623"/>
      <c r="DW1" s="623"/>
      <c r="DX1" s="623"/>
      <c r="DY1" s="623"/>
      <c r="DZ1" s="623"/>
      <c r="EA1" s="623"/>
      <c r="EB1" s="623"/>
      <c r="EC1" s="623"/>
      <c r="ED1" s="623"/>
      <c r="EE1" s="623"/>
      <c r="EF1" s="623"/>
      <c r="EG1" s="623"/>
      <c r="EH1" s="623"/>
      <c r="EI1" s="623"/>
      <c r="EJ1" s="623"/>
      <c r="EK1" s="623"/>
      <c r="EL1" s="623"/>
      <c r="EM1" s="623"/>
      <c r="EN1" s="623"/>
      <c r="EO1" s="623"/>
      <c r="EP1" s="623"/>
      <c r="EQ1" s="623"/>
      <c r="ER1" s="623"/>
      <c r="ES1" s="623"/>
      <c r="ET1" s="623"/>
      <c r="EU1" s="623"/>
      <c r="EV1" s="623"/>
      <c r="EW1" s="623"/>
      <c r="EX1" s="623"/>
      <c r="EY1" s="623"/>
      <c r="EZ1" s="623"/>
      <c r="FA1" s="623"/>
      <c r="FB1" s="623"/>
      <c r="FC1" s="623"/>
      <c r="FD1" s="623"/>
      <c r="FE1" s="623"/>
      <c r="FF1" s="623"/>
      <c r="FG1" s="623"/>
      <c r="FH1" s="623"/>
      <c r="FI1" s="623"/>
      <c r="FJ1" s="623"/>
      <c r="FK1" s="623"/>
      <c r="FL1" s="623"/>
      <c r="FM1" s="623"/>
      <c r="FN1" s="623"/>
      <c r="FO1" s="623"/>
      <c r="FP1" s="623"/>
      <c r="FQ1" s="623"/>
      <c r="FR1" s="623"/>
      <c r="FS1" s="623"/>
      <c r="FT1" s="623"/>
      <c r="FU1" s="623"/>
      <c r="FV1" s="623"/>
      <c r="FW1" s="623"/>
      <c r="FX1" s="623"/>
      <c r="FY1" s="623"/>
      <c r="FZ1" s="623"/>
      <c r="GA1" s="623"/>
      <c r="GB1" s="623"/>
      <c r="GC1" s="623"/>
      <c r="GD1" s="623"/>
      <c r="GE1" s="623"/>
      <c r="GF1" s="623"/>
      <c r="GG1" s="623"/>
      <c r="GH1" s="623"/>
      <c r="GI1" s="623"/>
      <c r="GJ1" s="623"/>
      <c r="GK1" s="623"/>
      <c r="GL1" s="623"/>
      <c r="GM1" s="623"/>
      <c r="GN1" s="623"/>
      <c r="GO1" s="623"/>
      <c r="GP1" s="623"/>
      <c r="GQ1" s="623"/>
      <c r="GR1" s="623"/>
      <c r="GS1" s="623"/>
      <c r="GT1" s="623"/>
      <c r="GU1" s="623"/>
      <c r="GV1" s="623"/>
      <c r="GW1" s="623"/>
      <c r="GX1" s="623"/>
      <c r="GY1" s="623"/>
      <c r="GZ1" s="623"/>
      <c r="HA1" s="623"/>
      <c r="HB1" s="623"/>
      <c r="HC1" s="623"/>
      <c r="HD1" s="623"/>
      <c r="HE1" s="623"/>
      <c r="HF1" s="623"/>
      <c r="HG1" s="623"/>
      <c r="HH1" s="623"/>
      <c r="HI1" s="623"/>
      <c r="HJ1" s="623"/>
      <c r="HK1" s="623"/>
      <c r="HL1" s="623"/>
      <c r="HM1" s="623"/>
      <c r="HN1" s="623"/>
      <c r="HO1" s="623"/>
      <c r="HP1" s="623"/>
      <c r="HQ1" s="623"/>
      <c r="HR1" s="623"/>
      <c r="HS1" s="623"/>
      <c r="HT1" s="623"/>
      <c r="HU1" s="623"/>
      <c r="HV1" s="623"/>
      <c r="HW1" s="623"/>
      <c r="HX1" s="623"/>
      <c r="HY1" s="623"/>
      <c r="HZ1" s="623"/>
      <c r="IA1" s="623"/>
      <c r="IB1" s="623"/>
      <c r="IC1" s="623"/>
      <c r="ID1" s="623"/>
      <c r="IE1" s="623"/>
      <c r="IF1" s="623"/>
      <c r="IG1" s="623"/>
      <c r="IH1" s="623"/>
      <c r="II1" s="623"/>
      <c r="IJ1" s="623"/>
      <c r="IK1" s="623"/>
      <c r="IL1" s="623"/>
      <c r="IM1" s="623"/>
      <c r="IN1" s="623"/>
      <c r="IO1" s="623"/>
      <c r="IP1" s="623"/>
      <c r="IQ1" s="623"/>
      <c r="IR1" s="623"/>
      <c r="IS1" s="623"/>
      <c r="IT1" s="220"/>
    </row>
    <row r="2" spans="4:254" ht="17.25">
      <c r="D2" s="1381"/>
      <c r="E2" s="622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623"/>
      <c r="BC2" s="623"/>
      <c r="BD2" s="623"/>
      <c r="BE2" s="623"/>
      <c r="BF2" s="623"/>
      <c r="BG2" s="623"/>
      <c r="BH2" s="623"/>
      <c r="BI2" s="623"/>
      <c r="BJ2" s="623"/>
      <c r="BK2" s="623"/>
      <c r="BL2" s="623"/>
      <c r="BM2" s="623"/>
      <c r="BN2" s="623"/>
      <c r="BO2" s="623"/>
      <c r="BP2" s="623"/>
      <c r="BQ2" s="623"/>
      <c r="BR2" s="623"/>
      <c r="BS2" s="623"/>
      <c r="BT2" s="623"/>
      <c r="BU2" s="623"/>
      <c r="BV2" s="623"/>
      <c r="BW2" s="623"/>
      <c r="BX2" s="623"/>
      <c r="BY2" s="623"/>
      <c r="BZ2" s="623"/>
      <c r="CA2" s="623"/>
      <c r="CB2" s="623"/>
      <c r="CC2" s="623"/>
      <c r="CD2" s="623"/>
      <c r="CE2" s="623"/>
      <c r="CF2" s="623"/>
      <c r="CG2" s="623"/>
      <c r="CH2" s="623"/>
      <c r="CI2" s="623"/>
      <c r="CJ2" s="623"/>
      <c r="CK2" s="623"/>
      <c r="CL2" s="623"/>
      <c r="CM2" s="623"/>
      <c r="CN2" s="623"/>
      <c r="CO2" s="623"/>
      <c r="CP2" s="623"/>
      <c r="CQ2" s="623"/>
      <c r="CR2" s="623"/>
      <c r="CS2" s="623"/>
      <c r="CT2" s="623"/>
      <c r="CU2" s="623"/>
      <c r="CV2" s="623"/>
      <c r="CW2" s="623"/>
      <c r="CX2" s="623"/>
      <c r="CY2" s="623"/>
      <c r="CZ2" s="623"/>
      <c r="DA2" s="623"/>
      <c r="DB2" s="623"/>
      <c r="DC2" s="623"/>
      <c r="DD2" s="623"/>
      <c r="DE2" s="623"/>
      <c r="DF2" s="623"/>
      <c r="DG2" s="623"/>
      <c r="DH2" s="623"/>
      <c r="DI2" s="623"/>
      <c r="DJ2" s="623"/>
      <c r="DK2" s="623"/>
      <c r="DL2" s="623"/>
      <c r="DM2" s="623"/>
      <c r="DN2" s="623"/>
      <c r="DO2" s="623"/>
      <c r="DP2" s="623"/>
      <c r="DQ2" s="623"/>
      <c r="DR2" s="623"/>
      <c r="DS2" s="623"/>
      <c r="DT2" s="623"/>
      <c r="DU2" s="623"/>
      <c r="DV2" s="623"/>
      <c r="DW2" s="623"/>
      <c r="DX2" s="623"/>
      <c r="DY2" s="623"/>
      <c r="DZ2" s="623"/>
      <c r="EA2" s="623"/>
      <c r="EB2" s="623"/>
      <c r="EC2" s="623"/>
      <c r="ED2" s="623"/>
      <c r="EE2" s="623"/>
      <c r="EF2" s="623"/>
      <c r="EG2" s="623"/>
      <c r="EH2" s="623"/>
      <c r="EI2" s="623"/>
      <c r="EJ2" s="623"/>
      <c r="EK2" s="623"/>
      <c r="EL2" s="623"/>
      <c r="EM2" s="623"/>
      <c r="EN2" s="623"/>
      <c r="EO2" s="623"/>
      <c r="EP2" s="623"/>
      <c r="EQ2" s="623"/>
      <c r="ER2" s="623"/>
      <c r="ES2" s="623"/>
      <c r="ET2" s="623"/>
      <c r="EU2" s="623"/>
      <c r="EV2" s="623"/>
      <c r="EW2" s="623"/>
      <c r="EX2" s="623"/>
      <c r="EY2" s="623"/>
      <c r="EZ2" s="623"/>
      <c r="FA2" s="623"/>
      <c r="FB2" s="623"/>
      <c r="FC2" s="623"/>
      <c r="FD2" s="623"/>
      <c r="FE2" s="623"/>
      <c r="FF2" s="623"/>
      <c r="FG2" s="623"/>
      <c r="FH2" s="623"/>
      <c r="FI2" s="623"/>
      <c r="FJ2" s="623"/>
      <c r="FK2" s="623"/>
      <c r="FL2" s="623"/>
      <c r="FM2" s="623"/>
      <c r="FN2" s="623"/>
      <c r="FO2" s="623"/>
      <c r="FP2" s="623"/>
      <c r="FQ2" s="623"/>
      <c r="FR2" s="623"/>
      <c r="FS2" s="623"/>
      <c r="FT2" s="623"/>
      <c r="FU2" s="623"/>
      <c r="FV2" s="623"/>
      <c r="FW2" s="623"/>
      <c r="FX2" s="623"/>
      <c r="FY2" s="623"/>
      <c r="FZ2" s="623"/>
      <c r="GA2" s="623"/>
      <c r="GB2" s="623"/>
      <c r="GC2" s="623"/>
      <c r="GD2" s="623"/>
      <c r="GE2" s="623"/>
      <c r="GF2" s="623"/>
      <c r="GG2" s="623"/>
      <c r="GH2" s="623"/>
      <c r="GI2" s="623"/>
      <c r="GJ2" s="623"/>
      <c r="GK2" s="623"/>
      <c r="GL2" s="623"/>
      <c r="GM2" s="623"/>
      <c r="GN2" s="623"/>
      <c r="GO2" s="623"/>
      <c r="GP2" s="623"/>
      <c r="GQ2" s="623"/>
      <c r="GR2" s="623"/>
      <c r="GS2" s="623"/>
      <c r="GT2" s="623"/>
      <c r="GU2" s="623"/>
      <c r="GV2" s="623"/>
      <c r="GW2" s="623"/>
      <c r="GX2" s="623"/>
      <c r="GY2" s="623"/>
      <c r="GZ2" s="623"/>
      <c r="HA2" s="623"/>
      <c r="HB2" s="623"/>
      <c r="HC2" s="623"/>
      <c r="HD2" s="623"/>
      <c r="HE2" s="623"/>
      <c r="HF2" s="623"/>
      <c r="HG2" s="623"/>
      <c r="HH2" s="623"/>
      <c r="HI2" s="623"/>
      <c r="HJ2" s="623"/>
      <c r="HK2" s="623"/>
      <c r="HL2" s="623"/>
      <c r="HM2" s="623"/>
      <c r="HN2" s="623"/>
      <c r="HO2" s="623"/>
      <c r="HP2" s="623"/>
      <c r="HQ2" s="623"/>
      <c r="HR2" s="623"/>
      <c r="HS2" s="623"/>
      <c r="HT2" s="623"/>
      <c r="HU2" s="623"/>
      <c r="HV2" s="623"/>
      <c r="HW2" s="623"/>
      <c r="HX2" s="623"/>
      <c r="HY2" s="623"/>
      <c r="HZ2" s="623"/>
      <c r="IA2" s="623"/>
      <c r="IB2" s="623"/>
      <c r="IC2" s="623"/>
      <c r="ID2" s="623"/>
      <c r="IE2" s="623"/>
      <c r="IF2" s="623"/>
      <c r="IG2" s="623"/>
      <c r="IH2" s="623"/>
      <c r="II2" s="623"/>
      <c r="IJ2" s="623"/>
      <c r="IK2" s="623"/>
      <c r="IL2" s="623"/>
      <c r="IM2" s="623"/>
      <c r="IN2" s="623"/>
      <c r="IO2" s="623"/>
      <c r="IP2" s="623"/>
      <c r="IQ2" s="623"/>
      <c r="IR2" s="623"/>
      <c r="IS2" s="623"/>
      <c r="IT2" s="220"/>
    </row>
    <row r="3" spans="1:254" ht="17.25">
      <c r="A3" s="1904" t="s">
        <v>862</v>
      </c>
      <c r="B3" s="1904"/>
      <c r="C3" s="1904"/>
      <c r="D3" s="1904"/>
      <c r="E3" s="190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624"/>
      <c r="CA3" s="624"/>
      <c r="CB3" s="624"/>
      <c r="CC3" s="624"/>
      <c r="CD3" s="624"/>
      <c r="CE3" s="624"/>
      <c r="CF3" s="624"/>
      <c r="CG3" s="624"/>
      <c r="CH3" s="624"/>
      <c r="CI3" s="624"/>
      <c r="CJ3" s="624"/>
      <c r="CK3" s="624"/>
      <c r="CL3" s="624"/>
      <c r="CM3" s="624"/>
      <c r="CN3" s="624"/>
      <c r="CO3" s="624"/>
      <c r="CP3" s="624"/>
      <c r="CQ3" s="624"/>
      <c r="CR3" s="624"/>
      <c r="CS3" s="624"/>
      <c r="CT3" s="624"/>
      <c r="CU3" s="624"/>
      <c r="CV3" s="624"/>
      <c r="CW3" s="624"/>
      <c r="CX3" s="624"/>
      <c r="CY3" s="624"/>
      <c r="CZ3" s="624"/>
      <c r="DA3" s="624"/>
      <c r="DB3" s="624"/>
      <c r="DC3" s="624"/>
      <c r="DD3" s="624"/>
      <c r="DE3" s="624"/>
      <c r="DF3" s="624"/>
      <c r="DG3" s="624"/>
      <c r="DH3" s="624"/>
      <c r="DI3" s="624"/>
      <c r="DJ3" s="624"/>
      <c r="DK3" s="624"/>
      <c r="DL3" s="624"/>
      <c r="DM3" s="624"/>
      <c r="DN3" s="624"/>
      <c r="DO3" s="624"/>
      <c r="DP3" s="624"/>
      <c r="DQ3" s="624"/>
      <c r="DR3" s="624"/>
      <c r="DS3" s="624"/>
      <c r="DT3" s="624"/>
      <c r="DU3" s="624"/>
      <c r="DV3" s="624"/>
      <c r="DW3" s="624"/>
      <c r="DX3" s="624"/>
      <c r="DY3" s="624"/>
      <c r="DZ3" s="624"/>
      <c r="EA3" s="624"/>
      <c r="EB3" s="624"/>
      <c r="EC3" s="624"/>
      <c r="ED3" s="624"/>
      <c r="EE3" s="624"/>
      <c r="EF3" s="624"/>
      <c r="EG3" s="624"/>
      <c r="EH3" s="624"/>
      <c r="EI3" s="624"/>
      <c r="EJ3" s="624"/>
      <c r="EK3" s="624"/>
      <c r="EL3" s="624"/>
      <c r="EM3" s="624"/>
      <c r="EN3" s="624"/>
      <c r="EO3" s="624"/>
      <c r="EP3" s="624"/>
      <c r="EQ3" s="624"/>
      <c r="ER3" s="624"/>
      <c r="ES3" s="624"/>
      <c r="ET3" s="624"/>
      <c r="EU3" s="624"/>
      <c r="EV3" s="624"/>
      <c r="EW3" s="624"/>
      <c r="EX3" s="624"/>
      <c r="EY3" s="624"/>
      <c r="EZ3" s="624"/>
      <c r="FA3" s="624"/>
      <c r="FB3" s="624"/>
      <c r="FC3" s="624"/>
      <c r="FD3" s="624"/>
      <c r="FE3" s="624"/>
      <c r="FF3" s="624"/>
      <c r="FG3" s="624"/>
      <c r="FH3" s="624"/>
      <c r="FI3" s="624"/>
      <c r="FJ3" s="624"/>
      <c r="FK3" s="624"/>
      <c r="FL3" s="624"/>
      <c r="FM3" s="624"/>
      <c r="FN3" s="624"/>
      <c r="FO3" s="624"/>
      <c r="FP3" s="624"/>
      <c r="FQ3" s="624"/>
      <c r="FR3" s="624"/>
      <c r="FS3" s="624"/>
      <c r="FT3" s="624"/>
      <c r="FU3" s="624"/>
      <c r="FV3" s="624"/>
      <c r="FW3" s="624"/>
      <c r="FX3" s="624"/>
      <c r="FY3" s="624"/>
      <c r="FZ3" s="624"/>
      <c r="GA3" s="624"/>
      <c r="GB3" s="624"/>
      <c r="GC3" s="624"/>
      <c r="GD3" s="624"/>
      <c r="GE3" s="624"/>
      <c r="GF3" s="624"/>
      <c r="GG3" s="624"/>
      <c r="GH3" s="624"/>
      <c r="GI3" s="624"/>
      <c r="GJ3" s="624"/>
      <c r="GK3" s="624"/>
      <c r="GL3" s="624"/>
      <c r="GM3" s="624"/>
      <c r="GN3" s="624"/>
      <c r="GO3" s="624"/>
      <c r="GP3" s="624"/>
      <c r="GQ3" s="624"/>
      <c r="GR3" s="624"/>
      <c r="GS3" s="624"/>
      <c r="GT3" s="624"/>
      <c r="GU3" s="624"/>
      <c r="GV3" s="624"/>
      <c r="GW3" s="624"/>
      <c r="GX3" s="624"/>
      <c r="GY3" s="624"/>
      <c r="GZ3" s="624"/>
      <c r="HA3" s="624"/>
      <c r="HB3" s="624"/>
      <c r="HC3" s="624"/>
      <c r="HD3" s="624"/>
      <c r="HE3" s="624"/>
      <c r="HF3" s="624"/>
      <c r="HG3" s="624"/>
      <c r="HH3" s="624"/>
      <c r="HI3" s="624"/>
      <c r="HJ3" s="624"/>
      <c r="HK3" s="624"/>
      <c r="HL3" s="624"/>
      <c r="HM3" s="624"/>
      <c r="HN3" s="624"/>
      <c r="HO3" s="624"/>
      <c r="HP3" s="624"/>
      <c r="HQ3" s="624"/>
      <c r="HR3" s="624"/>
      <c r="HS3" s="624"/>
      <c r="HT3" s="624"/>
      <c r="HU3" s="624"/>
      <c r="HV3" s="624"/>
      <c r="HW3" s="624"/>
      <c r="HX3" s="624"/>
      <c r="HY3" s="624"/>
      <c r="HZ3" s="624"/>
      <c r="IA3" s="624"/>
      <c r="IB3" s="624"/>
      <c r="IC3" s="624"/>
      <c r="ID3" s="624"/>
      <c r="IE3" s="624"/>
      <c r="IF3" s="624"/>
      <c r="IG3" s="624"/>
      <c r="IH3" s="624"/>
      <c r="II3" s="624"/>
      <c r="IJ3" s="624"/>
      <c r="IK3" s="624"/>
      <c r="IL3" s="624"/>
      <c r="IM3" s="624"/>
      <c r="IN3" s="624"/>
      <c r="IO3" s="624"/>
      <c r="IP3" s="624"/>
      <c r="IQ3" s="624"/>
      <c r="IR3" s="624"/>
      <c r="IS3" s="624"/>
      <c r="IT3" s="44"/>
    </row>
    <row r="4" spans="1:5" ht="17.25">
      <c r="A4" s="1905" t="s">
        <v>629</v>
      </c>
      <c r="B4" s="1905"/>
      <c r="C4" s="1905"/>
      <c r="D4" s="1905"/>
      <c r="E4" s="1905"/>
    </row>
    <row r="5" spans="4:5" ht="17.25">
      <c r="D5" s="1383"/>
      <c r="E5" s="1383"/>
    </row>
    <row r="6" spans="1:5" ht="40.5" customHeight="1">
      <c r="A6" s="1920" t="s">
        <v>477</v>
      </c>
      <c r="B6" s="1920"/>
      <c r="C6" s="1920"/>
      <c r="D6" s="1920"/>
      <c r="E6" s="1920"/>
    </row>
    <row r="7" spans="4:5" ht="17.25" customHeight="1">
      <c r="D7" s="1384"/>
      <c r="E7" s="1384"/>
    </row>
    <row r="8" spans="4:5" ht="17.25">
      <c r="D8" s="1384"/>
      <c r="E8" s="668" t="s">
        <v>0</v>
      </c>
    </row>
    <row r="9" spans="4:254" ht="17.25" thickBot="1">
      <c r="D9" s="639" t="s">
        <v>1</v>
      </c>
      <c r="E9" s="630" t="s">
        <v>3</v>
      </c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39"/>
      <c r="BD9" s="639"/>
      <c r="BE9" s="639"/>
      <c r="BF9" s="639"/>
      <c r="BG9" s="639"/>
      <c r="BH9" s="639"/>
      <c r="BI9" s="639"/>
      <c r="BJ9" s="639"/>
      <c r="BK9" s="639"/>
      <c r="BL9" s="639"/>
      <c r="BM9" s="639"/>
      <c r="BN9" s="639"/>
      <c r="BO9" s="639"/>
      <c r="BP9" s="639"/>
      <c r="BQ9" s="639"/>
      <c r="BR9" s="639"/>
      <c r="BS9" s="639"/>
      <c r="BT9" s="639"/>
      <c r="BU9" s="639"/>
      <c r="BV9" s="639"/>
      <c r="BW9" s="639"/>
      <c r="BX9" s="639"/>
      <c r="BY9" s="639"/>
      <c r="BZ9" s="639"/>
      <c r="CA9" s="639"/>
      <c r="CB9" s="639"/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39"/>
      <c r="CN9" s="639"/>
      <c r="CO9" s="639"/>
      <c r="CP9" s="639"/>
      <c r="CQ9" s="639"/>
      <c r="CR9" s="639"/>
      <c r="CS9" s="639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39"/>
      <c r="DE9" s="639"/>
      <c r="DF9" s="639"/>
      <c r="DG9" s="639"/>
      <c r="DH9" s="639"/>
      <c r="DI9" s="639"/>
      <c r="DJ9" s="639"/>
      <c r="DK9" s="639"/>
      <c r="DL9" s="639"/>
      <c r="DM9" s="639"/>
      <c r="DN9" s="639"/>
      <c r="DO9" s="639"/>
      <c r="DP9" s="639"/>
      <c r="DQ9" s="639"/>
      <c r="DR9" s="639"/>
      <c r="DS9" s="639"/>
      <c r="DT9" s="639"/>
      <c r="DU9" s="639"/>
      <c r="DV9" s="639"/>
      <c r="DW9" s="639"/>
      <c r="DX9" s="639"/>
      <c r="DY9" s="639"/>
      <c r="DZ9" s="639"/>
      <c r="EA9" s="639"/>
      <c r="EB9" s="639"/>
      <c r="EC9" s="639"/>
      <c r="ED9" s="639"/>
      <c r="EE9" s="639"/>
      <c r="EF9" s="639"/>
      <c r="EG9" s="639"/>
      <c r="EH9" s="639"/>
      <c r="EI9" s="639"/>
      <c r="EJ9" s="639"/>
      <c r="EK9" s="639"/>
      <c r="EL9" s="639"/>
      <c r="EM9" s="639"/>
      <c r="EN9" s="639"/>
      <c r="EO9" s="639"/>
      <c r="EP9" s="639"/>
      <c r="EQ9" s="639"/>
      <c r="ER9" s="639"/>
      <c r="ES9" s="639"/>
      <c r="ET9" s="639"/>
      <c r="EU9" s="639"/>
      <c r="EV9" s="639"/>
      <c r="EW9" s="639"/>
      <c r="EX9" s="639"/>
      <c r="EY9" s="639"/>
      <c r="EZ9" s="639"/>
      <c r="FA9" s="639"/>
      <c r="FB9" s="639"/>
      <c r="FC9" s="639"/>
      <c r="FD9" s="639"/>
      <c r="FE9" s="639"/>
      <c r="FF9" s="639"/>
      <c r="FG9" s="639"/>
      <c r="FH9" s="639"/>
      <c r="FI9" s="639"/>
      <c r="FJ9" s="639"/>
      <c r="FK9" s="639"/>
      <c r="FL9" s="639"/>
      <c r="FM9" s="639"/>
      <c r="FN9" s="639"/>
      <c r="FO9" s="639"/>
      <c r="FP9" s="639"/>
      <c r="FQ9" s="639"/>
      <c r="FR9" s="639"/>
      <c r="FS9" s="639"/>
      <c r="FT9" s="639"/>
      <c r="FU9" s="639"/>
      <c r="FV9" s="639"/>
      <c r="FW9" s="639"/>
      <c r="FX9" s="639"/>
      <c r="FY9" s="639"/>
      <c r="FZ9" s="639"/>
      <c r="GA9" s="639"/>
      <c r="GB9" s="639"/>
      <c r="GC9" s="639"/>
      <c r="GD9" s="639"/>
      <c r="GE9" s="639"/>
      <c r="GF9" s="639"/>
      <c r="GG9" s="639"/>
      <c r="GH9" s="639"/>
      <c r="GI9" s="639"/>
      <c r="GJ9" s="639"/>
      <c r="GK9" s="639"/>
      <c r="GL9" s="639"/>
      <c r="GM9" s="639"/>
      <c r="GN9" s="639"/>
      <c r="GO9" s="639"/>
      <c r="GP9" s="639"/>
      <c r="GQ9" s="639"/>
      <c r="GR9" s="639"/>
      <c r="GS9" s="639"/>
      <c r="GT9" s="639"/>
      <c r="GU9" s="639"/>
      <c r="GV9" s="639"/>
      <c r="GW9" s="639"/>
      <c r="GX9" s="639"/>
      <c r="GY9" s="639"/>
      <c r="GZ9" s="639"/>
      <c r="HA9" s="639"/>
      <c r="HB9" s="639"/>
      <c r="HC9" s="639"/>
      <c r="HD9" s="639"/>
      <c r="HE9" s="639"/>
      <c r="HF9" s="639"/>
      <c r="HG9" s="639"/>
      <c r="HH9" s="639"/>
      <c r="HI9" s="639"/>
      <c r="HJ9" s="639"/>
      <c r="HK9" s="639"/>
      <c r="HL9" s="639"/>
      <c r="HM9" s="639"/>
      <c r="HN9" s="639"/>
      <c r="HO9" s="639"/>
      <c r="HP9" s="639"/>
      <c r="HQ9" s="639"/>
      <c r="HR9" s="639"/>
      <c r="HS9" s="639"/>
      <c r="HT9" s="639"/>
      <c r="HU9" s="639"/>
      <c r="HV9" s="639"/>
      <c r="HW9" s="639"/>
      <c r="HX9" s="639"/>
      <c r="HY9" s="639"/>
      <c r="HZ9" s="639"/>
      <c r="IA9" s="639"/>
      <c r="IB9" s="639"/>
      <c r="IC9" s="639"/>
      <c r="ID9" s="639"/>
      <c r="IE9" s="639"/>
      <c r="IF9" s="639"/>
      <c r="IG9" s="639"/>
      <c r="IH9" s="639"/>
      <c r="II9" s="639"/>
      <c r="IJ9" s="639"/>
      <c r="IK9" s="639"/>
      <c r="IL9" s="639"/>
      <c r="IM9" s="639"/>
      <c r="IN9" s="639"/>
      <c r="IO9" s="639"/>
      <c r="IP9" s="639"/>
      <c r="IQ9" s="639"/>
      <c r="IR9" s="639"/>
      <c r="IS9" s="639"/>
      <c r="IT9" s="44"/>
    </row>
    <row r="10" spans="1:5" ht="35.25" thickBot="1">
      <c r="A10" s="626">
        <v>1</v>
      </c>
      <c r="B10" s="1912" t="s">
        <v>595</v>
      </c>
      <c r="C10" s="1913"/>
      <c r="D10" s="1914"/>
      <c r="E10" s="1402" t="s">
        <v>863</v>
      </c>
    </row>
    <row r="11" spans="1:254" ht="36.75" customHeight="1">
      <c r="A11" s="1895">
        <v>2</v>
      </c>
      <c r="B11" s="1915">
        <v>1</v>
      </c>
      <c r="C11" s="1917" t="s">
        <v>864</v>
      </c>
      <c r="D11" s="1918"/>
      <c r="E11" s="1919">
        <v>21891</v>
      </c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624"/>
      <c r="AW11" s="624"/>
      <c r="AX11" s="624"/>
      <c r="AY11" s="624"/>
      <c r="AZ11" s="624"/>
      <c r="BA11" s="624"/>
      <c r="BB11" s="624"/>
      <c r="BC11" s="624"/>
      <c r="BD11" s="624"/>
      <c r="BE11" s="624"/>
      <c r="BF11" s="624"/>
      <c r="BG11" s="62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4"/>
      <c r="BR11" s="624"/>
      <c r="BS11" s="624"/>
      <c r="BT11" s="624"/>
      <c r="BU11" s="624"/>
      <c r="BV11" s="624"/>
      <c r="BW11" s="624"/>
      <c r="BX11" s="624"/>
      <c r="BY11" s="624"/>
      <c r="BZ11" s="624"/>
      <c r="CA11" s="624"/>
      <c r="CB11" s="624"/>
      <c r="CC11" s="624"/>
      <c r="CD11" s="624"/>
      <c r="CE11" s="624"/>
      <c r="CF11" s="624"/>
      <c r="CG11" s="624"/>
      <c r="CH11" s="624"/>
      <c r="CI11" s="624"/>
      <c r="CJ11" s="624"/>
      <c r="CK11" s="624"/>
      <c r="CL11" s="624"/>
      <c r="CM11" s="624"/>
      <c r="CN11" s="624"/>
      <c r="CO11" s="624"/>
      <c r="CP11" s="624"/>
      <c r="CQ11" s="624"/>
      <c r="CR11" s="624"/>
      <c r="CS11" s="624"/>
      <c r="CT11" s="624"/>
      <c r="CU11" s="624"/>
      <c r="CV11" s="624"/>
      <c r="CW11" s="624"/>
      <c r="CX11" s="624"/>
      <c r="CY11" s="624"/>
      <c r="CZ11" s="624"/>
      <c r="DA11" s="624"/>
      <c r="DB11" s="624"/>
      <c r="DC11" s="624"/>
      <c r="DD11" s="624"/>
      <c r="DE11" s="624"/>
      <c r="DF11" s="624"/>
      <c r="DG11" s="624"/>
      <c r="DH11" s="624"/>
      <c r="DI11" s="624"/>
      <c r="DJ11" s="624"/>
      <c r="DK11" s="624"/>
      <c r="DL11" s="624"/>
      <c r="DM11" s="624"/>
      <c r="DN11" s="624"/>
      <c r="DO11" s="624"/>
      <c r="DP11" s="624"/>
      <c r="DQ11" s="624"/>
      <c r="DR11" s="624"/>
      <c r="DS11" s="624"/>
      <c r="DT11" s="624"/>
      <c r="DU11" s="624"/>
      <c r="DV11" s="624"/>
      <c r="DW11" s="624"/>
      <c r="DX11" s="624"/>
      <c r="DY11" s="624"/>
      <c r="DZ11" s="624"/>
      <c r="EA11" s="624"/>
      <c r="EB11" s="624"/>
      <c r="EC11" s="624"/>
      <c r="ED11" s="624"/>
      <c r="EE11" s="624"/>
      <c r="EF11" s="624"/>
      <c r="EG11" s="624"/>
      <c r="EH11" s="624"/>
      <c r="EI11" s="624"/>
      <c r="EJ11" s="624"/>
      <c r="EK11" s="624"/>
      <c r="EL11" s="624"/>
      <c r="EM11" s="624"/>
      <c r="EN11" s="624"/>
      <c r="EO11" s="624"/>
      <c r="EP11" s="624"/>
      <c r="EQ11" s="624"/>
      <c r="ER11" s="624"/>
      <c r="ES11" s="624"/>
      <c r="ET11" s="624"/>
      <c r="EU11" s="624"/>
      <c r="EV11" s="624"/>
      <c r="EW11" s="624"/>
      <c r="EX11" s="624"/>
      <c r="EY11" s="624"/>
      <c r="EZ11" s="624"/>
      <c r="FA11" s="624"/>
      <c r="FB11" s="624"/>
      <c r="FC11" s="624"/>
      <c r="FD11" s="624"/>
      <c r="FE11" s="624"/>
      <c r="FF11" s="624"/>
      <c r="FG11" s="624"/>
      <c r="FH11" s="624"/>
      <c r="FI11" s="624"/>
      <c r="FJ11" s="624"/>
      <c r="FK11" s="624"/>
      <c r="FL11" s="624"/>
      <c r="FM11" s="624"/>
      <c r="FN11" s="624"/>
      <c r="FO11" s="624"/>
      <c r="FP11" s="624"/>
      <c r="FQ11" s="624"/>
      <c r="FR11" s="624"/>
      <c r="FS11" s="624"/>
      <c r="FT11" s="624"/>
      <c r="FU11" s="624"/>
      <c r="FV11" s="624"/>
      <c r="FW11" s="624"/>
      <c r="FX11" s="624"/>
      <c r="FY11" s="624"/>
      <c r="FZ11" s="624"/>
      <c r="GA11" s="624"/>
      <c r="GB11" s="624"/>
      <c r="GC11" s="624"/>
      <c r="GD11" s="624"/>
      <c r="GE11" s="624"/>
      <c r="GF11" s="624"/>
      <c r="GG11" s="624"/>
      <c r="GH11" s="624"/>
      <c r="GI11" s="624"/>
      <c r="GJ11" s="624"/>
      <c r="GK11" s="624"/>
      <c r="GL11" s="624"/>
      <c r="GM11" s="624"/>
      <c r="GN11" s="624"/>
      <c r="GO11" s="624"/>
      <c r="GP11" s="624"/>
      <c r="GQ11" s="624"/>
      <c r="GR11" s="624"/>
      <c r="GS11" s="624"/>
      <c r="GT11" s="624"/>
      <c r="GU11" s="624"/>
      <c r="GV11" s="624"/>
      <c r="GW11" s="624"/>
      <c r="GX11" s="624"/>
      <c r="GY11" s="624"/>
      <c r="GZ11" s="624"/>
      <c r="HA11" s="624"/>
      <c r="HB11" s="624"/>
      <c r="HC11" s="624"/>
      <c r="HD11" s="624"/>
      <c r="HE11" s="624"/>
      <c r="HF11" s="624"/>
      <c r="HG11" s="624"/>
      <c r="HH11" s="624"/>
      <c r="HI11" s="624"/>
      <c r="HJ11" s="624"/>
      <c r="HK11" s="624"/>
      <c r="HL11" s="624"/>
      <c r="HM11" s="624"/>
      <c r="HN11" s="624"/>
      <c r="HO11" s="624"/>
      <c r="HP11" s="624"/>
      <c r="HQ11" s="624"/>
      <c r="HR11" s="624"/>
      <c r="HS11" s="624"/>
      <c r="HT11" s="624"/>
      <c r="HU11" s="624"/>
      <c r="HV11" s="624"/>
      <c r="HW11" s="624"/>
      <c r="HX11" s="624"/>
      <c r="HY11" s="624"/>
      <c r="HZ11" s="624"/>
      <c r="IA11" s="624"/>
      <c r="IB11" s="624"/>
      <c r="IC11" s="624"/>
      <c r="ID11" s="624"/>
      <c r="IE11" s="624"/>
      <c r="IF11" s="624"/>
      <c r="IG11" s="624"/>
      <c r="IH11" s="624"/>
      <c r="II11" s="624"/>
      <c r="IJ11" s="624"/>
      <c r="IK11" s="624"/>
      <c r="IL11" s="624"/>
      <c r="IM11" s="624"/>
      <c r="IN11" s="624"/>
      <c r="IO11" s="624"/>
      <c r="IP11" s="624"/>
      <c r="IQ11" s="624"/>
      <c r="IR11" s="624"/>
      <c r="IS11" s="624"/>
      <c r="IT11" s="44"/>
    </row>
    <row r="12" spans="1:254" ht="36.75" customHeight="1">
      <c r="A12" s="1895"/>
      <c r="B12" s="1916"/>
      <c r="C12" s="1403"/>
      <c r="D12" s="1404" t="s">
        <v>564</v>
      </c>
      <c r="E12" s="1907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4"/>
      <c r="BF12" s="624"/>
      <c r="BG12" s="624"/>
      <c r="BH12" s="624"/>
      <c r="BI12" s="624"/>
      <c r="BJ12" s="624"/>
      <c r="BK12" s="624"/>
      <c r="BL12" s="624"/>
      <c r="BM12" s="624"/>
      <c r="BN12" s="624"/>
      <c r="BO12" s="624"/>
      <c r="BP12" s="624"/>
      <c r="BQ12" s="624"/>
      <c r="BR12" s="624"/>
      <c r="BS12" s="624"/>
      <c r="BT12" s="624"/>
      <c r="BU12" s="624"/>
      <c r="BV12" s="624"/>
      <c r="BW12" s="624"/>
      <c r="BX12" s="624"/>
      <c r="BY12" s="624"/>
      <c r="BZ12" s="624"/>
      <c r="CA12" s="624"/>
      <c r="CB12" s="624"/>
      <c r="CC12" s="624"/>
      <c r="CD12" s="624"/>
      <c r="CE12" s="624"/>
      <c r="CF12" s="624"/>
      <c r="CG12" s="624"/>
      <c r="CH12" s="624"/>
      <c r="CI12" s="624"/>
      <c r="CJ12" s="624"/>
      <c r="CK12" s="624"/>
      <c r="CL12" s="62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4"/>
      <c r="DE12" s="624"/>
      <c r="DF12" s="624"/>
      <c r="DG12" s="624"/>
      <c r="DH12" s="624"/>
      <c r="DI12" s="624"/>
      <c r="DJ12" s="624"/>
      <c r="DK12" s="624"/>
      <c r="DL12" s="624"/>
      <c r="DM12" s="624"/>
      <c r="DN12" s="624"/>
      <c r="DO12" s="624"/>
      <c r="DP12" s="624"/>
      <c r="DQ12" s="624"/>
      <c r="DR12" s="624"/>
      <c r="DS12" s="624"/>
      <c r="DT12" s="624"/>
      <c r="DU12" s="624"/>
      <c r="DV12" s="624"/>
      <c r="DW12" s="624"/>
      <c r="DX12" s="624"/>
      <c r="DY12" s="624"/>
      <c r="DZ12" s="624"/>
      <c r="EA12" s="624"/>
      <c r="EB12" s="624"/>
      <c r="EC12" s="624"/>
      <c r="ED12" s="624"/>
      <c r="EE12" s="624"/>
      <c r="EF12" s="624"/>
      <c r="EG12" s="624"/>
      <c r="EH12" s="624"/>
      <c r="EI12" s="624"/>
      <c r="EJ12" s="624"/>
      <c r="EK12" s="624"/>
      <c r="EL12" s="624"/>
      <c r="EM12" s="624"/>
      <c r="EN12" s="624"/>
      <c r="EO12" s="624"/>
      <c r="EP12" s="624"/>
      <c r="EQ12" s="624"/>
      <c r="ER12" s="624"/>
      <c r="ES12" s="624"/>
      <c r="ET12" s="624"/>
      <c r="EU12" s="624"/>
      <c r="EV12" s="624"/>
      <c r="EW12" s="624"/>
      <c r="EX12" s="624"/>
      <c r="EY12" s="624"/>
      <c r="EZ12" s="624"/>
      <c r="FA12" s="624"/>
      <c r="FB12" s="624"/>
      <c r="FC12" s="624"/>
      <c r="FD12" s="624"/>
      <c r="FE12" s="624"/>
      <c r="FF12" s="624"/>
      <c r="FG12" s="624"/>
      <c r="FH12" s="624"/>
      <c r="FI12" s="624"/>
      <c r="FJ12" s="624"/>
      <c r="FK12" s="624"/>
      <c r="FL12" s="624"/>
      <c r="FM12" s="624"/>
      <c r="FN12" s="624"/>
      <c r="FO12" s="624"/>
      <c r="FP12" s="624"/>
      <c r="FQ12" s="624"/>
      <c r="FR12" s="624"/>
      <c r="FS12" s="624"/>
      <c r="FT12" s="624"/>
      <c r="FU12" s="624"/>
      <c r="FV12" s="624"/>
      <c r="FW12" s="624"/>
      <c r="FX12" s="624"/>
      <c r="FY12" s="624"/>
      <c r="FZ12" s="624"/>
      <c r="GA12" s="624"/>
      <c r="GB12" s="624"/>
      <c r="GC12" s="624"/>
      <c r="GD12" s="624"/>
      <c r="GE12" s="624"/>
      <c r="GF12" s="624"/>
      <c r="GG12" s="624"/>
      <c r="GH12" s="624"/>
      <c r="GI12" s="624"/>
      <c r="GJ12" s="624"/>
      <c r="GK12" s="624"/>
      <c r="GL12" s="624"/>
      <c r="GM12" s="624"/>
      <c r="GN12" s="624"/>
      <c r="GO12" s="624"/>
      <c r="GP12" s="624"/>
      <c r="GQ12" s="624"/>
      <c r="GR12" s="624"/>
      <c r="GS12" s="624"/>
      <c r="GT12" s="624"/>
      <c r="GU12" s="624"/>
      <c r="GV12" s="624"/>
      <c r="GW12" s="624"/>
      <c r="GX12" s="624"/>
      <c r="GY12" s="624"/>
      <c r="GZ12" s="624"/>
      <c r="HA12" s="624"/>
      <c r="HB12" s="624"/>
      <c r="HC12" s="624"/>
      <c r="HD12" s="624"/>
      <c r="HE12" s="624"/>
      <c r="HF12" s="624"/>
      <c r="HG12" s="624"/>
      <c r="HH12" s="624"/>
      <c r="HI12" s="624"/>
      <c r="HJ12" s="624"/>
      <c r="HK12" s="624"/>
      <c r="HL12" s="624"/>
      <c r="HM12" s="624"/>
      <c r="HN12" s="624"/>
      <c r="HO12" s="624"/>
      <c r="HP12" s="624"/>
      <c r="HQ12" s="624"/>
      <c r="HR12" s="624"/>
      <c r="HS12" s="624"/>
      <c r="HT12" s="624"/>
      <c r="HU12" s="624"/>
      <c r="HV12" s="624"/>
      <c r="HW12" s="624"/>
      <c r="HX12" s="624"/>
      <c r="HY12" s="624"/>
      <c r="HZ12" s="624"/>
      <c r="IA12" s="624"/>
      <c r="IB12" s="624"/>
      <c r="IC12" s="624"/>
      <c r="ID12" s="624"/>
      <c r="IE12" s="624"/>
      <c r="IF12" s="624"/>
      <c r="IG12" s="624"/>
      <c r="IH12" s="624"/>
      <c r="II12" s="624"/>
      <c r="IJ12" s="624"/>
      <c r="IK12" s="624"/>
      <c r="IL12" s="624"/>
      <c r="IM12" s="624"/>
      <c r="IN12" s="624"/>
      <c r="IO12" s="624"/>
      <c r="IP12" s="624"/>
      <c r="IQ12" s="624"/>
      <c r="IR12" s="624"/>
      <c r="IS12" s="624"/>
      <c r="IT12" s="44"/>
    </row>
    <row r="13" spans="1:254" ht="16.5">
      <c r="A13" s="1895">
        <v>3</v>
      </c>
      <c r="B13" s="1900">
        <v>2</v>
      </c>
      <c r="C13" s="1902" t="s">
        <v>865</v>
      </c>
      <c r="D13" s="1903"/>
      <c r="E13" s="1906">
        <v>288000</v>
      </c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4"/>
      <c r="BF13" s="624"/>
      <c r="BG13" s="624"/>
      <c r="BH13" s="624"/>
      <c r="BI13" s="624"/>
      <c r="BJ13" s="624"/>
      <c r="BK13" s="624"/>
      <c r="BL13" s="624"/>
      <c r="BM13" s="624"/>
      <c r="BN13" s="624"/>
      <c r="BO13" s="624"/>
      <c r="BP13" s="624"/>
      <c r="BQ13" s="624"/>
      <c r="BR13" s="624"/>
      <c r="BS13" s="624"/>
      <c r="BT13" s="624"/>
      <c r="BU13" s="624"/>
      <c r="BV13" s="624"/>
      <c r="BW13" s="624"/>
      <c r="BX13" s="624"/>
      <c r="BY13" s="624"/>
      <c r="BZ13" s="624"/>
      <c r="CA13" s="624"/>
      <c r="CB13" s="624"/>
      <c r="CC13" s="624"/>
      <c r="CD13" s="624"/>
      <c r="CE13" s="624"/>
      <c r="CF13" s="624"/>
      <c r="CG13" s="624"/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4"/>
      <c r="DE13" s="624"/>
      <c r="DF13" s="624"/>
      <c r="DG13" s="624"/>
      <c r="DH13" s="624"/>
      <c r="DI13" s="624"/>
      <c r="DJ13" s="624"/>
      <c r="DK13" s="624"/>
      <c r="DL13" s="624"/>
      <c r="DM13" s="624"/>
      <c r="DN13" s="624"/>
      <c r="DO13" s="624"/>
      <c r="DP13" s="624"/>
      <c r="DQ13" s="624"/>
      <c r="DR13" s="624"/>
      <c r="DS13" s="624"/>
      <c r="DT13" s="624"/>
      <c r="DU13" s="624"/>
      <c r="DV13" s="624"/>
      <c r="DW13" s="624"/>
      <c r="DX13" s="624"/>
      <c r="DY13" s="624"/>
      <c r="DZ13" s="624"/>
      <c r="EA13" s="624"/>
      <c r="EB13" s="624"/>
      <c r="EC13" s="624"/>
      <c r="ED13" s="624"/>
      <c r="EE13" s="624"/>
      <c r="EF13" s="624"/>
      <c r="EG13" s="624"/>
      <c r="EH13" s="624"/>
      <c r="EI13" s="624"/>
      <c r="EJ13" s="624"/>
      <c r="EK13" s="624"/>
      <c r="EL13" s="624"/>
      <c r="EM13" s="624"/>
      <c r="EN13" s="624"/>
      <c r="EO13" s="624"/>
      <c r="EP13" s="624"/>
      <c r="EQ13" s="624"/>
      <c r="ER13" s="624"/>
      <c r="ES13" s="624"/>
      <c r="ET13" s="624"/>
      <c r="EU13" s="624"/>
      <c r="EV13" s="624"/>
      <c r="EW13" s="624"/>
      <c r="EX13" s="624"/>
      <c r="EY13" s="624"/>
      <c r="EZ13" s="624"/>
      <c r="FA13" s="624"/>
      <c r="FB13" s="624"/>
      <c r="FC13" s="624"/>
      <c r="FD13" s="624"/>
      <c r="FE13" s="624"/>
      <c r="FF13" s="624"/>
      <c r="FG13" s="624"/>
      <c r="FH13" s="624"/>
      <c r="FI13" s="624"/>
      <c r="FJ13" s="624"/>
      <c r="FK13" s="624"/>
      <c r="FL13" s="624"/>
      <c r="FM13" s="624"/>
      <c r="FN13" s="624"/>
      <c r="FO13" s="624"/>
      <c r="FP13" s="624"/>
      <c r="FQ13" s="624"/>
      <c r="FR13" s="624"/>
      <c r="FS13" s="624"/>
      <c r="FT13" s="624"/>
      <c r="FU13" s="624"/>
      <c r="FV13" s="624"/>
      <c r="FW13" s="624"/>
      <c r="FX13" s="624"/>
      <c r="FY13" s="624"/>
      <c r="FZ13" s="624"/>
      <c r="GA13" s="624"/>
      <c r="GB13" s="624"/>
      <c r="GC13" s="624"/>
      <c r="GD13" s="624"/>
      <c r="GE13" s="624"/>
      <c r="GF13" s="624"/>
      <c r="GG13" s="624"/>
      <c r="GH13" s="624"/>
      <c r="GI13" s="624"/>
      <c r="GJ13" s="624"/>
      <c r="GK13" s="624"/>
      <c r="GL13" s="624"/>
      <c r="GM13" s="624"/>
      <c r="GN13" s="624"/>
      <c r="GO13" s="624"/>
      <c r="GP13" s="624"/>
      <c r="GQ13" s="624"/>
      <c r="GR13" s="624"/>
      <c r="GS13" s="624"/>
      <c r="GT13" s="624"/>
      <c r="GU13" s="624"/>
      <c r="GV13" s="624"/>
      <c r="GW13" s="624"/>
      <c r="GX13" s="624"/>
      <c r="GY13" s="624"/>
      <c r="GZ13" s="624"/>
      <c r="HA13" s="624"/>
      <c r="HB13" s="624"/>
      <c r="HC13" s="624"/>
      <c r="HD13" s="624"/>
      <c r="HE13" s="624"/>
      <c r="HF13" s="624"/>
      <c r="HG13" s="624"/>
      <c r="HH13" s="624"/>
      <c r="HI13" s="624"/>
      <c r="HJ13" s="624"/>
      <c r="HK13" s="624"/>
      <c r="HL13" s="624"/>
      <c r="HM13" s="624"/>
      <c r="HN13" s="624"/>
      <c r="HO13" s="624"/>
      <c r="HP13" s="624"/>
      <c r="HQ13" s="624"/>
      <c r="HR13" s="624"/>
      <c r="HS13" s="624"/>
      <c r="HT13" s="624"/>
      <c r="HU13" s="624"/>
      <c r="HV13" s="624"/>
      <c r="HW13" s="624"/>
      <c r="HX13" s="624"/>
      <c r="HY13" s="624"/>
      <c r="HZ13" s="624"/>
      <c r="IA13" s="624"/>
      <c r="IB13" s="624"/>
      <c r="IC13" s="624"/>
      <c r="ID13" s="624"/>
      <c r="IE13" s="624"/>
      <c r="IF13" s="624"/>
      <c r="IG13" s="624"/>
      <c r="IH13" s="624"/>
      <c r="II13" s="624"/>
      <c r="IJ13" s="624"/>
      <c r="IK13" s="624"/>
      <c r="IL13" s="624"/>
      <c r="IM13" s="624"/>
      <c r="IN13" s="624"/>
      <c r="IO13" s="624"/>
      <c r="IP13" s="624"/>
      <c r="IQ13" s="624"/>
      <c r="IR13" s="624"/>
      <c r="IS13" s="624"/>
      <c r="IT13" s="44"/>
    </row>
    <row r="14" spans="1:254" ht="49.5">
      <c r="A14" s="1895"/>
      <c r="B14" s="1901"/>
      <c r="C14" s="1403"/>
      <c r="D14" s="1405" t="s">
        <v>519</v>
      </c>
      <c r="E14" s="1907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4"/>
      <c r="BF14" s="624"/>
      <c r="BG14" s="624"/>
      <c r="BH14" s="624"/>
      <c r="BI14" s="624"/>
      <c r="BJ14" s="624"/>
      <c r="BK14" s="624"/>
      <c r="BL14" s="624"/>
      <c r="BM14" s="624"/>
      <c r="BN14" s="624"/>
      <c r="BO14" s="624"/>
      <c r="BP14" s="624"/>
      <c r="BQ14" s="624"/>
      <c r="BR14" s="624"/>
      <c r="BS14" s="624"/>
      <c r="BT14" s="624"/>
      <c r="BU14" s="624"/>
      <c r="BV14" s="624"/>
      <c r="BW14" s="624"/>
      <c r="BX14" s="624"/>
      <c r="BY14" s="624"/>
      <c r="BZ14" s="624"/>
      <c r="CA14" s="624"/>
      <c r="CB14" s="624"/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24"/>
      <c r="CN14" s="624"/>
      <c r="CO14" s="624"/>
      <c r="CP14" s="624"/>
      <c r="CQ14" s="624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  <c r="DD14" s="624"/>
      <c r="DE14" s="624"/>
      <c r="DF14" s="624"/>
      <c r="DG14" s="624"/>
      <c r="DH14" s="624"/>
      <c r="DI14" s="624"/>
      <c r="DJ14" s="624"/>
      <c r="DK14" s="624"/>
      <c r="DL14" s="624"/>
      <c r="DM14" s="624"/>
      <c r="DN14" s="624"/>
      <c r="DO14" s="624"/>
      <c r="DP14" s="624"/>
      <c r="DQ14" s="624"/>
      <c r="DR14" s="624"/>
      <c r="DS14" s="624"/>
      <c r="DT14" s="624"/>
      <c r="DU14" s="624"/>
      <c r="DV14" s="624"/>
      <c r="DW14" s="624"/>
      <c r="DX14" s="624"/>
      <c r="DY14" s="624"/>
      <c r="DZ14" s="624"/>
      <c r="EA14" s="624"/>
      <c r="EB14" s="624"/>
      <c r="EC14" s="624"/>
      <c r="ED14" s="624"/>
      <c r="EE14" s="624"/>
      <c r="EF14" s="624"/>
      <c r="EG14" s="624"/>
      <c r="EH14" s="624"/>
      <c r="EI14" s="624"/>
      <c r="EJ14" s="624"/>
      <c r="EK14" s="624"/>
      <c r="EL14" s="624"/>
      <c r="EM14" s="624"/>
      <c r="EN14" s="624"/>
      <c r="EO14" s="624"/>
      <c r="EP14" s="624"/>
      <c r="EQ14" s="624"/>
      <c r="ER14" s="624"/>
      <c r="ES14" s="624"/>
      <c r="ET14" s="624"/>
      <c r="EU14" s="624"/>
      <c r="EV14" s="624"/>
      <c r="EW14" s="624"/>
      <c r="EX14" s="624"/>
      <c r="EY14" s="624"/>
      <c r="EZ14" s="624"/>
      <c r="FA14" s="624"/>
      <c r="FB14" s="624"/>
      <c r="FC14" s="624"/>
      <c r="FD14" s="624"/>
      <c r="FE14" s="624"/>
      <c r="FF14" s="624"/>
      <c r="FG14" s="624"/>
      <c r="FH14" s="624"/>
      <c r="FI14" s="624"/>
      <c r="FJ14" s="624"/>
      <c r="FK14" s="624"/>
      <c r="FL14" s="624"/>
      <c r="FM14" s="624"/>
      <c r="FN14" s="624"/>
      <c r="FO14" s="624"/>
      <c r="FP14" s="624"/>
      <c r="FQ14" s="624"/>
      <c r="FR14" s="624"/>
      <c r="FS14" s="624"/>
      <c r="FT14" s="624"/>
      <c r="FU14" s="624"/>
      <c r="FV14" s="624"/>
      <c r="FW14" s="624"/>
      <c r="FX14" s="624"/>
      <c r="FY14" s="624"/>
      <c r="FZ14" s="624"/>
      <c r="GA14" s="624"/>
      <c r="GB14" s="624"/>
      <c r="GC14" s="624"/>
      <c r="GD14" s="624"/>
      <c r="GE14" s="624"/>
      <c r="GF14" s="624"/>
      <c r="GG14" s="624"/>
      <c r="GH14" s="624"/>
      <c r="GI14" s="624"/>
      <c r="GJ14" s="624"/>
      <c r="GK14" s="624"/>
      <c r="GL14" s="624"/>
      <c r="GM14" s="624"/>
      <c r="GN14" s="624"/>
      <c r="GO14" s="624"/>
      <c r="GP14" s="624"/>
      <c r="GQ14" s="624"/>
      <c r="GR14" s="624"/>
      <c r="GS14" s="624"/>
      <c r="GT14" s="624"/>
      <c r="GU14" s="624"/>
      <c r="GV14" s="624"/>
      <c r="GW14" s="624"/>
      <c r="GX14" s="624"/>
      <c r="GY14" s="624"/>
      <c r="GZ14" s="624"/>
      <c r="HA14" s="624"/>
      <c r="HB14" s="624"/>
      <c r="HC14" s="624"/>
      <c r="HD14" s="624"/>
      <c r="HE14" s="624"/>
      <c r="HF14" s="624"/>
      <c r="HG14" s="624"/>
      <c r="HH14" s="624"/>
      <c r="HI14" s="624"/>
      <c r="HJ14" s="624"/>
      <c r="HK14" s="624"/>
      <c r="HL14" s="624"/>
      <c r="HM14" s="624"/>
      <c r="HN14" s="624"/>
      <c r="HO14" s="624"/>
      <c r="HP14" s="624"/>
      <c r="HQ14" s="624"/>
      <c r="HR14" s="624"/>
      <c r="HS14" s="624"/>
      <c r="HT14" s="624"/>
      <c r="HU14" s="624"/>
      <c r="HV14" s="624"/>
      <c r="HW14" s="624"/>
      <c r="HX14" s="624"/>
      <c r="HY14" s="624"/>
      <c r="HZ14" s="624"/>
      <c r="IA14" s="624"/>
      <c r="IB14" s="624"/>
      <c r="IC14" s="624"/>
      <c r="ID14" s="624"/>
      <c r="IE14" s="624"/>
      <c r="IF14" s="624"/>
      <c r="IG14" s="624"/>
      <c r="IH14" s="624"/>
      <c r="II14" s="624"/>
      <c r="IJ14" s="624"/>
      <c r="IK14" s="624"/>
      <c r="IL14" s="624"/>
      <c r="IM14" s="624"/>
      <c r="IN14" s="624"/>
      <c r="IO14" s="624"/>
      <c r="IP14" s="624"/>
      <c r="IQ14" s="624"/>
      <c r="IR14" s="624"/>
      <c r="IS14" s="624"/>
      <c r="IT14" s="44"/>
    </row>
    <row r="15" spans="1:254" ht="16.5" customHeight="1">
      <c r="A15" s="1895">
        <v>4</v>
      </c>
      <c r="B15" s="1896">
        <v>3</v>
      </c>
      <c r="C15" s="1898" t="s">
        <v>596</v>
      </c>
      <c r="D15" s="1899"/>
      <c r="E15" s="1906">
        <v>217000</v>
      </c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624"/>
      <c r="AW15" s="624"/>
      <c r="AX15" s="624"/>
      <c r="AY15" s="624"/>
      <c r="AZ15" s="624"/>
      <c r="BA15" s="624"/>
      <c r="BB15" s="624"/>
      <c r="BC15" s="624"/>
      <c r="BD15" s="624"/>
      <c r="BE15" s="624"/>
      <c r="BF15" s="624"/>
      <c r="BG15" s="624"/>
      <c r="BH15" s="624"/>
      <c r="BI15" s="624"/>
      <c r="BJ15" s="624"/>
      <c r="BK15" s="624"/>
      <c r="BL15" s="624"/>
      <c r="BM15" s="624"/>
      <c r="BN15" s="624"/>
      <c r="BO15" s="624"/>
      <c r="BP15" s="624"/>
      <c r="BQ15" s="624"/>
      <c r="BR15" s="624"/>
      <c r="BS15" s="624"/>
      <c r="BT15" s="624"/>
      <c r="BU15" s="624"/>
      <c r="BV15" s="624"/>
      <c r="BW15" s="624"/>
      <c r="BX15" s="624"/>
      <c r="BY15" s="624"/>
      <c r="BZ15" s="624"/>
      <c r="CA15" s="624"/>
      <c r="CB15" s="624"/>
      <c r="CC15" s="624"/>
      <c r="CD15" s="624"/>
      <c r="CE15" s="624"/>
      <c r="CF15" s="624"/>
      <c r="CG15" s="624"/>
      <c r="CH15" s="624"/>
      <c r="CI15" s="624"/>
      <c r="CJ15" s="624"/>
      <c r="CK15" s="624"/>
      <c r="CL15" s="624"/>
      <c r="CM15" s="624"/>
      <c r="CN15" s="624"/>
      <c r="CO15" s="624"/>
      <c r="CP15" s="624"/>
      <c r="CQ15" s="624"/>
      <c r="CR15" s="624"/>
      <c r="CS15" s="624"/>
      <c r="CT15" s="624"/>
      <c r="CU15" s="624"/>
      <c r="CV15" s="624"/>
      <c r="CW15" s="624"/>
      <c r="CX15" s="624"/>
      <c r="CY15" s="624"/>
      <c r="CZ15" s="624"/>
      <c r="DA15" s="624"/>
      <c r="DB15" s="624"/>
      <c r="DC15" s="624"/>
      <c r="DD15" s="624"/>
      <c r="DE15" s="624"/>
      <c r="DF15" s="624"/>
      <c r="DG15" s="624"/>
      <c r="DH15" s="624"/>
      <c r="DI15" s="624"/>
      <c r="DJ15" s="624"/>
      <c r="DK15" s="624"/>
      <c r="DL15" s="624"/>
      <c r="DM15" s="624"/>
      <c r="DN15" s="624"/>
      <c r="DO15" s="624"/>
      <c r="DP15" s="624"/>
      <c r="DQ15" s="624"/>
      <c r="DR15" s="624"/>
      <c r="DS15" s="624"/>
      <c r="DT15" s="624"/>
      <c r="DU15" s="624"/>
      <c r="DV15" s="624"/>
      <c r="DW15" s="624"/>
      <c r="DX15" s="624"/>
      <c r="DY15" s="624"/>
      <c r="DZ15" s="624"/>
      <c r="EA15" s="624"/>
      <c r="EB15" s="624"/>
      <c r="EC15" s="624"/>
      <c r="ED15" s="624"/>
      <c r="EE15" s="624"/>
      <c r="EF15" s="624"/>
      <c r="EG15" s="624"/>
      <c r="EH15" s="624"/>
      <c r="EI15" s="624"/>
      <c r="EJ15" s="624"/>
      <c r="EK15" s="624"/>
      <c r="EL15" s="624"/>
      <c r="EM15" s="624"/>
      <c r="EN15" s="624"/>
      <c r="EO15" s="624"/>
      <c r="EP15" s="624"/>
      <c r="EQ15" s="624"/>
      <c r="ER15" s="624"/>
      <c r="ES15" s="624"/>
      <c r="ET15" s="624"/>
      <c r="EU15" s="624"/>
      <c r="EV15" s="624"/>
      <c r="EW15" s="624"/>
      <c r="EX15" s="624"/>
      <c r="EY15" s="624"/>
      <c r="EZ15" s="624"/>
      <c r="FA15" s="624"/>
      <c r="FB15" s="624"/>
      <c r="FC15" s="624"/>
      <c r="FD15" s="624"/>
      <c r="FE15" s="624"/>
      <c r="FF15" s="624"/>
      <c r="FG15" s="624"/>
      <c r="FH15" s="624"/>
      <c r="FI15" s="624"/>
      <c r="FJ15" s="624"/>
      <c r="FK15" s="624"/>
      <c r="FL15" s="624"/>
      <c r="FM15" s="624"/>
      <c r="FN15" s="624"/>
      <c r="FO15" s="624"/>
      <c r="FP15" s="624"/>
      <c r="FQ15" s="624"/>
      <c r="FR15" s="624"/>
      <c r="FS15" s="624"/>
      <c r="FT15" s="624"/>
      <c r="FU15" s="624"/>
      <c r="FV15" s="624"/>
      <c r="FW15" s="624"/>
      <c r="FX15" s="624"/>
      <c r="FY15" s="624"/>
      <c r="FZ15" s="624"/>
      <c r="GA15" s="624"/>
      <c r="GB15" s="624"/>
      <c r="GC15" s="624"/>
      <c r="GD15" s="624"/>
      <c r="GE15" s="624"/>
      <c r="GF15" s="624"/>
      <c r="GG15" s="624"/>
      <c r="GH15" s="624"/>
      <c r="GI15" s="624"/>
      <c r="GJ15" s="624"/>
      <c r="GK15" s="624"/>
      <c r="GL15" s="624"/>
      <c r="GM15" s="624"/>
      <c r="GN15" s="624"/>
      <c r="GO15" s="624"/>
      <c r="GP15" s="624"/>
      <c r="GQ15" s="624"/>
      <c r="GR15" s="624"/>
      <c r="GS15" s="624"/>
      <c r="GT15" s="624"/>
      <c r="GU15" s="624"/>
      <c r="GV15" s="624"/>
      <c r="GW15" s="624"/>
      <c r="GX15" s="624"/>
      <c r="GY15" s="624"/>
      <c r="GZ15" s="624"/>
      <c r="HA15" s="624"/>
      <c r="HB15" s="624"/>
      <c r="HC15" s="624"/>
      <c r="HD15" s="624"/>
      <c r="HE15" s="624"/>
      <c r="HF15" s="624"/>
      <c r="HG15" s="624"/>
      <c r="HH15" s="624"/>
      <c r="HI15" s="624"/>
      <c r="HJ15" s="624"/>
      <c r="HK15" s="624"/>
      <c r="HL15" s="624"/>
      <c r="HM15" s="624"/>
      <c r="HN15" s="624"/>
      <c r="HO15" s="624"/>
      <c r="HP15" s="624"/>
      <c r="HQ15" s="624"/>
      <c r="HR15" s="624"/>
      <c r="HS15" s="624"/>
      <c r="HT15" s="624"/>
      <c r="HU15" s="624"/>
      <c r="HV15" s="624"/>
      <c r="HW15" s="624"/>
      <c r="HX15" s="624"/>
      <c r="HY15" s="624"/>
      <c r="HZ15" s="624"/>
      <c r="IA15" s="624"/>
      <c r="IB15" s="624"/>
      <c r="IC15" s="624"/>
      <c r="ID15" s="624"/>
      <c r="IE15" s="624"/>
      <c r="IF15" s="624"/>
      <c r="IG15" s="624"/>
      <c r="IH15" s="624"/>
      <c r="II15" s="624"/>
      <c r="IJ15" s="624"/>
      <c r="IK15" s="624"/>
      <c r="IL15" s="624"/>
      <c r="IM15" s="624"/>
      <c r="IN15" s="624"/>
      <c r="IO15" s="624"/>
      <c r="IP15" s="624"/>
      <c r="IQ15" s="624"/>
      <c r="IR15" s="624"/>
      <c r="IS15" s="624"/>
      <c r="IT15" s="44"/>
    </row>
    <row r="16" spans="1:254" ht="16.5">
      <c r="A16" s="1895"/>
      <c r="B16" s="1897"/>
      <c r="C16" s="1403"/>
      <c r="D16" s="1406" t="s">
        <v>866</v>
      </c>
      <c r="E16" s="1907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24"/>
      <c r="AB16" s="624"/>
      <c r="AC16" s="624"/>
      <c r="AD16" s="624"/>
      <c r="AE16" s="624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624"/>
      <c r="AW16" s="624"/>
      <c r="AX16" s="624"/>
      <c r="AY16" s="624"/>
      <c r="AZ16" s="624"/>
      <c r="BA16" s="624"/>
      <c r="BB16" s="624"/>
      <c r="BC16" s="624"/>
      <c r="BD16" s="624"/>
      <c r="BE16" s="624"/>
      <c r="BF16" s="624"/>
      <c r="BG16" s="624"/>
      <c r="BH16" s="624"/>
      <c r="BI16" s="624"/>
      <c r="BJ16" s="624"/>
      <c r="BK16" s="624"/>
      <c r="BL16" s="624"/>
      <c r="BM16" s="624"/>
      <c r="BN16" s="624"/>
      <c r="BO16" s="624"/>
      <c r="BP16" s="624"/>
      <c r="BQ16" s="624"/>
      <c r="BR16" s="624"/>
      <c r="BS16" s="624"/>
      <c r="BT16" s="624"/>
      <c r="BU16" s="624"/>
      <c r="BV16" s="624"/>
      <c r="BW16" s="624"/>
      <c r="BX16" s="624"/>
      <c r="BY16" s="624"/>
      <c r="BZ16" s="624"/>
      <c r="CA16" s="624"/>
      <c r="CB16" s="62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4"/>
      <c r="CM16" s="624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  <c r="DD16" s="624"/>
      <c r="DE16" s="624"/>
      <c r="DF16" s="624"/>
      <c r="DG16" s="624"/>
      <c r="DH16" s="624"/>
      <c r="DI16" s="624"/>
      <c r="DJ16" s="624"/>
      <c r="DK16" s="624"/>
      <c r="DL16" s="624"/>
      <c r="DM16" s="624"/>
      <c r="DN16" s="624"/>
      <c r="DO16" s="624"/>
      <c r="DP16" s="624"/>
      <c r="DQ16" s="624"/>
      <c r="DR16" s="624"/>
      <c r="DS16" s="624"/>
      <c r="DT16" s="624"/>
      <c r="DU16" s="624"/>
      <c r="DV16" s="624"/>
      <c r="DW16" s="624"/>
      <c r="DX16" s="624"/>
      <c r="DY16" s="624"/>
      <c r="DZ16" s="624"/>
      <c r="EA16" s="624"/>
      <c r="EB16" s="624"/>
      <c r="EC16" s="624"/>
      <c r="ED16" s="624"/>
      <c r="EE16" s="624"/>
      <c r="EF16" s="624"/>
      <c r="EG16" s="624"/>
      <c r="EH16" s="624"/>
      <c r="EI16" s="624"/>
      <c r="EJ16" s="624"/>
      <c r="EK16" s="624"/>
      <c r="EL16" s="624"/>
      <c r="EM16" s="624"/>
      <c r="EN16" s="624"/>
      <c r="EO16" s="624"/>
      <c r="EP16" s="624"/>
      <c r="EQ16" s="624"/>
      <c r="ER16" s="624"/>
      <c r="ES16" s="624"/>
      <c r="ET16" s="624"/>
      <c r="EU16" s="624"/>
      <c r="EV16" s="624"/>
      <c r="EW16" s="624"/>
      <c r="EX16" s="624"/>
      <c r="EY16" s="624"/>
      <c r="EZ16" s="624"/>
      <c r="FA16" s="624"/>
      <c r="FB16" s="624"/>
      <c r="FC16" s="624"/>
      <c r="FD16" s="624"/>
      <c r="FE16" s="624"/>
      <c r="FF16" s="624"/>
      <c r="FG16" s="624"/>
      <c r="FH16" s="624"/>
      <c r="FI16" s="624"/>
      <c r="FJ16" s="624"/>
      <c r="FK16" s="624"/>
      <c r="FL16" s="624"/>
      <c r="FM16" s="624"/>
      <c r="FN16" s="624"/>
      <c r="FO16" s="624"/>
      <c r="FP16" s="624"/>
      <c r="FQ16" s="624"/>
      <c r="FR16" s="624"/>
      <c r="FS16" s="624"/>
      <c r="FT16" s="624"/>
      <c r="FU16" s="624"/>
      <c r="FV16" s="624"/>
      <c r="FW16" s="624"/>
      <c r="FX16" s="624"/>
      <c r="FY16" s="624"/>
      <c r="FZ16" s="624"/>
      <c r="GA16" s="624"/>
      <c r="GB16" s="624"/>
      <c r="GC16" s="624"/>
      <c r="GD16" s="624"/>
      <c r="GE16" s="624"/>
      <c r="GF16" s="624"/>
      <c r="GG16" s="624"/>
      <c r="GH16" s="624"/>
      <c r="GI16" s="624"/>
      <c r="GJ16" s="624"/>
      <c r="GK16" s="624"/>
      <c r="GL16" s="624"/>
      <c r="GM16" s="624"/>
      <c r="GN16" s="624"/>
      <c r="GO16" s="624"/>
      <c r="GP16" s="624"/>
      <c r="GQ16" s="624"/>
      <c r="GR16" s="624"/>
      <c r="GS16" s="624"/>
      <c r="GT16" s="624"/>
      <c r="GU16" s="624"/>
      <c r="GV16" s="624"/>
      <c r="GW16" s="624"/>
      <c r="GX16" s="624"/>
      <c r="GY16" s="624"/>
      <c r="GZ16" s="624"/>
      <c r="HA16" s="624"/>
      <c r="HB16" s="624"/>
      <c r="HC16" s="624"/>
      <c r="HD16" s="624"/>
      <c r="HE16" s="624"/>
      <c r="HF16" s="624"/>
      <c r="HG16" s="624"/>
      <c r="HH16" s="624"/>
      <c r="HI16" s="624"/>
      <c r="HJ16" s="624"/>
      <c r="HK16" s="624"/>
      <c r="HL16" s="624"/>
      <c r="HM16" s="624"/>
      <c r="HN16" s="624"/>
      <c r="HO16" s="624"/>
      <c r="HP16" s="624"/>
      <c r="HQ16" s="624"/>
      <c r="HR16" s="624"/>
      <c r="HS16" s="624"/>
      <c r="HT16" s="624"/>
      <c r="HU16" s="624"/>
      <c r="HV16" s="624"/>
      <c r="HW16" s="624"/>
      <c r="HX16" s="624"/>
      <c r="HY16" s="624"/>
      <c r="HZ16" s="624"/>
      <c r="IA16" s="624"/>
      <c r="IB16" s="624"/>
      <c r="IC16" s="624"/>
      <c r="ID16" s="624"/>
      <c r="IE16" s="624"/>
      <c r="IF16" s="624"/>
      <c r="IG16" s="624"/>
      <c r="IH16" s="624"/>
      <c r="II16" s="624"/>
      <c r="IJ16" s="624"/>
      <c r="IK16" s="624"/>
      <c r="IL16" s="624"/>
      <c r="IM16" s="624"/>
      <c r="IN16" s="624"/>
      <c r="IO16" s="624"/>
      <c r="IP16" s="624"/>
      <c r="IQ16" s="624"/>
      <c r="IR16" s="624"/>
      <c r="IS16" s="624"/>
      <c r="IT16" s="44"/>
    </row>
    <row r="17" spans="1:254" ht="30.75" customHeight="1">
      <c r="A17" s="1895">
        <v>5</v>
      </c>
      <c r="B17" s="1896">
        <v>4</v>
      </c>
      <c r="C17" s="1898" t="s">
        <v>867</v>
      </c>
      <c r="D17" s="1899"/>
      <c r="E17" s="1906">
        <v>20000</v>
      </c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4"/>
      <c r="BG17" s="624"/>
      <c r="BH17" s="624"/>
      <c r="BI17" s="624"/>
      <c r="BJ17" s="624"/>
      <c r="BK17" s="624"/>
      <c r="BL17" s="624"/>
      <c r="BM17" s="624"/>
      <c r="BN17" s="624"/>
      <c r="BO17" s="624"/>
      <c r="BP17" s="624"/>
      <c r="BQ17" s="624"/>
      <c r="BR17" s="624"/>
      <c r="BS17" s="624"/>
      <c r="BT17" s="624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4"/>
      <c r="DE17" s="624"/>
      <c r="DF17" s="624"/>
      <c r="DG17" s="624"/>
      <c r="DH17" s="624"/>
      <c r="DI17" s="624"/>
      <c r="DJ17" s="624"/>
      <c r="DK17" s="624"/>
      <c r="DL17" s="624"/>
      <c r="DM17" s="624"/>
      <c r="DN17" s="624"/>
      <c r="DO17" s="624"/>
      <c r="DP17" s="624"/>
      <c r="DQ17" s="624"/>
      <c r="DR17" s="624"/>
      <c r="DS17" s="624"/>
      <c r="DT17" s="624"/>
      <c r="DU17" s="624"/>
      <c r="DV17" s="624"/>
      <c r="DW17" s="624"/>
      <c r="DX17" s="624"/>
      <c r="DY17" s="624"/>
      <c r="DZ17" s="624"/>
      <c r="EA17" s="624"/>
      <c r="EB17" s="624"/>
      <c r="EC17" s="624"/>
      <c r="ED17" s="624"/>
      <c r="EE17" s="624"/>
      <c r="EF17" s="624"/>
      <c r="EG17" s="624"/>
      <c r="EH17" s="624"/>
      <c r="EI17" s="624"/>
      <c r="EJ17" s="624"/>
      <c r="EK17" s="624"/>
      <c r="EL17" s="624"/>
      <c r="EM17" s="624"/>
      <c r="EN17" s="624"/>
      <c r="EO17" s="624"/>
      <c r="EP17" s="624"/>
      <c r="EQ17" s="624"/>
      <c r="ER17" s="624"/>
      <c r="ES17" s="624"/>
      <c r="ET17" s="624"/>
      <c r="EU17" s="624"/>
      <c r="EV17" s="624"/>
      <c r="EW17" s="624"/>
      <c r="EX17" s="624"/>
      <c r="EY17" s="624"/>
      <c r="EZ17" s="624"/>
      <c r="FA17" s="624"/>
      <c r="FB17" s="624"/>
      <c r="FC17" s="624"/>
      <c r="FD17" s="624"/>
      <c r="FE17" s="624"/>
      <c r="FF17" s="624"/>
      <c r="FG17" s="624"/>
      <c r="FH17" s="624"/>
      <c r="FI17" s="624"/>
      <c r="FJ17" s="624"/>
      <c r="FK17" s="624"/>
      <c r="FL17" s="624"/>
      <c r="FM17" s="624"/>
      <c r="FN17" s="624"/>
      <c r="FO17" s="624"/>
      <c r="FP17" s="624"/>
      <c r="FQ17" s="624"/>
      <c r="FR17" s="624"/>
      <c r="FS17" s="624"/>
      <c r="FT17" s="624"/>
      <c r="FU17" s="624"/>
      <c r="FV17" s="624"/>
      <c r="FW17" s="624"/>
      <c r="FX17" s="624"/>
      <c r="FY17" s="624"/>
      <c r="FZ17" s="624"/>
      <c r="GA17" s="624"/>
      <c r="GB17" s="624"/>
      <c r="GC17" s="624"/>
      <c r="GD17" s="624"/>
      <c r="GE17" s="624"/>
      <c r="GF17" s="624"/>
      <c r="GG17" s="624"/>
      <c r="GH17" s="624"/>
      <c r="GI17" s="624"/>
      <c r="GJ17" s="624"/>
      <c r="GK17" s="624"/>
      <c r="GL17" s="624"/>
      <c r="GM17" s="624"/>
      <c r="GN17" s="624"/>
      <c r="GO17" s="624"/>
      <c r="GP17" s="624"/>
      <c r="GQ17" s="624"/>
      <c r="GR17" s="624"/>
      <c r="GS17" s="624"/>
      <c r="GT17" s="624"/>
      <c r="GU17" s="624"/>
      <c r="GV17" s="624"/>
      <c r="GW17" s="624"/>
      <c r="GX17" s="624"/>
      <c r="GY17" s="624"/>
      <c r="GZ17" s="624"/>
      <c r="HA17" s="624"/>
      <c r="HB17" s="624"/>
      <c r="HC17" s="624"/>
      <c r="HD17" s="624"/>
      <c r="HE17" s="624"/>
      <c r="HF17" s="624"/>
      <c r="HG17" s="624"/>
      <c r="HH17" s="624"/>
      <c r="HI17" s="624"/>
      <c r="HJ17" s="624"/>
      <c r="HK17" s="624"/>
      <c r="HL17" s="624"/>
      <c r="HM17" s="624"/>
      <c r="HN17" s="624"/>
      <c r="HO17" s="624"/>
      <c r="HP17" s="624"/>
      <c r="HQ17" s="624"/>
      <c r="HR17" s="624"/>
      <c r="HS17" s="624"/>
      <c r="HT17" s="624"/>
      <c r="HU17" s="624"/>
      <c r="HV17" s="624"/>
      <c r="HW17" s="624"/>
      <c r="HX17" s="624"/>
      <c r="HY17" s="624"/>
      <c r="HZ17" s="624"/>
      <c r="IA17" s="624"/>
      <c r="IB17" s="624"/>
      <c r="IC17" s="624"/>
      <c r="ID17" s="624"/>
      <c r="IE17" s="624"/>
      <c r="IF17" s="624"/>
      <c r="IG17" s="624"/>
      <c r="IH17" s="624"/>
      <c r="II17" s="624"/>
      <c r="IJ17" s="624"/>
      <c r="IK17" s="624"/>
      <c r="IL17" s="624"/>
      <c r="IM17" s="624"/>
      <c r="IN17" s="624"/>
      <c r="IO17" s="624"/>
      <c r="IP17" s="624"/>
      <c r="IQ17" s="624"/>
      <c r="IR17" s="624"/>
      <c r="IS17" s="624"/>
      <c r="IT17" s="44"/>
    </row>
    <row r="18" spans="1:254" ht="33">
      <c r="A18" s="1895"/>
      <c r="B18" s="1897"/>
      <c r="C18" s="1403"/>
      <c r="D18" s="1406" t="s">
        <v>868</v>
      </c>
      <c r="E18" s="1907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624"/>
      <c r="BQ18" s="624"/>
      <c r="BR18" s="624"/>
      <c r="BS18" s="624"/>
      <c r="BT18" s="624"/>
      <c r="BU18" s="624"/>
      <c r="BV18" s="624"/>
      <c r="BW18" s="624"/>
      <c r="BX18" s="624"/>
      <c r="BY18" s="624"/>
      <c r="BZ18" s="624"/>
      <c r="CA18" s="624"/>
      <c r="CB18" s="62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/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/>
      <c r="DE18" s="624"/>
      <c r="DF18" s="624"/>
      <c r="DG18" s="624"/>
      <c r="DH18" s="624"/>
      <c r="DI18" s="624"/>
      <c r="DJ18" s="624"/>
      <c r="DK18" s="624"/>
      <c r="DL18" s="624"/>
      <c r="DM18" s="624"/>
      <c r="DN18" s="624"/>
      <c r="DO18" s="624"/>
      <c r="DP18" s="624"/>
      <c r="DQ18" s="624"/>
      <c r="DR18" s="624"/>
      <c r="DS18" s="624"/>
      <c r="DT18" s="624"/>
      <c r="DU18" s="624"/>
      <c r="DV18" s="624"/>
      <c r="DW18" s="624"/>
      <c r="DX18" s="624"/>
      <c r="DY18" s="624"/>
      <c r="DZ18" s="624"/>
      <c r="EA18" s="624"/>
      <c r="EB18" s="624"/>
      <c r="EC18" s="624"/>
      <c r="ED18" s="624"/>
      <c r="EE18" s="624"/>
      <c r="EF18" s="624"/>
      <c r="EG18" s="624"/>
      <c r="EH18" s="624"/>
      <c r="EI18" s="624"/>
      <c r="EJ18" s="624"/>
      <c r="EK18" s="624"/>
      <c r="EL18" s="624"/>
      <c r="EM18" s="624"/>
      <c r="EN18" s="624"/>
      <c r="EO18" s="624"/>
      <c r="EP18" s="624"/>
      <c r="EQ18" s="624"/>
      <c r="ER18" s="624"/>
      <c r="ES18" s="624"/>
      <c r="ET18" s="624"/>
      <c r="EU18" s="624"/>
      <c r="EV18" s="624"/>
      <c r="EW18" s="624"/>
      <c r="EX18" s="624"/>
      <c r="EY18" s="624"/>
      <c r="EZ18" s="624"/>
      <c r="FA18" s="624"/>
      <c r="FB18" s="624"/>
      <c r="FC18" s="624"/>
      <c r="FD18" s="624"/>
      <c r="FE18" s="624"/>
      <c r="FF18" s="624"/>
      <c r="FG18" s="624"/>
      <c r="FH18" s="624"/>
      <c r="FI18" s="624"/>
      <c r="FJ18" s="624"/>
      <c r="FK18" s="624"/>
      <c r="FL18" s="624"/>
      <c r="FM18" s="624"/>
      <c r="FN18" s="624"/>
      <c r="FO18" s="624"/>
      <c r="FP18" s="624"/>
      <c r="FQ18" s="624"/>
      <c r="FR18" s="624"/>
      <c r="FS18" s="624"/>
      <c r="FT18" s="624"/>
      <c r="FU18" s="624"/>
      <c r="FV18" s="624"/>
      <c r="FW18" s="624"/>
      <c r="FX18" s="624"/>
      <c r="FY18" s="624"/>
      <c r="FZ18" s="624"/>
      <c r="GA18" s="624"/>
      <c r="GB18" s="624"/>
      <c r="GC18" s="624"/>
      <c r="GD18" s="624"/>
      <c r="GE18" s="624"/>
      <c r="GF18" s="624"/>
      <c r="GG18" s="624"/>
      <c r="GH18" s="624"/>
      <c r="GI18" s="624"/>
      <c r="GJ18" s="624"/>
      <c r="GK18" s="624"/>
      <c r="GL18" s="624"/>
      <c r="GM18" s="624"/>
      <c r="GN18" s="624"/>
      <c r="GO18" s="624"/>
      <c r="GP18" s="624"/>
      <c r="GQ18" s="624"/>
      <c r="GR18" s="624"/>
      <c r="GS18" s="624"/>
      <c r="GT18" s="624"/>
      <c r="GU18" s="624"/>
      <c r="GV18" s="624"/>
      <c r="GW18" s="624"/>
      <c r="GX18" s="624"/>
      <c r="GY18" s="624"/>
      <c r="GZ18" s="624"/>
      <c r="HA18" s="624"/>
      <c r="HB18" s="624"/>
      <c r="HC18" s="624"/>
      <c r="HD18" s="624"/>
      <c r="HE18" s="624"/>
      <c r="HF18" s="624"/>
      <c r="HG18" s="624"/>
      <c r="HH18" s="624"/>
      <c r="HI18" s="624"/>
      <c r="HJ18" s="624"/>
      <c r="HK18" s="624"/>
      <c r="HL18" s="624"/>
      <c r="HM18" s="624"/>
      <c r="HN18" s="624"/>
      <c r="HO18" s="624"/>
      <c r="HP18" s="624"/>
      <c r="HQ18" s="624"/>
      <c r="HR18" s="624"/>
      <c r="HS18" s="624"/>
      <c r="HT18" s="624"/>
      <c r="HU18" s="624"/>
      <c r="HV18" s="624"/>
      <c r="HW18" s="624"/>
      <c r="HX18" s="624"/>
      <c r="HY18" s="624"/>
      <c r="HZ18" s="624"/>
      <c r="IA18" s="624"/>
      <c r="IB18" s="624"/>
      <c r="IC18" s="624"/>
      <c r="ID18" s="624"/>
      <c r="IE18" s="624"/>
      <c r="IF18" s="624"/>
      <c r="IG18" s="624"/>
      <c r="IH18" s="624"/>
      <c r="II18" s="624"/>
      <c r="IJ18" s="624"/>
      <c r="IK18" s="624"/>
      <c r="IL18" s="624"/>
      <c r="IM18" s="624"/>
      <c r="IN18" s="624"/>
      <c r="IO18" s="624"/>
      <c r="IP18" s="624"/>
      <c r="IQ18" s="624"/>
      <c r="IR18" s="624"/>
      <c r="IS18" s="624"/>
      <c r="IT18" s="44"/>
    </row>
    <row r="19" spans="1:254" ht="16.5" customHeight="1">
      <c r="A19" s="1895">
        <v>6</v>
      </c>
      <c r="B19" s="1908">
        <v>5</v>
      </c>
      <c r="C19" s="1910" t="s">
        <v>869</v>
      </c>
      <c r="D19" s="1911"/>
      <c r="E19" s="1906">
        <f>15000</f>
        <v>15000</v>
      </c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 t="s">
        <v>243</v>
      </c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4"/>
      <c r="BJ19" s="624"/>
      <c r="BK19" s="624"/>
      <c r="BL19" s="624"/>
      <c r="BM19" s="624"/>
      <c r="BN19" s="624"/>
      <c r="BO19" s="624"/>
      <c r="BP19" s="624"/>
      <c r="BQ19" s="624"/>
      <c r="BR19" s="624"/>
      <c r="BS19" s="624"/>
      <c r="BT19" s="624"/>
      <c r="BU19" s="624"/>
      <c r="BV19" s="624"/>
      <c r="BW19" s="624"/>
      <c r="BX19" s="624"/>
      <c r="BY19" s="624"/>
      <c r="BZ19" s="624"/>
      <c r="CA19" s="624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/>
      <c r="DE19" s="624"/>
      <c r="DF19" s="624"/>
      <c r="DG19" s="624"/>
      <c r="DH19" s="624"/>
      <c r="DI19" s="624"/>
      <c r="DJ19" s="624"/>
      <c r="DK19" s="624"/>
      <c r="DL19" s="624"/>
      <c r="DM19" s="624"/>
      <c r="DN19" s="624"/>
      <c r="DO19" s="624"/>
      <c r="DP19" s="624"/>
      <c r="DQ19" s="624"/>
      <c r="DR19" s="624"/>
      <c r="DS19" s="624"/>
      <c r="DT19" s="624"/>
      <c r="DU19" s="624"/>
      <c r="DV19" s="624"/>
      <c r="DW19" s="624"/>
      <c r="DX19" s="624"/>
      <c r="DY19" s="624"/>
      <c r="DZ19" s="624"/>
      <c r="EA19" s="624"/>
      <c r="EB19" s="624"/>
      <c r="EC19" s="624"/>
      <c r="ED19" s="624"/>
      <c r="EE19" s="624"/>
      <c r="EF19" s="624"/>
      <c r="EG19" s="624"/>
      <c r="EH19" s="624"/>
      <c r="EI19" s="624"/>
      <c r="EJ19" s="624"/>
      <c r="EK19" s="624"/>
      <c r="EL19" s="624"/>
      <c r="EM19" s="624"/>
      <c r="EN19" s="624"/>
      <c r="EO19" s="624"/>
      <c r="EP19" s="624"/>
      <c r="EQ19" s="624"/>
      <c r="ER19" s="624"/>
      <c r="ES19" s="624"/>
      <c r="ET19" s="624"/>
      <c r="EU19" s="624"/>
      <c r="EV19" s="624"/>
      <c r="EW19" s="624"/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624"/>
      <c r="FI19" s="624"/>
      <c r="FJ19" s="624"/>
      <c r="FK19" s="624"/>
      <c r="FL19" s="624"/>
      <c r="FM19" s="624"/>
      <c r="FN19" s="624"/>
      <c r="FO19" s="624"/>
      <c r="FP19" s="624"/>
      <c r="FQ19" s="624"/>
      <c r="FR19" s="624"/>
      <c r="FS19" s="624"/>
      <c r="FT19" s="624"/>
      <c r="FU19" s="624"/>
      <c r="FV19" s="624"/>
      <c r="FW19" s="624"/>
      <c r="FX19" s="624"/>
      <c r="FY19" s="624"/>
      <c r="FZ19" s="624"/>
      <c r="GA19" s="624"/>
      <c r="GB19" s="624"/>
      <c r="GC19" s="624"/>
      <c r="GD19" s="624"/>
      <c r="GE19" s="624"/>
      <c r="GF19" s="624"/>
      <c r="GG19" s="624"/>
      <c r="GH19" s="624"/>
      <c r="GI19" s="624"/>
      <c r="GJ19" s="624"/>
      <c r="GK19" s="624"/>
      <c r="GL19" s="624"/>
      <c r="GM19" s="624"/>
      <c r="GN19" s="624"/>
      <c r="GO19" s="624"/>
      <c r="GP19" s="624"/>
      <c r="GQ19" s="624"/>
      <c r="GR19" s="624"/>
      <c r="GS19" s="624"/>
      <c r="GT19" s="624"/>
      <c r="GU19" s="624"/>
      <c r="GV19" s="624"/>
      <c r="GW19" s="624"/>
      <c r="GX19" s="624"/>
      <c r="GY19" s="624"/>
      <c r="GZ19" s="624"/>
      <c r="HA19" s="624"/>
      <c r="HB19" s="624"/>
      <c r="HC19" s="624"/>
      <c r="HD19" s="624"/>
      <c r="HE19" s="624"/>
      <c r="HF19" s="624"/>
      <c r="HG19" s="624"/>
      <c r="HH19" s="624"/>
      <c r="HI19" s="624"/>
      <c r="HJ19" s="624"/>
      <c r="HK19" s="624"/>
      <c r="HL19" s="624"/>
      <c r="HM19" s="624"/>
      <c r="HN19" s="624"/>
      <c r="HO19" s="624"/>
      <c r="HP19" s="624"/>
      <c r="HQ19" s="624"/>
      <c r="HR19" s="624"/>
      <c r="HS19" s="624"/>
      <c r="HT19" s="624"/>
      <c r="HU19" s="624"/>
      <c r="HV19" s="624"/>
      <c r="HW19" s="624"/>
      <c r="HX19" s="624"/>
      <c r="HY19" s="624"/>
      <c r="HZ19" s="624"/>
      <c r="IA19" s="624"/>
      <c r="IB19" s="624"/>
      <c r="IC19" s="624"/>
      <c r="ID19" s="624"/>
      <c r="IE19" s="624"/>
      <c r="IF19" s="624"/>
      <c r="IG19" s="624"/>
      <c r="IH19" s="624"/>
      <c r="II19" s="624"/>
      <c r="IJ19" s="624"/>
      <c r="IK19" s="624"/>
      <c r="IL19" s="624"/>
      <c r="IM19" s="624"/>
      <c r="IN19" s="624"/>
      <c r="IO19" s="624"/>
      <c r="IP19" s="624"/>
      <c r="IQ19" s="624"/>
      <c r="IR19" s="624"/>
      <c r="IS19" s="624"/>
      <c r="IT19" s="44"/>
    </row>
    <row r="20" spans="1:254" ht="16.5">
      <c r="A20" s="1895"/>
      <c r="B20" s="1909"/>
      <c r="C20" s="1403"/>
      <c r="D20" s="1407" t="s">
        <v>523</v>
      </c>
      <c r="E20" s="1907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624"/>
      <c r="AV20" s="624"/>
      <c r="AW20" s="624"/>
      <c r="AX20" s="624"/>
      <c r="AY20" s="624"/>
      <c r="AZ20" s="624"/>
      <c r="BA20" s="624"/>
      <c r="BB20" s="624"/>
      <c r="BC20" s="624"/>
      <c r="BD20" s="624"/>
      <c r="BE20" s="624"/>
      <c r="BF20" s="624"/>
      <c r="BG20" s="624"/>
      <c r="BH20" s="624"/>
      <c r="BI20" s="624"/>
      <c r="BJ20" s="624"/>
      <c r="BK20" s="624"/>
      <c r="BL20" s="624"/>
      <c r="BM20" s="624"/>
      <c r="BN20" s="624"/>
      <c r="BO20" s="624"/>
      <c r="BP20" s="624"/>
      <c r="BQ20" s="624"/>
      <c r="BR20" s="624"/>
      <c r="BS20" s="624"/>
      <c r="BT20" s="624"/>
      <c r="BU20" s="624"/>
      <c r="BV20" s="624"/>
      <c r="BW20" s="624"/>
      <c r="BX20" s="624"/>
      <c r="BY20" s="624"/>
      <c r="BZ20" s="624"/>
      <c r="CA20" s="624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/>
      <c r="DE20" s="624"/>
      <c r="DF20" s="624"/>
      <c r="DG20" s="624"/>
      <c r="DH20" s="624"/>
      <c r="DI20" s="624"/>
      <c r="DJ20" s="624"/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4"/>
      <c r="DV20" s="624"/>
      <c r="DW20" s="624"/>
      <c r="DX20" s="624"/>
      <c r="DY20" s="624"/>
      <c r="DZ20" s="624"/>
      <c r="EA20" s="624"/>
      <c r="EB20" s="624"/>
      <c r="EC20" s="624"/>
      <c r="ED20" s="624"/>
      <c r="EE20" s="624"/>
      <c r="EF20" s="624"/>
      <c r="EG20" s="624"/>
      <c r="EH20" s="624"/>
      <c r="EI20" s="624"/>
      <c r="EJ20" s="624"/>
      <c r="EK20" s="624"/>
      <c r="EL20" s="624"/>
      <c r="EM20" s="624"/>
      <c r="EN20" s="624"/>
      <c r="EO20" s="624"/>
      <c r="EP20" s="624"/>
      <c r="EQ20" s="624"/>
      <c r="ER20" s="624"/>
      <c r="ES20" s="624"/>
      <c r="ET20" s="624"/>
      <c r="EU20" s="624"/>
      <c r="EV20" s="624"/>
      <c r="EW20" s="624"/>
      <c r="EX20" s="624"/>
      <c r="EY20" s="624"/>
      <c r="EZ20" s="624"/>
      <c r="FA20" s="624"/>
      <c r="FB20" s="624"/>
      <c r="FC20" s="624"/>
      <c r="FD20" s="624"/>
      <c r="FE20" s="624"/>
      <c r="FF20" s="624"/>
      <c r="FG20" s="624"/>
      <c r="FH20" s="624"/>
      <c r="FI20" s="624"/>
      <c r="FJ20" s="624"/>
      <c r="FK20" s="624"/>
      <c r="FL20" s="624"/>
      <c r="FM20" s="624"/>
      <c r="FN20" s="624"/>
      <c r="FO20" s="624"/>
      <c r="FP20" s="624"/>
      <c r="FQ20" s="624"/>
      <c r="FR20" s="624"/>
      <c r="FS20" s="624"/>
      <c r="FT20" s="624"/>
      <c r="FU20" s="624"/>
      <c r="FV20" s="624"/>
      <c r="FW20" s="624"/>
      <c r="FX20" s="624"/>
      <c r="FY20" s="624"/>
      <c r="FZ20" s="624"/>
      <c r="GA20" s="624"/>
      <c r="GB20" s="624"/>
      <c r="GC20" s="624"/>
      <c r="GD20" s="624"/>
      <c r="GE20" s="624"/>
      <c r="GF20" s="624"/>
      <c r="GG20" s="624"/>
      <c r="GH20" s="624"/>
      <c r="GI20" s="624"/>
      <c r="GJ20" s="624"/>
      <c r="GK20" s="624"/>
      <c r="GL20" s="624"/>
      <c r="GM20" s="624"/>
      <c r="GN20" s="624"/>
      <c r="GO20" s="624"/>
      <c r="GP20" s="624"/>
      <c r="GQ20" s="624"/>
      <c r="GR20" s="624"/>
      <c r="GS20" s="624"/>
      <c r="GT20" s="624"/>
      <c r="GU20" s="624"/>
      <c r="GV20" s="624"/>
      <c r="GW20" s="624"/>
      <c r="GX20" s="624"/>
      <c r="GY20" s="624"/>
      <c r="GZ20" s="624"/>
      <c r="HA20" s="624"/>
      <c r="HB20" s="624"/>
      <c r="HC20" s="624"/>
      <c r="HD20" s="624"/>
      <c r="HE20" s="624"/>
      <c r="HF20" s="624"/>
      <c r="HG20" s="624"/>
      <c r="HH20" s="624"/>
      <c r="HI20" s="624"/>
      <c r="HJ20" s="624"/>
      <c r="HK20" s="624"/>
      <c r="HL20" s="624"/>
      <c r="HM20" s="624"/>
      <c r="HN20" s="624"/>
      <c r="HO20" s="624"/>
      <c r="HP20" s="624"/>
      <c r="HQ20" s="624"/>
      <c r="HR20" s="624"/>
      <c r="HS20" s="624"/>
      <c r="HT20" s="624"/>
      <c r="HU20" s="624"/>
      <c r="HV20" s="624"/>
      <c r="HW20" s="624"/>
      <c r="HX20" s="624"/>
      <c r="HY20" s="624"/>
      <c r="HZ20" s="624"/>
      <c r="IA20" s="624"/>
      <c r="IB20" s="624"/>
      <c r="IC20" s="624"/>
      <c r="ID20" s="624"/>
      <c r="IE20" s="624"/>
      <c r="IF20" s="624"/>
      <c r="IG20" s="624"/>
      <c r="IH20" s="624"/>
      <c r="II20" s="624"/>
      <c r="IJ20" s="624"/>
      <c r="IK20" s="624"/>
      <c r="IL20" s="624"/>
      <c r="IM20" s="624"/>
      <c r="IN20" s="624"/>
      <c r="IO20" s="624"/>
      <c r="IP20" s="624"/>
      <c r="IQ20" s="624"/>
      <c r="IR20" s="624"/>
      <c r="IS20" s="624"/>
      <c r="IT20" s="44"/>
    </row>
    <row r="21" spans="1:254" ht="18" thickBot="1">
      <c r="A21" s="626">
        <v>7</v>
      </c>
      <c r="B21" s="1892" t="s">
        <v>120</v>
      </c>
      <c r="C21" s="1893"/>
      <c r="D21" s="1894"/>
      <c r="E21" s="1408">
        <f>SUM(E11:E19)</f>
        <v>561891</v>
      </c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4"/>
      <c r="Z21" s="624"/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  <c r="AT21" s="624"/>
      <c r="AU21" s="624"/>
      <c r="AV21" s="624"/>
      <c r="AW21" s="624"/>
      <c r="AX21" s="624"/>
      <c r="AY21" s="624"/>
      <c r="AZ21" s="624"/>
      <c r="BA21" s="624"/>
      <c r="BB21" s="624"/>
      <c r="BC21" s="624"/>
      <c r="BD21" s="624"/>
      <c r="BE21" s="624"/>
      <c r="BF21" s="624"/>
      <c r="BG21" s="624"/>
      <c r="BH21" s="624"/>
      <c r="BI21" s="624"/>
      <c r="BJ21" s="624"/>
      <c r="BK21" s="624"/>
      <c r="BL21" s="624"/>
      <c r="BM21" s="624"/>
      <c r="BN21" s="624"/>
      <c r="BO21" s="624"/>
      <c r="BP21" s="624"/>
      <c r="BQ21" s="624"/>
      <c r="BR21" s="624"/>
      <c r="BS21" s="624"/>
      <c r="BT21" s="624"/>
      <c r="BU21" s="624"/>
      <c r="BV21" s="624"/>
      <c r="BW21" s="624"/>
      <c r="BX21" s="624"/>
      <c r="BY21" s="624"/>
      <c r="BZ21" s="624"/>
      <c r="CA21" s="624"/>
      <c r="CB21" s="624"/>
      <c r="CC21" s="624"/>
      <c r="CD21" s="624"/>
      <c r="CE21" s="624"/>
      <c r="CF21" s="624"/>
      <c r="CG21" s="624"/>
      <c r="CH21" s="624"/>
      <c r="CI21" s="624"/>
      <c r="CJ21" s="624"/>
      <c r="CK21" s="624"/>
      <c r="CL21" s="624"/>
      <c r="CM21" s="624"/>
      <c r="CN21" s="624"/>
      <c r="CO21" s="624"/>
      <c r="CP21" s="624"/>
      <c r="CQ21" s="624"/>
      <c r="CR21" s="624"/>
      <c r="CS21" s="624"/>
      <c r="CT21" s="624"/>
      <c r="CU21" s="624"/>
      <c r="CV21" s="624"/>
      <c r="CW21" s="624"/>
      <c r="CX21" s="624"/>
      <c r="CY21" s="624"/>
      <c r="CZ21" s="624"/>
      <c r="DA21" s="624"/>
      <c r="DB21" s="624"/>
      <c r="DC21" s="624"/>
      <c r="DD21" s="624"/>
      <c r="DE21" s="624"/>
      <c r="DF21" s="624"/>
      <c r="DG21" s="624"/>
      <c r="DH21" s="624"/>
      <c r="DI21" s="624"/>
      <c r="DJ21" s="624"/>
      <c r="DK21" s="624"/>
      <c r="DL21" s="624"/>
      <c r="DM21" s="624"/>
      <c r="DN21" s="624"/>
      <c r="DO21" s="624"/>
      <c r="DP21" s="624"/>
      <c r="DQ21" s="624"/>
      <c r="DR21" s="624"/>
      <c r="DS21" s="624"/>
      <c r="DT21" s="624"/>
      <c r="DU21" s="624"/>
      <c r="DV21" s="624"/>
      <c r="DW21" s="624"/>
      <c r="DX21" s="624"/>
      <c r="DY21" s="624"/>
      <c r="DZ21" s="624"/>
      <c r="EA21" s="624"/>
      <c r="EB21" s="624"/>
      <c r="EC21" s="624"/>
      <c r="ED21" s="624"/>
      <c r="EE21" s="624"/>
      <c r="EF21" s="624"/>
      <c r="EG21" s="624"/>
      <c r="EH21" s="624"/>
      <c r="EI21" s="624"/>
      <c r="EJ21" s="624"/>
      <c r="EK21" s="624"/>
      <c r="EL21" s="624"/>
      <c r="EM21" s="624"/>
      <c r="EN21" s="624"/>
      <c r="EO21" s="624"/>
      <c r="EP21" s="624"/>
      <c r="EQ21" s="624"/>
      <c r="ER21" s="624"/>
      <c r="ES21" s="624"/>
      <c r="ET21" s="624"/>
      <c r="EU21" s="624"/>
      <c r="EV21" s="624"/>
      <c r="EW21" s="624"/>
      <c r="EX21" s="624"/>
      <c r="EY21" s="624"/>
      <c r="EZ21" s="624"/>
      <c r="FA21" s="624"/>
      <c r="FB21" s="624"/>
      <c r="FC21" s="624"/>
      <c r="FD21" s="624"/>
      <c r="FE21" s="624"/>
      <c r="FF21" s="624"/>
      <c r="FG21" s="624"/>
      <c r="FH21" s="624"/>
      <c r="FI21" s="624"/>
      <c r="FJ21" s="624"/>
      <c r="FK21" s="624"/>
      <c r="FL21" s="624"/>
      <c r="FM21" s="624"/>
      <c r="FN21" s="624"/>
      <c r="FO21" s="624"/>
      <c r="FP21" s="624"/>
      <c r="FQ21" s="624"/>
      <c r="FR21" s="624"/>
      <c r="FS21" s="624"/>
      <c r="FT21" s="624"/>
      <c r="FU21" s="624"/>
      <c r="FV21" s="624"/>
      <c r="FW21" s="624"/>
      <c r="FX21" s="624"/>
      <c r="FY21" s="624"/>
      <c r="FZ21" s="624"/>
      <c r="GA21" s="624"/>
      <c r="GB21" s="624"/>
      <c r="GC21" s="624"/>
      <c r="GD21" s="624"/>
      <c r="GE21" s="624"/>
      <c r="GF21" s="624"/>
      <c r="GG21" s="624"/>
      <c r="GH21" s="624"/>
      <c r="GI21" s="624"/>
      <c r="GJ21" s="624"/>
      <c r="GK21" s="624"/>
      <c r="GL21" s="624"/>
      <c r="GM21" s="624"/>
      <c r="GN21" s="624"/>
      <c r="GO21" s="624"/>
      <c r="GP21" s="624"/>
      <c r="GQ21" s="624"/>
      <c r="GR21" s="624"/>
      <c r="GS21" s="624"/>
      <c r="GT21" s="624"/>
      <c r="GU21" s="624"/>
      <c r="GV21" s="624"/>
      <c r="GW21" s="624"/>
      <c r="GX21" s="624"/>
      <c r="GY21" s="624"/>
      <c r="GZ21" s="624"/>
      <c r="HA21" s="624"/>
      <c r="HB21" s="624"/>
      <c r="HC21" s="624"/>
      <c r="HD21" s="624"/>
      <c r="HE21" s="624"/>
      <c r="HF21" s="624"/>
      <c r="HG21" s="624"/>
      <c r="HH21" s="624"/>
      <c r="HI21" s="624"/>
      <c r="HJ21" s="624"/>
      <c r="HK21" s="624"/>
      <c r="HL21" s="624"/>
      <c r="HM21" s="624"/>
      <c r="HN21" s="624"/>
      <c r="HO21" s="624"/>
      <c r="HP21" s="624"/>
      <c r="HQ21" s="624"/>
      <c r="HR21" s="624"/>
      <c r="HS21" s="624"/>
      <c r="HT21" s="624"/>
      <c r="HU21" s="624"/>
      <c r="HV21" s="624"/>
      <c r="HW21" s="624"/>
      <c r="HX21" s="624"/>
      <c r="HY21" s="624"/>
      <c r="HZ21" s="624"/>
      <c r="IA21" s="624"/>
      <c r="IB21" s="624"/>
      <c r="IC21" s="624"/>
      <c r="ID21" s="624"/>
      <c r="IE21" s="624"/>
      <c r="IF21" s="624"/>
      <c r="IG21" s="624"/>
      <c r="IH21" s="624"/>
      <c r="II21" s="624"/>
      <c r="IJ21" s="624"/>
      <c r="IK21" s="624"/>
      <c r="IL21" s="624"/>
      <c r="IM21" s="624"/>
      <c r="IN21" s="624"/>
      <c r="IO21" s="624"/>
      <c r="IP21" s="624"/>
      <c r="IQ21" s="624"/>
      <c r="IR21" s="624"/>
      <c r="IS21" s="624"/>
      <c r="IT21" s="44"/>
    </row>
    <row r="24" spans="1:7" ht="33" hidden="1">
      <c r="A24" s="626">
        <v>1</v>
      </c>
      <c r="B24" s="626"/>
      <c r="C24" s="626"/>
      <c r="D24" s="1409" t="s">
        <v>864</v>
      </c>
      <c r="E24" s="1410">
        <v>21891</v>
      </c>
      <c r="G24" s="625" t="s">
        <v>870</v>
      </c>
    </row>
    <row r="25" spans="1:5" ht="16.5" hidden="1">
      <c r="A25" s="626">
        <v>2</v>
      </c>
      <c r="B25" s="626"/>
      <c r="C25" s="626"/>
      <c r="D25" s="1411" t="s">
        <v>865</v>
      </c>
      <c r="E25" s="1412">
        <v>288000</v>
      </c>
    </row>
    <row r="26" spans="1:5" ht="16.5" hidden="1">
      <c r="A26" s="626">
        <v>3</v>
      </c>
      <c r="B26" s="626"/>
      <c r="C26" s="626"/>
      <c r="D26" s="1413" t="s">
        <v>596</v>
      </c>
      <c r="E26" s="1412">
        <v>217000</v>
      </c>
    </row>
    <row r="27" spans="1:5" ht="33" hidden="1">
      <c r="A27" s="626">
        <v>4</v>
      </c>
      <c r="B27" s="626"/>
      <c r="C27" s="626"/>
      <c r="D27" s="1413" t="s">
        <v>867</v>
      </c>
      <c r="E27" s="1412">
        <v>20000</v>
      </c>
    </row>
    <row r="28" spans="1:5" ht="17.25" hidden="1" thickBot="1">
      <c r="A28" s="626">
        <v>5</v>
      </c>
      <c r="B28" s="626"/>
      <c r="C28" s="626"/>
      <c r="D28" s="1414" t="s">
        <v>869</v>
      </c>
      <c r="E28" s="1415">
        <v>15000</v>
      </c>
    </row>
    <row r="29" spans="1:5" ht="18" hidden="1" thickBot="1">
      <c r="A29" s="626">
        <v>6</v>
      </c>
      <c r="B29" s="626"/>
      <c r="C29" s="626"/>
      <c r="D29" s="1416" t="s">
        <v>630</v>
      </c>
      <c r="E29" s="1417">
        <f>SUM(E24:E28)</f>
        <v>561891</v>
      </c>
    </row>
    <row r="30" ht="17.25" hidden="1"/>
  </sheetData>
  <sheetProtection/>
  <mergeCells count="25">
    <mergeCell ref="A3:E3"/>
    <mergeCell ref="A4:E4"/>
    <mergeCell ref="E13:E14"/>
    <mergeCell ref="B19:B20"/>
    <mergeCell ref="C19:D19"/>
    <mergeCell ref="E19:E20"/>
    <mergeCell ref="E15:E16"/>
    <mergeCell ref="E17:E18"/>
    <mergeCell ref="B10:D10"/>
    <mergeCell ref="B11:B12"/>
    <mergeCell ref="C11:D11"/>
    <mergeCell ref="E11:E12"/>
    <mergeCell ref="A6:E6"/>
    <mergeCell ref="B21:D21"/>
    <mergeCell ref="A11:A12"/>
    <mergeCell ref="A13:A14"/>
    <mergeCell ref="A15:A16"/>
    <mergeCell ref="A17:A18"/>
    <mergeCell ref="A19:A20"/>
    <mergeCell ref="B15:B16"/>
    <mergeCell ref="C15:D15"/>
    <mergeCell ref="B17:B18"/>
    <mergeCell ref="C17:D17"/>
    <mergeCell ref="B13:B14"/>
    <mergeCell ref="C13:D13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&amp;C-&amp;P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view="pageBreakPreview" zoomScale="75" zoomScaleSheetLayoutView="75" zoomScalePageLayoutView="0" workbookViewId="0" topLeftCell="A1">
      <selection activeCell="M9" sqref="M9"/>
    </sheetView>
  </sheetViews>
  <sheetFormatPr defaultColWidth="10.375" defaultRowHeight="12.75"/>
  <cols>
    <col min="1" max="1" width="3.75390625" style="1037" customWidth="1"/>
    <col min="2" max="3" width="5.75390625" style="284" customWidth="1"/>
    <col min="4" max="4" width="51.75390625" style="1268" customWidth="1"/>
    <col min="5" max="5" width="19.75390625" style="285" customWidth="1"/>
    <col min="6" max="6" width="3.00390625" style="283" customWidth="1"/>
    <col min="7" max="8" width="13.75390625" style="283" customWidth="1"/>
    <col min="9" max="11" width="12.25390625" style="283" customWidth="1"/>
    <col min="12" max="15" width="13.75390625" style="283" customWidth="1"/>
    <col min="16" max="16" width="15.75390625" style="283" customWidth="1"/>
    <col min="17" max="19" width="12.25390625" style="283" customWidth="1"/>
    <col min="20" max="23" width="13.75390625" style="283" customWidth="1"/>
    <col min="24" max="24" width="15.75390625" style="283" customWidth="1"/>
    <col min="25" max="16384" width="10.375" style="283" customWidth="1"/>
  </cols>
  <sheetData>
    <row r="1" spans="1:24" ht="16.5">
      <c r="A1" s="1271"/>
      <c r="B1" s="1921" t="s">
        <v>657</v>
      </c>
      <c r="C1" s="1921"/>
      <c r="D1" s="1921"/>
      <c r="E1" s="1921"/>
      <c r="F1" s="1921"/>
      <c r="G1" s="1921"/>
      <c r="H1" s="1921"/>
      <c r="I1" s="1921"/>
      <c r="J1" s="1921"/>
      <c r="K1" s="1921"/>
      <c r="L1" s="1921"/>
      <c r="M1" s="1921"/>
      <c r="N1" s="1921"/>
      <c r="O1" s="1921"/>
      <c r="P1" s="1921"/>
      <c r="Q1" s="1921"/>
      <c r="R1" s="1921"/>
      <c r="S1" s="1921"/>
      <c r="T1" s="1921"/>
      <c r="U1" s="1921"/>
      <c r="V1" s="1302"/>
      <c r="W1" s="1302"/>
      <c r="X1" s="1302"/>
    </row>
    <row r="2" spans="2:24" ht="24.75" customHeight="1">
      <c r="B2" s="1950" t="s">
        <v>113</v>
      </c>
      <c r="C2" s="1950"/>
      <c r="D2" s="1950"/>
      <c r="E2" s="1950"/>
      <c r="F2" s="1950"/>
      <c r="G2" s="1950"/>
      <c r="H2" s="1950"/>
      <c r="I2" s="1950"/>
      <c r="J2" s="1950"/>
      <c r="K2" s="1950"/>
      <c r="L2" s="1950"/>
      <c r="M2" s="1950"/>
      <c r="N2" s="1950"/>
      <c r="O2" s="1950"/>
      <c r="P2" s="1950"/>
      <c r="Q2" s="1950"/>
      <c r="R2" s="1950"/>
      <c r="S2" s="1950"/>
      <c r="T2" s="1950"/>
      <c r="U2" s="1950"/>
      <c r="V2" s="1950"/>
      <c r="W2" s="1950"/>
      <c r="X2" s="1950"/>
    </row>
    <row r="3" spans="2:24" ht="24.75" customHeight="1">
      <c r="B3" s="1950" t="s">
        <v>375</v>
      </c>
      <c r="C3" s="1950"/>
      <c r="D3" s="1950"/>
      <c r="E3" s="1950"/>
      <c r="F3" s="1950"/>
      <c r="G3" s="1950"/>
      <c r="H3" s="1950"/>
      <c r="I3" s="1950"/>
      <c r="J3" s="1950"/>
      <c r="K3" s="1950"/>
      <c r="L3" s="1950"/>
      <c r="M3" s="1950"/>
      <c r="N3" s="1950"/>
      <c r="O3" s="1950"/>
      <c r="P3" s="1950"/>
      <c r="Q3" s="1950"/>
      <c r="R3" s="1950"/>
      <c r="S3" s="1950"/>
      <c r="T3" s="1950"/>
      <c r="U3" s="1950"/>
      <c r="V3" s="1950"/>
      <c r="W3" s="1950"/>
      <c r="X3" s="1950"/>
    </row>
    <row r="4" spans="2:24" ht="24.75" customHeight="1">
      <c r="B4" s="1950" t="s">
        <v>351</v>
      </c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  <c r="R4" s="1950"/>
      <c r="S4" s="1950"/>
      <c r="T4" s="1950"/>
      <c r="U4" s="1950"/>
      <c r="V4" s="1950"/>
      <c r="W4" s="1950"/>
      <c r="X4" s="1950"/>
    </row>
    <row r="5" spans="1:24" s="1036" customFormat="1" ht="15">
      <c r="A5" s="1037"/>
      <c r="B5" s="1037"/>
      <c r="C5" s="1037"/>
      <c r="D5" s="1038"/>
      <c r="E5" s="1039"/>
      <c r="W5" s="1951" t="s">
        <v>0</v>
      </c>
      <c r="X5" s="1951"/>
    </row>
    <row r="6" spans="2:24" s="1037" customFormat="1" ht="15.75" thickBot="1">
      <c r="B6" s="1037" t="s">
        <v>613</v>
      </c>
      <c r="C6" s="1037" t="s">
        <v>3</v>
      </c>
      <c r="D6" s="1087" t="s">
        <v>2</v>
      </c>
      <c r="E6" s="1039" t="s">
        <v>4</v>
      </c>
      <c r="G6" s="1037" t="s">
        <v>5</v>
      </c>
      <c r="H6" s="1037" t="s">
        <v>15</v>
      </c>
      <c r="I6" s="1037" t="s">
        <v>16</v>
      </c>
      <c r="J6" s="1037" t="s">
        <v>17</v>
      </c>
      <c r="K6" s="1037" t="s">
        <v>34</v>
      </c>
      <c r="L6" s="1037" t="s">
        <v>30</v>
      </c>
      <c r="M6" s="1037" t="s">
        <v>23</v>
      </c>
      <c r="O6" s="1037" t="s">
        <v>35</v>
      </c>
      <c r="P6" s="1037" t="s">
        <v>36</v>
      </c>
      <c r="Q6" s="1037" t="s">
        <v>151</v>
      </c>
      <c r="R6" s="1037" t="s">
        <v>152</v>
      </c>
      <c r="S6" s="1037" t="s">
        <v>153</v>
      </c>
      <c r="T6" s="1088" t="s">
        <v>322</v>
      </c>
      <c r="U6" s="1088" t="s">
        <v>462</v>
      </c>
      <c r="V6" s="1088"/>
      <c r="W6" s="1088" t="s">
        <v>463</v>
      </c>
      <c r="X6" s="1088" t="s">
        <v>614</v>
      </c>
    </row>
    <row r="7" spans="1:24" s="286" customFormat="1" ht="24.75" customHeight="1">
      <c r="A7" s="1089"/>
      <c r="B7" s="1932" t="s">
        <v>18</v>
      </c>
      <c r="C7" s="1935" t="s">
        <v>19</v>
      </c>
      <c r="D7" s="1938" t="s">
        <v>352</v>
      </c>
      <c r="E7" s="1941" t="s">
        <v>353</v>
      </c>
      <c r="F7" s="1090"/>
      <c r="G7" s="1944" t="s">
        <v>367</v>
      </c>
      <c r="H7" s="1944"/>
      <c r="I7" s="1945"/>
      <c r="J7" s="1945"/>
      <c r="K7" s="1945"/>
      <c r="L7" s="1945"/>
      <c r="M7" s="1945"/>
      <c r="N7" s="1945"/>
      <c r="O7" s="1945"/>
      <c r="P7" s="1946"/>
      <c r="Q7" s="1947" t="s">
        <v>368</v>
      </c>
      <c r="R7" s="1945"/>
      <c r="S7" s="1945"/>
      <c r="T7" s="1945"/>
      <c r="U7" s="1945"/>
      <c r="V7" s="1945"/>
      <c r="W7" s="1945"/>
      <c r="X7" s="1922" t="s">
        <v>469</v>
      </c>
    </row>
    <row r="8" spans="1:24" s="286" customFormat="1" ht="24.75" customHeight="1">
      <c r="A8" s="1089"/>
      <c r="B8" s="1933"/>
      <c r="C8" s="1936"/>
      <c r="D8" s="1939"/>
      <c r="E8" s="1942"/>
      <c r="F8" s="1091"/>
      <c r="G8" s="1925" t="s">
        <v>354</v>
      </c>
      <c r="H8" s="1927" t="s">
        <v>628</v>
      </c>
      <c r="I8" s="1929" t="s">
        <v>356</v>
      </c>
      <c r="J8" s="1929"/>
      <c r="K8" s="1929"/>
      <c r="L8" s="1929"/>
      <c r="M8" s="1929"/>
      <c r="N8" s="1929"/>
      <c r="O8" s="1929"/>
      <c r="P8" s="1930" t="s">
        <v>355</v>
      </c>
      <c r="Q8" s="1948"/>
      <c r="R8" s="1949"/>
      <c r="S8" s="1949"/>
      <c r="T8" s="1949"/>
      <c r="U8" s="1949"/>
      <c r="V8" s="1949"/>
      <c r="W8" s="1949"/>
      <c r="X8" s="1923"/>
    </row>
    <row r="9" spans="1:24" s="286" customFormat="1" ht="60.75" customHeight="1" thickBot="1">
      <c r="A9" s="1089"/>
      <c r="B9" s="1934"/>
      <c r="C9" s="1937"/>
      <c r="D9" s="1940"/>
      <c r="E9" s="1943"/>
      <c r="F9" s="1091"/>
      <c r="G9" s="1926"/>
      <c r="H9" s="1928"/>
      <c r="I9" s="380" t="s">
        <v>369</v>
      </c>
      <c r="J9" s="380" t="s">
        <v>432</v>
      </c>
      <c r="K9" s="380" t="s">
        <v>482</v>
      </c>
      <c r="L9" s="380" t="s">
        <v>615</v>
      </c>
      <c r="M9" s="380" t="s">
        <v>773</v>
      </c>
      <c r="N9" s="380" t="s">
        <v>774</v>
      </c>
      <c r="O9" s="380" t="s">
        <v>775</v>
      </c>
      <c r="P9" s="1931"/>
      <c r="Q9" s="381" t="s">
        <v>370</v>
      </c>
      <c r="R9" s="382" t="s">
        <v>432</v>
      </c>
      <c r="S9" s="382" t="s">
        <v>482</v>
      </c>
      <c r="T9" s="382" t="s">
        <v>615</v>
      </c>
      <c r="U9" s="382" t="s">
        <v>773</v>
      </c>
      <c r="V9" s="382" t="s">
        <v>774</v>
      </c>
      <c r="W9" s="382" t="s">
        <v>775</v>
      </c>
      <c r="X9" s="1924"/>
    </row>
    <row r="10" spans="1:24" s="286" customFormat="1" ht="33" customHeight="1">
      <c r="A10" s="1092">
        <v>1</v>
      </c>
      <c r="B10" s="1093">
        <v>18</v>
      </c>
      <c r="C10" s="1094" t="s">
        <v>14</v>
      </c>
      <c r="D10" s="1095"/>
      <c r="E10" s="1096"/>
      <c r="F10" s="1097"/>
      <c r="G10" s="1098"/>
      <c r="H10" s="1099"/>
      <c r="I10" s="1100"/>
      <c r="J10" s="1100"/>
      <c r="K10" s="1100"/>
      <c r="L10" s="1100"/>
      <c r="M10" s="1100"/>
      <c r="N10" s="1100"/>
      <c r="O10" s="1100"/>
      <c r="P10" s="1101"/>
      <c r="Q10" s="1098"/>
      <c r="R10" s="1102"/>
      <c r="S10" s="1102"/>
      <c r="T10" s="1102"/>
      <c r="U10" s="1102"/>
      <c r="V10" s="1102"/>
      <c r="W10" s="1102"/>
      <c r="X10" s="1103"/>
    </row>
    <row r="11" spans="1:24" ht="33" customHeight="1">
      <c r="A11" s="1092">
        <v>2</v>
      </c>
      <c r="B11" s="644"/>
      <c r="C11" s="1111">
        <v>1</v>
      </c>
      <c r="D11" s="1112" t="s">
        <v>418</v>
      </c>
      <c r="E11" s="1105" t="s">
        <v>617</v>
      </c>
      <c r="F11" s="288"/>
      <c r="G11" s="1106">
        <f aca="true" t="shared" si="0" ref="G11:G31">+X11-P11-H11</f>
        <v>0</v>
      </c>
      <c r="H11" s="1107"/>
      <c r="I11" s="1108"/>
      <c r="J11" s="1108"/>
      <c r="K11" s="1108">
        <v>17017</v>
      </c>
      <c r="L11" s="1108">
        <v>8958</v>
      </c>
      <c r="M11" s="1272"/>
      <c r="N11" s="1272"/>
      <c r="O11" s="1108"/>
      <c r="P11" s="1109">
        <f aca="true" t="shared" si="1" ref="P11:P31">SUM(I11:O11)</f>
        <v>25975</v>
      </c>
      <c r="Q11" s="1115"/>
      <c r="R11" s="1116"/>
      <c r="S11" s="1116">
        <v>12413</v>
      </c>
      <c r="T11" s="1116">
        <f>2345+10041</f>
        <v>12386</v>
      </c>
      <c r="U11" s="1116">
        <f>74+40+302</f>
        <v>416</v>
      </c>
      <c r="V11" s="1116">
        <v>760</v>
      </c>
      <c r="W11" s="1108"/>
      <c r="X11" s="1110">
        <f aca="true" t="shared" si="2" ref="X11:X31">SUM(Q11:W11)</f>
        <v>25975</v>
      </c>
    </row>
    <row r="12" spans="1:24" ht="33" customHeight="1">
      <c r="A12" s="1092">
        <v>3</v>
      </c>
      <c r="B12" s="644"/>
      <c r="C12" s="1111">
        <v>2</v>
      </c>
      <c r="D12" s="1104" t="s">
        <v>512</v>
      </c>
      <c r="E12" s="1105" t="s">
        <v>616</v>
      </c>
      <c r="F12" s="288"/>
      <c r="G12" s="1113">
        <f t="shared" si="0"/>
        <v>96476</v>
      </c>
      <c r="H12" s="1114"/>
      <c r="I12" s="1108"/>
      <c r="J12" s="1108"/>
      <c r="K12" s="1108"/>
      <c r="L12" s="1108"/>
      <c r="M12" s="1108">
        <v>223100</v>
      </c>
      <c r="N12" s="1108"/>
      <c r="O12" s="1108"/>
      <c r="P12" s="1109">
        <f t="shared" si="1"/>
        <v>223100</v>
      </c>
      <c r="Q12" s="1115"/>
      <c r="R12" s="1116">
        <v>6699</v>
      </c>
      <c r="S12" s="1116"/>
      <c r="T12" s="1116"/>
      <c r="U12" s="1116"/>
      <c r="V12" s="1116">
        <f>275877+37000</f>
        <v>312877</v>
      </c>
      <c r="W12" s="1108"/>
      <c r="X12" s="1110">
        <f t="shared" si="2"/>
        <v>319576</v>
      </c>
    </row>
    <row r="13" spans="1:24" s="286" customFormat="1" ht="33">
      <c r="A13" s="1092">
        <v>4</v>
      </c>
      <c r="B13" s="644"/>
      <c r="C13" s="1111">
        <v>3</v>
      </c>
      <c r="D13" s="438" t="s">
        <v>472</v>
      </c>
      <c r="E13" s="1105" t="s">
        <v>616</v>
      </c>
      <c r="F13" s="645"/>
      <c r="G13" s="1113">
        <f t="shared" si="0"/>
        <v>29474</v>
      </c>
      <c r="H13" s="1114"/>
      <c r="I13" s="1108"/>
      <c r="J13" s="1108"/>
      <c r="K13" s="1108"/>
      <c r="L13" s="1108">
        <v>134273</v>
      </c>
      <c r="M13" s="1108">
        <v>-134273</v>
      </c>
      <c r="N13" s="1108">
        <v>134273</v>
      </c>
      <c r="O13" s="1108"/>
      <c r="P13" s="1109">
        <f t="shared" si="1"/>
        <v>134273</v>
      </c>
      <c r="Q13" s="1106">
        <v>2921</v>
      </c>
      <c r="R13" s="1108">
        <v>3620</v>
      </c>
      <c r="S13" s="1108"/>
      <c r="T13" s="1108"/>
      <c r="U13" s="1108">
        <f>40</f>
        <v>40</v>
      </c>
      <c r="V13" s="1108">
        <f>342+165574+3250-12000</f>
        <v>157166</v>
      </c>
      <c r="W13" s="1108"/>
      <c r="X13" s="1110">
        <f t="shared" si="2"/>
        <v>163747</v>
      </c>
    </row>
    <row r="14" spans="1:24" ht="33" customHeight="1">
      <c r="A14" s="1092">
        <v>5</v>
      </c>
      <c r="B14" s="644"/>
      <c r="C14" s="1111">
        <v>4</v>
      </c>
      <c r="D14" s="1104" t="s">
        <v>514</v>
      </c>
      <c r="E14" s="1105" t="s">
        <v>618</v>
      </c>
      <c r="F14" s="288"/>
      <c r="G14" s="1113">
        <f t="shared" si="0"/>
        <v>28154</v>
      </c>
      <c r="H14" s="1114"/>
      <c r="I14" s="1108"/>
      <c r="J14" s="1108"/>
      <c r="K14" s="1108"/>
      <c r="L14" s="1108">
        <v>19069</v>
      </c>
      <c r="M14" s="1108"/>
      <c r="N14" s="1108">
        <v>17569</v>
      </c>
      <c r="O14" s="1108"/>
      <c r="P14" s="1109">
        <f t="shared" si="1"/>
        <v>36638</v>
      </c>
      <c r="Q14" s="1106"/>
      <c r="R14" s="1108"/>
      <c r="S14" s="1108">
        <v>1956</v>
      </c>
      <c r="T14" s="1108"/>
      <c r="U14" s="1108"/>
      <c r="V14" s="1108">
        <v>62836</v>
      </c>
      <c r="W14" s="1108"/>
      <c r="X14" s="1110">
        <f t="shared" si="2"/>
        <v>64792</v>
      </c>
    </row>
    <row r="15" spans="1:24" ht="33" customHeight="1">
      <c r="A15" s="1092">
        <v>6</v>
      </c>
      <c r="B15" s="644"/>
      <c r="C15" s="1111">
        <v>5</v>
      </c>
      <c r="D15" s="1104" t="s">
        <v>515</v>
      </c>
      <c r="E15" s="1105" t="s">
        <v>618</v>
      </c>
      <c r="F15" s="288"/>
      <c r="G15" s="1113">
        <f t="shared" si="0"/>
        <v>25517</v>
      </c>
      <c r="H15" s="1114"/>
      <c r="I15" s="1108"/>
      <c r="J15" s="1108"/>
      <c r="K15" s="1108"/>
      <c r="L15" s="1108">
        <v>27673</v>
      </c>
      <c r="M15" s="1108"/>
      <c r="N15" s="1108">
        <v>25819</v>
      </c>
      <c r="O15" s="1108"/>
      <c r="P15" s="1109">
        <f t="shared" si="1"/>
        <v>53492</v>
      </c>
      <c r="Q15" s="1106"/>
      <c r="R15" s="1108"/>
      <c r="S15" s="1108">
        <v>2459</v>
      </c>
      <c r="T15" s="1108"/>
      <c r="U15" s="1108">
        <v>100</v>
      </c>
      <c r="V15" s="1108">
        <f>170+76280</f>
        <v>76450</v>
      </c>
      <c r="W15" s="1108"/>
      <c r="X15" s="1110">
        <f t="shared" si="2"/>
        <v>79009</v>
      </c>
    </row>
    <row r="16" spans="1:24" s="286" customFormat="1" ht="66">
      <c r="A16" s="1092">
        <v>7</v>
      </c>
      <c r="B16" s="644"/>
      <c r="C16" s="1111">
        <v>6</v>
      </c>
      <c r="D16" s="438" t="s">
        <v>776</v>
      </c>
      <c r="E16" s="1105" t="s">
        <v>777</v>
      </c>
      <c r="F16" s="645"/>
      <c r="G16" s="1113">
        <f t="shared" si="0"/>
        <v>750</v>
      </c>
      <c r="H16" s="1114"/>
      <c r="I16" s="1108"/>
      <c r="J16" s="1108"/>
      <c r="K16" s="1108"/>
      <c r="L16" s="1108"/>
      <c r="M16" s="1108">
        <v>307086</v>
      </c>
      <c r="N16" s="1108"/>
      <c r="O16" s="1108"/>
      <c r="P16" s="1109">
        <f t="shared" si="1"/>
        <v>307086</v>
      </c>
      <c r="Q16" s="1106"/>
      <c r="R16" s="1108"/>
      <c r="S16" s="1108">
        <f>984+40</f>
        <v>1024</v>
      </c>
      <c r="T16" s="1108">
        <v>40</v>
      </c>
      <c r="U16" s="1108">
        <f>108+800</f>
        <v>908</v>
      </c>
      <c r="V16" s="1108">
        <f>474+305390</f>
        <v>305864</v>
      </c>
      <c r="W16" s="1108"/>
      <c r="X16" s="1110">
        <f t="shared" si="2"/>
        <v>307836</v>
      </c>
    </row>
    <row r="17" spans="1:24" ht="33" customHeight="1">
      <c r="A17" s="1092">
        <v>8</v>
      </c>
      <c r="B17" s="644"/>
      <c r="C17" s="1111">
        <v>7</v>
      </c>
      <c r="D17" s="1104" t="s">
        <v>513</v>
      </c>
      <c r="E17" s="1105" t="s">
        <v>616</v>
      </c>
      <c r="F17" s="288"/>
      <c r="G17" s="1113">
        <f t="shared" si="0"/>
        <v>129006</v>
      </c>
      <c r="H17" s="1114"/>
      <c r="I17" s="1108"/>
      <c r="J17" s="1108"/>
      <c r="K17" s="1108"/>
      <c r="L17" s="1108">
        <v>173975</v>
      </c>
      <c r="M17" s="1108"/>
      <c r="N17" s="1108"/>
      <c r="O17" s="1108"/>
      <c r="P17" s="1109">
        <f t="shared" si="1"/>
        <v>173975</v>
      </c>
      <c r="Q17" s="1106"/>
      <c r="R17" s="1108"/>
      <c r="S17" s="1108">
        <v>6401</v>
      </c>
      <c r="T17" s="1108">
        <v>100</v>
      </c>
      <c r="U17" s="1108">
        <f>128</f>
        <v>128</v>
      </c>
      <c r="V17" s="1108">
        <f>150+328202-32000</f>
        <v>296352</v>
      </c>
      <c r="W17" s="1108"/>
      <c r="X17" s="1110">
        <f t="shared" si="2"/>
        <v>302981</v>
      </c>
    </row>
    <row r="18" spans="1:24" ht="33" customHeight="1">
      <c r="A18" s="1092">
        <v>9</v>
      </c>
      <c r="B18" s="644"/>
      <c r="C18" s="1111">
        <v>8</v>
      </c>
      <c r="D18" s="1104" t="s">
        <v>516</v>
      </c>
      <c r="E18" s="1105" t="s">
        <v>619</v>
      </c>
      <c r="F18" s="288"/>
      <c r="G18" s="1113">
        <f t="shared" si="0"/>
        <v>397000</v>
      </c>
      <c r="H18" s="1114"/>
      <c r="I18" s="1108"/>
      <c r="J18" s="1108"/>
      <c r="K18" s="1108">
        <v>2092161</v>
      </c>
      <c r="L18" s="1108"/>
      <c r="M18" s="1108">
        <f>1107839-607839</f>
        <v>500000</v>
      </c>
      <c r="N18" s="1108">
        <v>607839</v>
      </c>
      <c r="O18" s="1108"/>
      <c r="P18" s="1109">
        <f t="shared" si="1"/>
        <v>3200000</v>
      </c>
      <c r="Q18" s="1106">
        <v>40063</v>
      </c>
      <c r="R18" s="1108">
        <v>83854</v>
      </c>
      <c r="S18" s="1108">
        <v>327034</v>
      </c>
      <c r="T18" s="1108">
        <v>1231269</v>
      </c>
      <c r="U18" s="1108">
        <f>710+1172933</f>
        <v>1173643</v>
      </c>
      <c r="V18" s="1108">
        <f>712+740425</f>
        <v>741137</v>
      </c>
      <c r="W18" s="1108"/>
      <c r="X18" s="1110">
        <f t="shared" si="2"/>
        <v>3597000</v>
      </c>
    </row>
    <row r="19" spans="1:24" ht="33" customHeight="1">
      <c r="A19" s="1092">
        <v>10</v>
      </c>
      <c r="B19" s="644"/>
      <c r="C19" s="1111">
        <v>9</v>
      </c>
      <c r="D19" s="1104" t="s">
        <v>749</v>
      </c>
      <c r="E19" s="1105" t="s">
        <v>620</v>
      </c>
      <c r="F19" s="288"/>
      <c r="G19" s="1113">
        <f t="shared" si="0"/>
        <v>183</v>
      </c>
      <c r="H19" s="1114"/>
      <c r="I19" s="1108"/>
      <c r="J19" s="1108"/>
      <c r="K19" s="1108">
        <v>19671</v>
      </c>
      <c r="L19" s="1108"/>
      <c r="M19" s="1108"/>
      <c r="N19" s="1108">
        <v>220329</v>
      </c>
      <c r="O19" s="1108"/>
      <c r="P19" s="1109">
        <f t="shared" si="1"/>
        <v>240000</v>
      </c>
      <c r="Q19" s="1106"/>
      <c r="R19" s="1108"/>
      <c r="S19" s="1108">
        <v>9749</v>
      </c>
      <c r="T19" s="1108">
        <v>3835</v>
      </c>
      <c r="U19" s="1108">
        <v>1005</v>
      </c>
      <c r="V19" s="1108">
        <f>2010+217401+6000+183</f>
        <v>225594</v>
      </c>
      <c r="W19" s="1108"/>
      <c r="X19" s="1110">
        <f t="shared" si="2"/>
        <v>240183</v>
      </c>
    </row>
    <row r="20" spans="1:24" s="286" customFormat="1" ht="33">
      <c r="A20" s="1092">
        <v>11</v>
      </c>
      <c r="B20" s="644"/>
      <c r="C20" s="1111">
        <v>10</v>
      </c>
      <c r="D20" s="1104" t="s">
        <v>517</v>
      </c>
      <c r="E20" s="1105" t="s">
        <v>621</v>
      </c>
      <c r="F20" s="645"/>
      <c r="G20" s="1113">
        <f t="shared" si="0"/>
        <v>0</v>
      </c>
      <c r="H20" s="1114"/>
      <c r="I20" s="1108"/>
      <c r="J20" s="1108"/>
      <c r="K20" s="1108"/>
      <c r="L20" s="1108">
        <v>480600</v>
      </c>
      <c r="M20" s="1108"/>
      <c r="N20" s="1108">
        <v>21000</v>
      </c>
      <c r="O20" s="1108"/>
      <c r="P20" s="1109">
        <f t="shared" si="1"/>
        <v>501600</v>
      </c>
      <c r="Q20" s="1106"/>
      <c r="R20" s="1108"/>
      <c r="S20" s="1108">
        <v>326</v>
      </c>
      <c r="T20" s="1108">
        <v>17127</v>
      </c>
      <c r="U20" s="1108">
        <f>1549+2433</f>
        <v>3982</v>
      </c>
      <c r="V20" s="1108">
        <f>8311+459854+12000</f>
        <v>480165</v>
      </c>
      <c r="W20" s="1108"/>
      <c r="X20" s="1110">
        <f t="shared" si="2"/>
        <v>501600</v>
      </c>
    </row>
    <row r="21" spans="1:24" s="286" customFormat="1" ht="55.5" customHeight="1">
      <c r="A21" s="1092">
        <v>12</v>
      </c>
      <c r="B21" s="644"/>
      <c r="C21" s="1111">
        <v>11</v>
      </c>
      <c r="D21" s="1104" t="s">
        <v>435</v>
      </c>
      <c r="E21" s="1105" t="s">
        <v>622</v>
      </c>
      <c r="F21" s="645"/>
      <c r="G21" s="1113">
        <f t="shared" si="0"/>
        <v>143176</v>
      </c>
      <c r="H21" s="1114"/>
      <c r="I21" s="1108">
        <v>977327</v>
      </c>
      <c r="J21" s="1108"/>
      <c r="K21" s="1108"/>
      <c r="L21" s="1108"/>
      <c r="M21" s="1108">
        <v>27091</v>
      </c>
      <c r="N21" s="1108"/>
      <c r="O21" s="1108"/>
      <c r="P21" s="1109">
        <f t="shared" si="1"/>
        <v>1004418</v>
      </c>
      <c r="Q21" s="1106">
        <v>25062</v>
      </c>
      <c r="R21" s="1108">
        <v>32060</v>
      </c>
      <c r="S21" s="1108">
        <v>393153</v>
      </c>
      <c r="T21" s="1108">
        <f>688437</f>
        <v>688437</v>
      </c>
      <c r="U21" s="1108">
        <v>260</v>
      </c>
      <c r="V21" s="1108">
        <v>8622</v>
      </c>
      <c r="W21" s="1108"/>
      <c r="X21" s="1110">
        <f>SUM(Q21:W21)</f>
        <v>1147594</v>
      </c>
    </row>
    <row r="22" spans="1:24" s="286" customFormat="1" ht="55.5" customHeight="1">
      <c r="A22" s="1092">
        <v>13</v>
      </c>
      <c r="B22" s="644"/>
      <c r="C22" s="1111">
        <v>12</v>
      </c>
      <c r="D22" s="1104" t="s">
        <v>778</v>
      </c>
      <c r="E22" s="1105" t="s">
        <v>623</v>
      </c>
      <c r="F22" s="645"/>
      <c r="G22" s="1113">
        <f t="shared" si="0"/>
        <v>0</v>
      </c>
      <c r="H22" s="1114"/>
      <c r="I22" s="1108"/>
      <c r="J22" s="1108"/>
      <c r="K22" s="1108"/>
      <c r="L22" s="1108"/>
      <c r="M22" s="1108"/>
      <c r="N22" s="1108">
        <v>906000</v>
      </c>
      <c r="O22" s="1108"/>
      <c r="P22" s="1109">
        <f t="shared" si="1"/>
        <v>906000</v>
      </c>
      <c r="Q22" s="1106"/>
      <c r="R22" s="1108"/>
      <c r="S22" s="1108"/>
      <c r="T22" s="1108"/>
      <c r="U22" s="1108">
        <v>5906</v>
      </c>
      <c r="V22" s="1108">
        <f>906000-5906</f>
        <v>900094</v>
      </c>
      <c r="W22" s="1108"/>
      <c r="X22" s="1110">
        <f>SUM(Q22:W22)</f>
        <v>906000</v>
      </c>
    </row>
    <row r="23" spans="1:24" ht="34.5" customHeight="1">
      <c r="A23" s="1092">
        <v>14</v>
      </c>
      <c r="B23" s="644"/>
      <c r="C23" s="1111">
        <v>13</v>
      </c>
      <c r="D23" s="1104" t="s">
        <v>417</v>
      </c>
      <c r="E23" s="1105" t="s">
        <v>617</v>
      </c>
      <c r="F23" s="288"/>
      <c r="G23" s="1113">
        <f t="shared" si="0"/>
        <v>62406</v>
      </c>
      <c r="H23" s="1114"/>
      <c r="I23" s="1108"/>
      <c r="J23" s="1108"/>
      <c r="K23" s="1108">
        <v>227554</v>
      </c>
      <c r="L23" s="1108"/>
      <c r="M23" s="1108">
        <v>10916</v>
      </c>
      <c r="N23" s="1108"/>
      <c r="O23" s="1108"/>
      <c r="P23" s="1109">
        <f t="shared" si="1"/>
        <v>238470</v>
      </c>
      <c r="Q23" s="1106"/>
      <c r="R23" s="1108"/>
      <c r="S23" s="1108">
        <v>4460</v>
      </c>
      <c r="T23" s="1116">
        <v>267453</v>
      </c>
      <c r="U23" s="1116">
        <v>0</v>
      </c>
      <c r="V23" s="1116">
        <f>1087+21914+5962</f>
        <v>28963</v>
      </c>
      <c r="W23" s="1108"/>
      <c r="X23" s="1110">
        <f t="shared" si="2"/>
        <v>300876</v>
      </c>
    </row>
    <row r="24" spans="1:24" s="1278" customFormat="1" ht="33" customHeight="1">
      <c r="A24" s="1092">
        <v>15</v>
      </c>
      <c r="B24" s="1273"/>
      <c r="C24" s="1274">
        <v>14</v>
      </c>
      <c r="D24" s="1118" t="s">
        <v>779</v>
      </c>
      <c r="E24" s="1198" t="s">
        <v>780</v>
      </c>
      <c r="F24" s="1275"/>
      <c r="G24" s="1119">
        <f t="shared" si="0"/>
        <v>0</v>
      </c>
      <c r="H24" s="1120"/>
      <c r="I24" s="1116"/>
      <c r="J24" s="1116"/>
      <c r="K24" s="1116"/>
      <c r="L24" s="1116"/>
      <c r="M24" s="1116"/>
      <c r="N24" s="1116">
        <v>2787362</v>
      </c>
      <c r="O24" s="1116">
        <v>118938</v>
      </c>
      <c r="P24" s="1276">
        <f t="shared" si="1"/>
        <v>2906300</v>
      </c>
      <c r="Q24" s="1115"/>
      <c r="R24" s="1116"/>
      <c r="S24" s="1116"/>
      <c r="T24" s="1116"/>
      <c r="U24" s="1277"/>
      <c r="V24" s="1116">
        <v>2787362</v>
      </c>
      <c r="W24" s="1116">
        <v>118938</v>
      </c>
      <c r="X24" s="1110">
        <f t="shared" si="2"/>
        <v>2906300</v>
      </c>
    </row>
    <row r="25" spans="1:24" ht="33" customHeight="1">
      <c r="A25" s="1092">
        <v>16</v>
      </c>
      <c r="B25" s="644"/>
      <c r="C25" s="1111">
        <v>15</v>
      </c>
      <c r="D25" s="1104" t="s">
        <v>784</v>
      </c>
      <c r="E25" s="1105" t="s">
        <v>621</v>
      </c>
      <c r="F25" s="288"/>
      <c r="G25" s="1119">
        <f t="shared" si="0"/>
        <v>0</v>
      </c>
      <c r="H25" s="1120">
        <v>277946</v>
      </c>
      <c r="I25" s="1108"/>
      <c r="J25" s="1108"/>
      <c r="K25" s="1108">
        <v>558299</v>
      </c>
      <c r="L25" s="1108"/>
      <c r="M25" s="1108"/>
      <c r="N25" s="1108">
        <v>793085</v>
      </c>
      <c r="O25" s="1108"/>
      <c r="P25" s="1109">
        <f t="shared" si="1"/>
        <v>1351384</v>
      </c>
      <c r="Q25" s="1115"/>
      <c r="R25" s="1116"/>
      <c r="S25" s="1116">
        <v>28000</v>
      </c>
      <c r="T25" s="1116">
        <v>26441</v>
      </c>
      <c r="U25" s="1116">
        <v>46228</v>
      </c>
      <c r="V25" s="1116">
        <v>1528661</v>
      </c>
      <c r="W25" s="1108"/>
      <c r="X25" s="1110">
        <f t="shared" si="2"/>
        <v>1629330</v>
      </c>
    </row>
    <row r="26" spans="1:24" ht="49.5">
      <c r="A26" s="1092">
        <v>17</v>
      </c>
      <c r="B26" s="644"/>
      <c r="C26" s="1111">
        <v>16</v>
      </c>
      <c r="D26" s="1121" t="s">
        <v>519</v>
      </c>
      <c r="E26" s="1105" t="s">
        <v>623</v>
      </c>
      <c r="F26" s="288"/>
      <c r="G26" s="1113">
        <f t="shared" si="0"/>
        <v>300126</v>
      </c>
      <c r="H26" s="1114"/>
      <c r="I26" s="1108"/>
      <c r="J26" s="1108"/>
      <c r="K26" s="1108"/>
      <c r="L26" s="1108">
        <v>243150</v>
      </c>
      <c r="M26" s="1108"/>
      <c r="N26" s="1108">
        <v>11850</v>
      </c>
      <c r="O26" s="1108"/>
      <c r="P26" s="1109">
        <f t="shared" si="1"/>
        <v>255000</v>
      </c>
      <c r="Q26" s="1106"/>
      <c r="R26" s="1108"/>
      <c r="S26" s="1108">
        <v>4379</v>
      </c>
      <c r="T26" s="1108">
        <v>12827</v>
      </c>
      <c r="U26" s="1108"/>
      <c r="V26" s="1108">
        <f>249920+288000</f>
        <v>537920</v>
      </c>
      <c r="W26" s="1108"/>
      <c r="X26" s="1110">
        <f t="shared" si="2"/>
        <v>555126</v>
      </c>
    </row>
    <row r="27" spans="1:24" s="1278" customFormat="1" ht="33" customHeight="1">
      <c r="A27" s="1092">
        <v>18</v>
      </c>
      <c r="B27" s="1273"/>
      <c r="C27" s="1279">
        <v>17</v>
      </c>
      <c r="D27" s="1112" t="s">
        <v>597</v>
      </c>
      <c r="E27" s="1198" t="s">
        <v>624</v>
      </c>
      <c r="F27" s="1275"/>
      <c r="G27" s="1119">
        <f t="shared" si="0"/>
        <v>0</v>
      </c>
      <c r="H27" s="1120"/>
      <c r="I27" s="1116"/>
      <c r="J27" s="1116"/>
      <c r="K27" s="1116"/>
      <c r="L27" s="1116">
        <f>23652+14397</f>
        <v>38049</v>
      </c>
      <c r="M27" s="1116">
        <f>29993+15185+6342</f>
        <v>51520</v>
      </c>
      <c r="N27" s="1116">
        <f>1812+55770+36849</f>
        <v>94431</v>
      </c>
      <c r="O27" s="1116"/>
      <c r="P27" s="1276">
        <f t="shared" si="1"/>
        <v>184000</v>
      </c>
      <c r="Q27" s="1115"/>
      <c r="R27" s="1116"/>
      <c r="S27" s="1116">
        <v>9200</v>
      </c>
      <c r="T27" s="1116">
        <f>3350+5228+2097</f>
        <v>10675</v>
      </c>
      <c r="U27" s="1116">
        <f>13739+5801</f>
        <v>19540</v>
      </c>
      <c r="V27" s="1116">
        <f>19255+75640+49690</f>
        <v>144585</v>
      </c>
      <c r="W27" s="1116"/>
      <c r="X27" s="1110">
        <f t="shared" si="2"/>
        <v>184000</v>
      </c>
    </row>
    <row r="28" spans="1:24" ht="49.5">
      <c r="A28" s="1092">
        <v>19</v>
      </c>
      <c r="B28" s="644"/>
      <c r="C28" s="1111">
        <v>18</v>
      </c>
      <c r="D28" s="1104" t="s">
        <v>434</v>
      </c>
      <c r="E28" s="1105" t="s">
        <v>621</v>
      </c>
      <c r="F28" s="288"/>
      <c r="G28" s="1113">
        <f t="shared" si="0"/>
        <v>695</v>
      </c>
      <c r="H28" s="1114"/>
      <c r="I28" s="1108"/>
      <c r="J28" s="1108"/>
      <c r="K28" s="1108">
        <v>24175</v>
      </c>
      <c r="L28" s="1108"/>
      <c r="M28" s="1108">
        <v>26185</v>
      </c>
      <c r="N28" s="1108"/>
      <c r="O28" s="1108"/>
      <c r="P28" s="1109">
        <f t="shared" si="1"/>
        <v>50360</v>
      </c>
      <c r="Q28" s="1115"/>
      <c r="R28" s="1116"/>
      <c r="S28" s="1116">
        <v>1176</v>
      </c>
      <c r="T28" s="1116">
        <v>23808</v>
      </c>
      <c r="U28" s="1116">
        <f>744+333+7845</f>
        <v>8922</v>
      </c>
      <c r="V28" s="1116">
        <v>17149</v>
      </c>
      <c r="W28" s="1108"/>
      <c r="X28" s="1110">
        <f t="shared" si="2"/>
        <v>51055</v>
      </c>
    </row>
    <row r="29" spans="1:24" ht="33" customHeight="1">
      <c r="A29" s="1092">
        <v>20</v>
      </c>
      <c r="B29" s="644"/>
      <c r="C29" s="1117">
        <v>19</v>
      </c>
      <c r="D29" s="1104" t="s">
        <v>625</v>
      </c>
      <c r="E29" s="1105" t="s">
        <v>623</v>
      </c>
      <c r="F29" s="288"/>
      <c r="G29" s="1113">
        <f t="shared" si="0"/>
        <v>11302</v>
      </c>
      <c r="H29" s="1114"/>
      <c r="I29" s="1108"/>
      <c r="J29" s="1108"/>
      <c r="K29" s="1108"/>
      <c r="L29" s="1108"/>
      <c r="M29" s="1108">
        <v>4371</v>
      </c>
      <c r="N29" s="1108">
        <v>12634</v>
      </c>
      <c r="O29" s="1108"/>
      <c r="P29" s="1109">
        <f t="shared" si="1"/>
        <v>17005</v>
      </c>
      <c r="Q29" s="1106"/>
      <c r="R29" s="1108"/>
      <c r="S29" s="1108"/>
      <c r="T29" s="1108">
        <v>8399</v>
      </c>
      <c r="U29" s="1108">
        <f>5179+842+2216+2237</f>
        <v>10474</v>
      </c>
      <c r="V29" s="1108">
        <f>9358+76</f>
        <v>9434</v>
      </c>
      <c r="W29" s="1108"/>
      <c r="X29" s="1110">
        <f t="shared" si="2"/>
        <v>28307</v>
      </c>
    </row>
    <row r="30" spans="1:24" ht="33" customHeight="1">
      <c r="A30" s="1092">
        <v>21</v>
      </c>
      <c r="B30" s="1280"/>
      <c r="C30" s="1274">
        <v>20</v>
      </c>
      <c r="D30" s="1281" t="s">
        <v>523</v>
      </c>
      <c r="E30" s="1198" t="s">
        <v>623</v>
      </c>
      <c r="F30" s="1282"/>
      <c r="G30" s="1113">
        <f t="shared" si="0"/>
        <v>15000</v>
      </c>
      <c r="H30" s="1108"/>
      <c r="I30" s="1108"/>
      <c r="J30" s="1108"/>
      <c r="K30" s="1108"/>
      <c r="L30" s="1108"/>
      <c r="M30" s="1108">
        <v>0</v>
      </c>
      <c r="N30" s="1108">
        <v>40000</v>
      </c>
      <c r="O30" s="1108"/>
      <c r="P30" s="1109">
        <f t="shared" si="1"/>
        <v>40000</v>
      </c>
      <c r="Q30" s="1106"/>
      <c r="R30" s="1108"/>
      <c r="S30" s="1108"/>
      <c r="T30" s="1108"/>
      <c r="U30" s="1108">
        <v>1680</v>
      </c>
      <c r="V30" s="1108">
        <f>295+38025+15000</f>
        <v>53320</v>
      </c>
      <c r="W30" s="1108"/>
      <c r="X30" s="1110">
        <f t="shared" si="2"/>
        <v>55000</v>
      </c>
    </row>
    <row r="31" spans="1:24" ht="53.25" customHeight="1">
      <c r="A31" s="1092">
        <v>22</v>
      </c>
      <c r="B31" s="1280"/>
      <c r="C31" s="1283">
        <v>21</v>
      </c>
      <c r="D31" s="1051" t="s">
        <v>524</v>
      </c>
      <c r="E31" s="1198" t="s">
        <v>623</v>
      </c>
      <c r="F31" s="1284"/>
      <c r="G31" s="1113">
        <f t="shared" si="0"/>
        <v>0</v>
      </c>
      <c r="H31" s="1114"/>
      <c r="I31" s="1285"/>
      <c r="J31" s="1285"/>
      <c r="K31" s="1285"/>
      <c r="L31" s="1285"/>
      <c r="M31" s="1285">
        <v>19985</v>
      </c>
      <c r="N31" s="1285"/>
      <c r="O31" s="1285"/>
      <c r="P31" s="1109">
        <f t="shared" si="1"/>
        <v>19985</v>
      </c>
      <c r="Q31" s="1113"/>
      <c r="R31" s="1285"/>
      <c r="S31" s="1285"/>
      <c r="T31" s="1285"/>
      <c r="U31" s="1285"/>
      <c r="V31" s="1285">
        <v>19985</v>
      </c>
      <c r="W31" s="1285"/>
      <c r="X31" s="1110">
        <f t="shared" si="2"/>
        <v>19985</v>
      </c>
    </row>
    <row r="32" spans="1:24" s="286" customFormat="1" ht="33" customHeight="1">
      <c r="A32" s="1092">
        <v>23</v>
      </c>
      <c r="B32" s="1093">
        <v>14</v>
      </c>
      <c r="C32" s="1094" t="s">
        <v>430</v>
      </c>
      <c r="D32" s="1095"/>
      <c r="E32" s="1286"/>
      <c r="F32" s="1097"/>
      <c r="G32" s="1125"/>
      <c r="H32" s="1122"/>
      <c r="I32" s="1123"/>
      <c r="J32" s="1123"/>
      <c r="K32" s="1123"/>
      <c r="L32" s="1123"/>
      <c r="M32" s="1123"/>
      <c r="N32" s="1123"/>
      <c r="O32" s="1123"/>
      <c r="P32" s="1124"/>
      <c r="Q32" s="1125"/>
      <c r="R32" s="1126"/>
      <c r="S32" s="1126"/>
      <c r="T32" s="1126"/>
      <c r="U32" s="1126"/>
      <c r="V32" s="1126"/>
      <c r="W32" s="1126"/>
      <c r="X32" s="1127"/>
    </row>
    <row r="33" spans="1:24" ht="33" customHeight="1">
      <c r="A33" s="1092">
        <v>24</v>
      </c>
      <c r="B33" s="1287"/>
      <c r="C33" s="1111">
        <v>3</v>
      </c>
      <c r="D33" s="1104" t="s">
        <v>665</v>
      </c>
      <c r="E33" s="1288" t="s">
        <v>781</v>
      </c>
      <c r="F33" s="1289"/>
      <c r="G33" s="1290">
        <f>+X33-P33-H33</f>
        <v>142</v>
      </c>
      <c r="H33" s="1291"/>
      <c r="I33" s="1292"/>
      <c r="J33" s="1292"/>
      <c r="K33" s="1292"/>
      <c r="L33" s="1292"/>
      <c r="M33" s="1292">
        <v>2602</v>
      </c>
      <c r="N33" s="1440">
        <v>4099</v>
      </c>
      <c r="O33" s="1292"/>
      <c r="P33" s="1293">
        <f>SUM(I33:O33)</f>
        <v>6701</v>
      </c>
      <c r="Q33" s="1290"/>
      <c r="R33" s="1292"/>
      <c r="S33" s="1292"/>
      <c r="T33" s="1292"/>
      <c r="U33" s="1292"/>
      <c r="V33" s="1292">
        <v>6843</v>
      </c>
      <c r="W33" s="1292"/>
      <c r="X33" s="1294">
        <f>SUM(Q33:W33)</f>
        <v>6843</v>
      </c>
    </row>
    <row r="34" spans="1:24" ht="33" customHeight="1">
      <c r="A34" s="1092">
        <v>25</v>
      </c>
      <c r="B34" s="1287">
        <v>13</v>
      </c>
      <c r="C34" s="1094" t="s">
        <v>32</v>
      </c>
      <c r="D34" s="1295"/>
      <c r="E34" s="1288"/>
      <c r="F34" s="1289"/>
      <c r="G34" s="1290"/>
      <c r="H34" s="1291"/>
      <c r="I34" s="1292"/>
      <c r="J34" s="1292"/>
      <c r="K34" s="1292"/>
      <c r="L34" s="1292"/>
      <c r="M34" s="1292"/>
      <c r="N34" s="1292"/>
      <c r="O34" s="1292"/>
      <c r="P34" s="1293"/>
      <c r="Q34" s="1290"/>
      <c r="R34" s="1292"/>
      <c r="S34" s="1292"/>
      <c r="T34" s="1292"/>
      <c r="U34" s="1292"/>
      <c r="V34" s="1292"/>
      <c r="W34" s="1292"/>
      <c r="X34" s="1294"/>
    </row>
    <row r="35" spans="1:24" ht="33" customHeight="1">
      <c r="A35" s="1092">
        <v>26</v>
      </c>
      <c r="B35" s="1287"/>
      <c r="C35" s="1111">
        <v>1</v>
      </c>
      <c r="D35" s="1104" t="s">
        <v>665</v>
      </c>
      <c r="E35" s="1288" t="s">
        <v>781</v>
      </c>
      <c r="F35" s="1289"/>
      <c r="G35" s="1290">
        <f>+X35-P35-H35</f>
        <v>0</v>
      </c>
      <c r="H35" s="1291"/>
      <c r="I35" s="1292"/>
      <c r="J35" s="1292"/>
      <c r="K35" s="1292"/>
      <c r="L35" s="1292"/>
      <c r="M35" s="1292">
        <v>8944</v>
      </c>
      <c r="N35" s="1292"/>
      <c r="O35" s="1292">
        <v>2236</v>
      </c>
      <c r="P35" s="1293">
        <f>SUM(I35:O35)</f>
        <v>11180</v>
      </c>
      <c r="Q35" s="1290"/>
      <c r="R35" s="1292"/>
      <c r="S35" s="1292"/>
      <c r="T35" s="1292"/>
      <c r="U35" s="1292"/>
      <c r="V35" s="1292">
        <v>8944</v>
      </c>
      <c r="W35" s="1292">
        <v>2236</v>
      </c>
      <c r="X35" s="1294">
        <f>SUM(Q35:W35)</f>
        <v>11180</v>
      </c>
    </row>
    <row r="36" spans="1:24" ht="33" customHeight="1">
      <c r="A36" s="1092">
        <v>27</v>
      </c>
      <c r="B36" s="1296">
        <v>11</v>
      </c>
      <c r="C36" s="1094" t="s">
        <v>429</v>
      </c>
      <c r="D36" s="1095"/>
      <c r="E36" s="1288"/>
      <c r="F36" s="1289"/>
      <c r="G36" s="1290"/>
      <c r="H36" s="1291"/>
      <c r="I36" s="1292"/>
      <c r="J36" s="1292"/>
      <c r="K36" s="1292"/>
      <c r="L36" s="1292"/>
      <c r="M36" s="1292"/>
      <c r="N36" s="1292"/>
      <c r="O36" s="1292"/>
      <c r="P36" s="1293"/>
      <c r="Q36" s="1290"/>
      <c r="R36" s="1292"/>
      <c r="S36" s="1292"/>
      <c r="T36" s="1292"/>
      <c r="U36" s="1292"/>
      <c r="V36" s="1292"/>
      <c r="W36" s="1292"/>
      <c r="X36" s="1294"/>
    </row>
    <row r="37" spans="1:24" ht="33" customHeight="1" thickBot="1">
      <c r="A37" s="1092">
        <v>28</v>
      </c>
      <c r="B37" s="1297"/>
      <c r="C37" s="1298">
        <v>1</v>
      </c>
      <c r="D37" s="1299" t="s">
        <v>665</v>
      </c>
      <c r="E37" s="1128" t="s">
        <v>782</v>
      </c>
      <c r="F37" s="1300"/>
      <c r="G37" s="1290">
        <f>+X37-P37-H37</f>
        <v>0</v>
      </c>
      <c r="H37" s="1130"/>
      <c r="I37" s="1301"/>
      <c r="J37" s="1301"/>
      <c r="K37" s="1301"/>
      <c r="L37" s="1301"/>
      <c r="M37" s="1301">
        <v>1879</v>
      </c>
      <c r="N37" s="1301">
        <v>470</v>
      </c>
      <c r="O37" s="1301"/>
      <c r="P37" s="1293">
        <f>SUM(I37:O37)</f>
        <v>2349</v>
      </c>
      <c r="Q37" s="1129"/>
      <c r="R37" s="1301"/>
      <c r="S37" s="1301"/>
      <c r="T37" s="1301"/>
      <c r="U37" s="1301"/>
      <c r="V37" s="1301">
        <v>2349</v>
      </c>
      <c r="W37" s="1301"/>
      <c r="X37" s="1294">
        <f>SUM(Q37:W37)</f>
        <v>2349</v>
      </c>
    </row>
    <row r="38" spans="1:24" ht="33" customHeight="1" thickBot="1">
      <c r="A38" s="1092">
        <v>29</v>
      </c>
      <c r="B38" s="1954" t="s">
        <v>120</v>
      </c>
      <c r="C38" s="1955"/>
      <c r="D38" s="1955"/>
      <c r="E38" s="1955"/>
      <c r="F38" s="287"/>
      <c r="G38" s="1131">
        <f>SUM(G11:G37)</f>
        <v>1239407</v>
      </c>
      <c r="H38" s="1132">
        <f aca="true" t="shared" si="3" ref="H38:M38">SUM(H11:H37)</f>
        <v>277946</v>
      </c>
      <c r="I38" s="1132">
        <f t="shared" si="3"/>
        <v>977327</v>
      </c>
      <c r="J38" s="1132">
        <f t="shared" si="3"/>
        <v>0</v>
      </c>
      <c r="K38" s="1132">
        <f t="shared" si="3"/>
        <v>2938877</v>
      </c>
      <c r="L38" s="1132">
        <f t="shared" si="3"/>
        <v>1125747</v>
      </c>
      <c r="M38" s="1132">
        <f t="shared" si="3"/>
        <v>1049406</v>
      </c>
      <c r="N38" s="1132">
        <f>SUM(N11:N37)</f>
        <v>5676760</v>
      </c>
      <c r="O38" s="1132">
        <f>SUM(O11:O37)</f>
        <v>121174</v>
      </c>
      <c r="P38" s="1132">
        <f>SUM(P11:P37)</f>
        <v>11889291</v>
      </c>
      <c r="Q38" s="1131">
        <f>SUM(Q11:Q37)</f>
        <v>68046</v>
      </c>
      <c r="R38" s="1132">
        <f>SUM(R11:R37)</f>
        <v>126233</v>
      </c>
      <c r="S38" s="1132">
        <f>SUM(S11:S37)</f>
        <v>801730</v>
      </c>
      <c r="T38" s="1132">
        <f>SUM(T11:T37)</f>
        <v>2302797</v>
      </c>
      <c r="U38" s="1132">
        <f>SUM(U11:U37)</f>
        <v>1273232</v>
      </c>
      <c r="V38" s="1132">
        <f>SUM(V11:V37)</f>
        <v>8713432</v>
      </c>
      <c r="W38" s="1132">
        <f>SUM(W11:W37)</f>
        <v>121174</v>
      </c>
      <c r="X38" s="1133">
        <f>SUM(X11:X37)</f>
        <v>13406644</v>
      </c>
    </row>
    <row r="39" spans="2:24" ht="24.75" customHeight="1">
      <c r="B39" s="1952" t="s">
        <v>626</v>
      </c>
      <c r="C39" s="1952"/>
      <c r="D39" s="1952"/>
      <c r="E39" s="1952"/>
      <c r="F39" s="1952"/>
      <c r="G39" s="1952"/>
      <c r="H39" s="1952"/>
      <c r="I39" s="1952"/>
      <c r="J39" s="1952"/>
      <c r="K39" s="1952"/>
      <c r="L39" s="1952"/>
      <c r="M39" s="1952"/>
      <c r="N39" s="1952"/>
      <c r="O39" s="1952"/>
      <c r="P39" s="1952"/>
      <c r="Q39" s="1952"/>
      <c r="R39" s="1952"/>
      <c r="S39" s="1952"/>
      <c r="T39" s="1952"/>
      <c r="U39" s="1952"/>
      <c r="V39" s="1952"/>
      <c r="W39" s="1952"/>
      <c r="X39" s="1952"/>
    </row>
    <row r="40" spans="2:24" ht="24.75" customHeight="1">
      <c r="B40" s="1953" t="s">
        <v>783</v>
      </c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</row>
    <row r="41" spans="2:24" s="1037" customFormat="1" ht="24.75" customHeight="1">
      <c r="B41" s="284"/>
      <c r="C41" s="284"/>
      <c r="D41" s="1268"/>
      <c r="E41" s="285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</row>
    <row r="42" spans="2:24" s="1037" customFormat="1" ht="24.75" customHeight="1">
      <c r="B42" s="284"/>
      <c r="C42" s="284"/>
      <c r="D42" s="1268"/>
      <c r="E42" s="285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</row>
    <row r="43" spans="2:24" s="1037" customFormat="1" ht="24.75" customHeight="1">
      <c r="B43" s="284"/>
      <c r="C43" s="284"/>
      <c r="D43" s="1268"/>
      <c r="E43" s="285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</row>
    <row r="44" spans="2:24" s="1037" customFormat="1" ht="24.75" customHeight="1">
      <c r="B44" s="284"/>
      <c r="C44" s="284"/>
      <c r="D44" s="1268"/>
      <c r="E44" s="285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</row>
    <row r="45" spans="2:24" s="1037" customFormat="1" ht="24.75" customHeight="1">
      <c r="B45" s="284"/>
      <c r="C45" s="284"/>
      <c r="D45" s="1268"/>
      <c r="E45" s="285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</row>
    <row r="46" spans="2:24" s="1037" customFormat="1" ht="24.75" customHeight="1">
      <c r="B46" s="284"/>
      <c r="C46" s="284"/>
      <c r="D46" s="1268"/>
      <c r="E46" s="285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</row>
  </sheetData>
  <sheetProtection/>
  <mergeCells count="19">
    <mergeCell ref="B39:X39"/>
    <mergeCell ref="B40:X40"/>
    <mergeCell ref="B38:E38"/>
    <mergeCell ref="B1:U1"/>
    <mergeCell ref="X7:X9"/>
    <mergeCell ref="G8:G9"/>
    <mergeCell ref="H8:H9"/>
    <mergeCell ref="I8:O8"/>
    <mergeCell ref="P8:P9"/>
    <mergeCell ref="B7:B9"/>
    <mergeCell ref="C7:C9"/>
    <mergeCell ref="D7:D9"/>
    <mergeCell ref="E7:E9"/>
    <mergeCell ref="G7:P7"/>
    <mergeCell ref="Q7:W8"/>
    <mergeCell ref="B2:X2"/>
    <mergeCell ref="B3:X3"/>
    <mergeCell ref="B4:X4"/>
    <mergeCell ref="W5:X5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44" r:id="rId1"/>
  <headerFoot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3.75390625" style="228" customWidth="1"/>
    <col min="2" max="2" width="4.75390625" style="228" customWidth="1"/>
    <col min="3" max="3" width="51.75390625" style="41" customWidth="1"/>
    <col min="4" max="4" width="24.25390625" style="40" customWidth="1"/>
    <col min="5" max="16384" width="9.125" style="41" customWidth="1"/>
  </cols>
  <sheetData>
    <row r="1" spans="1:3" ht="18" customHeight="1">
      <c r="A1" s="228" t="s">
        <v>335</v>
      </c>
      <c r="B1" s="1958" t="s">
        <v>658</v>
      </c>
      <c r="C1" s="1958"/>
    </row>
    <row r="2" spans="2:3" ht="18" customHeight="1">
      <c r="B2" s="1058"/>
      <c r="C2" s="1058"/>
    </row>
    <row r="3" spans="1:4" s="44" customFormat="1" ht="24.75" customHeight="1">
      <c r="A3" s="425"/>
      <c r="B3" s="1597" t="s">
        <v>113</v>
      </c>
      <c r="C3" s="1597"/>
      <c r="D3" s="1597"/>
    </row>
    <row r="4" spans="1:4" s="42" customFormat="1" ht="24.75" customHeight="1">
      <c r="A4" s="426"/>
      <c r="B4" s="1599" t="s">
        <v>681</v>
      </c>
      <c r="C4" s="1599"/>
      <c r="D4" s="1599"/>
    </row>
    <row r="5" spans="1:4" s="220" customFormat="1" ht="24.75" customHeight="1">
      <c r="A5" s="228"/>
      <c r="B5" s="1959" t="s">
        <v>336</v>
      </c>
      <c r="C5" s="1959"/>
      <c r="D5" s="1959"/>
    </row>
    <row r="6" spans="1:4" s="1041" customFormat="1" ht="18" customHeight="1" thickBot="1">
      <c r="A6" s="129"/>
      <c r="B6" s="1960" t="s">
        <v>1</v>
      </c>
      <c r="C6" s="1960"/>
      <c r="D6" s="1040" t="s">
        <v>3</v>
      </c>
    </row>
    <row r="7" spans="2:4" ht="33" customHeight="1" thickBot="1">
      <c r="B7" s="1961" t="s">
        <v>337</v>
      </c>
      <c r="C7" s="1962"/>
      <c r="D7" s="221" t="s">
        <v>338</v>
      </c>
    </row>
    <row r="8" spans="1:4" s="44" customFormat="1" ht="30" customHeight="1">
      <c r="A8" s="425">
        <v>1</v>
      </c>
      <c r="B8" s="43" t="s">
        <v>121</v>
      </c>
      <c r="C8" s="222" t="s">
        <v>339</v>
      </c>
      <c r="D8" s="223"/>
    </row>
    <row r="9" spans="1:4" ht="24.75" customHeight="1">
      <c r="A9" s="425">
        <v>2</v>
      </c>
      <c r="B9" s="45"/>
      <c r="C9" s="224" t="s">
        <v>122</v>
      </c>
      <c r="D9" s="1059">
        <v>140000</v>
      </c>
    </row>
    <row r="10" spans="1:4" ht="24.75" customHeight="1">
      <c r="A10" s="425">
        <v>3</v>
      </c>
      <c r="B10" s="45"/>
      <c r="C10" s="224" t="s">
        <v>123</v>
      </c>
      <c r="D10" s="1059">
        <v>30000</v>
      </c>
    </row>
    <row r="11" spans="1:4" ht="24.75" customHeight="1">
      <c r="A11" s="425">
        <v>4</v>
      </c>
      <c r="B11" s="45"/>
      <c r="C11" s="224" t="s">
        <v>124</v>
      </c>
      <c r="D11" s="1059">
        <v>150000</v>
      </c>
    </row>
    <row r="12" spans="1:4" ht="24.75" customHeight="1">
      <c r="A12" s="425">
        <v>5</v>
      </c>
      <c r="B12" s="45"/>
      <c r="C12" s="224" t="s">
        <v>125</v>
      </c>
      <c r="D12" s="1059">
        <v>14000</v>
      </c>
    </row>
    <row r="13" spans="1:4" ht="24.75" customHeight="1">
      <c r="A13" s="425">
        <v>6</v>
      </c>
      <c r="B13" s="45"/>
      <c r="C13" s="224" t="s">
        <v>126</v>
      </c>
      <c r="D13" s="1059">
        <v>40000</v>
      </c>
    </row>
    <row r="14" spans="1:4" s="220" customFormat="1" ht="30" customHeight="1">
      <c r="A14" s="425">
        <v>7</v>
      </c>
      <c r="B14" s="45"/>
      <c r="C14" s="1442" t="s">
        <v>132</v>
      </c>
      <c r="D14" s="1443">
        <f>SUM(D9:D13)</f>
        <v>374000</v>
      </c>
    </row>
    <row r="15" spans="1:4" s="42" customFormat="1" ht="49.5" customHeight="1">
      <c r="A15" s="425">
        <v>8</v>
      </c>
      <c r="B15" s="46" t="s">
        <v>128</v>
      </c>
      <c r="C15" s="225" t="s">
        <v>340</v>
      </c>
      <c r="D15" s="1060">
        <v>155</v>
      </c>
    </row>
    <row r="16" spans="1:4" s="42" customFormat="1" ht="49.5" customHeight="1">
      <c r="A16" s="425">
        <v>9</v>
      </c>
      <c r="B16" s="46" t="s">
        <v>129</v>
      </c>
      <c r="C16" s="225" t="s">
        <v>341</v>
      </c>
      <c r="D16" s="226"/>
    </row>
    <row r="17" spans="1:4" s="42" customFormat="1" ht="49.5" customHeight="1">
      <c r="A17" s="425">
        <v>10</v>
      </c>
      <c r="B17" s="46" t="s">
        <v>130</v>
      </c>
      <c r="C17" s="225" t="s">
        <v>342</v>
      </c>
      <c r="D17" s="226">
        <v>1476</v>
      </c>
    </row>
    <row r="18" spans="1:4" s="42" customFormat="1" ht="49.5" customHeight="1" thickBot="1">
      <c r="A18" s="425">
        <v>11</v>
      </c>
      <c r="B18" s="46" t="s">
        <v>131</v>
      </c>
      <c r="C18" s="225" t="s">
        <v>343</v>
      </c>
      <c r="D18" s="226"/>
    </row>
    <row r="19" spans="1:4" s="42" customFormat="1" ht="33" customHeight="1" thickBot="1">
      <c r="A19" s="425">
        <v>12</v>
      </c>
      <c r="B19" s="1956" t="s">
        <v>132</v>
      </c>
      <c r="C19" s="1957"/>
      <c r="D19" s="227">
        <f>SUM(D14:D18)</f>
        <v>375631</v>
      </c>
    </row>
    <row r="20" spans="3:4" ht="16.5" customHeight="1">
      <c r="C20" s="229"/>
      <c r="D20" s="47"/>
    </row>
    <row r="21" spans="3:4" ht="16.5" customHeight="1">
      <c r="C21" s="229"/>
      <c r="D21" s="47"/>
    </row>
    <row r="22" spans="3:4" ht="16.5" customHeight="1">
      <c r="C22" s="229"/>
      <c r="D22" s="47"/>
    </row>
    <row r="23" spans="3:4" ht="16.5" customHeight="1">
      <c r="C23" s="229"/>
      <c r="D23" s="47"/>
    </row>
    <row r="24" spans="3:4" ht="16.5" customHeight="1">
      <c r="C24" s="229"/>
      <c r="D24" s="47"/>
    </row>
    <row r="25" spans="3:4" ht="16.5" customHeight="1">
      <c r="C25" s="229"/>
      <c r="D25" s="47"/>
    </row>
    <row r="26" spans="3:4" ht="16.5" customHeight="1">
      <c r="C26" s="229"/>
      <c r="D26" s="47"/>
    </row>
    <row r="27" spans="3:4" ht="16.5" customHeight="1">
      <c r="C27" s="229"/>
      <c r="D27" s="47"/>
    </row>
    <row r="28" spans="3:4" ht="16.5" customHeight="1">
      <c r="C28" s="229"/>
      <c r="D28" s="47"/>
    </row>
    <row r="29" spans="3:4" ht="16.5" customHeight="1">
      <c r="C29" s="229"/>
      <c r="D29" s="47"/>
    </row>
    <row r="30" spans="3:4" ht="16.5" customHeight="1">
      <c r="C30" s="229"/>
      <c r="D30" s="47"/>
    </row>
    <row r="31" spans="3:4" ht="16.5">
      <c r="C31" s="229"/>
      <c r="D31" s="47"/>
    </row>
    <row r="32" spans="3:4" ht="16.5">
      <c r="C32" s="229"/>
      <c r="D32" s="47"/>
    </row>
    <row r="33" spans="3:4" ht="16.5">
      <c r="C33" s="229"/>
      <c r="D33" s="47"/>
    </row>
    <row r="34" spans="3:4" ht="16.5">
      <c r="C34" s="229"/>
      <c r="D34" s="47"/>
    </row>
    <row r="35" spans="3:4" ht="16.5">
      <c r="C35" s="229"/>
      <c r="D35" s="47"/>
    </row>
    <row r="36" spans="3:4" ht="16.5">
      <c r="C36" s="229"/>
      <c r="D36" s="47"/>
    </row>
    <row r="37" spans="3:4" ht="16.5">
      <c r="C37" s="229"/>
      <c r="D37" s="47"/>
    </row>
    <row r="38" spans="3:4" ht="16.5">
      <c r="C38" s="229"/>
      <c r="D38" s="47"/>
    </row>
    <row r="39" spans="3:4" ht="16.5">
      <c r="C39" s="229"/>
      <c r="D39" s="47"/>
    </row>
    <row r="40" spans="3:4" ht="16.5">
      <c r="C40" s="229"/>
      <c r="D40" s="47"/>
    </row>
    <row r="41" spans="3:4" ht="16.5">
      <c r="C41" s="229"/>
      <c r="D41" s="47"/>
    </row>
    <row r="42" spans="3:4" ht="16.5">
      <c r="C42" s="229"/>
      <c r="D42" s="47"/>
    </row>
    <row r="43" spans="3:4" ht="16.5">
      <c r="C43" s="229"/>
      <c r="D43" s="47"/>
    </row>
    <row r="44" spans="3:4" ht="16.5">
      <c r="C44" s="229"/>
      <c r="D44" s="47"/>
    </row>
    <row r="45" spans="3:4" ht="16.5">
      <c r="C45" s="229"/>
      <c r="D45" s="47"/>
    </row>
    <row r="46" spans="3:4" ht="16.5">
      <c r="C46" s="229"/>
      <c r="D46" s="47"/>
    </row>
    <row r="47" spans="3:4" ht="16.5">
      <c r="C47" s="229"/>
      <c r="D47" s="47"/>
    </row>
    <row r="48" spans="3:4" ht="16.5">
      <c r="C48" s="229"/>
      <c r="D48" s="47"/>
    </row>
    <row r="49" spans="3:4" ht="16.5">
      <c r="C49" s="229"/>
      <c r="D49" s="47"/>
    </row>
    <row r="50" spans="3:4" ht="16.5">
      <c r="C50" s="229"/>
      <c r="D50" s="47"/>
    </row>
  </sheetData>
  <sheetProtection/>
  <mergeCells count="7">
    <mergeCell ref="B19:C19"/>
    <mergeCell ref="B1:C1"/>
    <mergeCell ref="B3:D3"/>
    <mergeCell ref="B4:D4"/>
    <mergeCell ref="B5:D5"/>
    <mergeCell ref="B6:C6"/>
    <mergeCell ref="B7:C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85" zoomScaleSheetLayoutView="85" zoomScalePageLayoutView="0" workbookViewId="0" topLeftCell="A1">
      <selection activeCell="O19" sqref="O19"/>
    </sheetView>
  </sheetViews>
  <sheetFormatPr defaultColWidth="9.00390625" defaultRowHeight="12.75"/>
  <cols>
    <col min="1" max="1" width="3.75390625" style="926" customWidth="1"/>
    <col min="2" max="2" width="5.75390625" style="111" customWidth="1"/>
    <col min="3" max="5" width="5.75390625" style="113" customWidth="1"/>
    <col min="6" max="6" width="59.75390625" style="72" customWidth="1"/>
    <col min="7" max="9" width="13.75390625" style="72" customWidth="1"/>
    <col min="10" max="10" width="15.75390625" style="72" customWidth="1"/>
    <col min="11" max="11" width="10.125" style="72" bestFit="1" customWidth="1"/>
    <col min="12" max="16384" width="9.125" style="72" customWidth="1"/>
  </cols>
  <sheetData>
    <row r="1" spans="2:10" ht="16.5">
      <c r="B1" s="1604" t="s">
        <v>641</v>
      </c>
      <c r="C1" s="1604"/>
      <c r="D1" s="1604"/>
      <c r="E1" s="1604"/>
      <c r="F1" s="1604"/>
      <c r="H1" s="73"/>
      <c r="I1" s="74"/>
      <c r="J1" s="74"/>
    </row>
    <row r="2" spans="1:10" s="75" customFormat="1" ht="24.75" customHeight="1">
      <c r="A2" s="926"/>
      <c r="B2" s="1605" t="s">
        <v>162</v>
      </c>
      <c r="C2" s="1605"/>
      <c r="D2" s="1605"/>
      <c r="E2" s="1605"/>
      <c r="F2" s="1605"/>
      <c r="G2" s="1605"/>
      <c r="H2" s="1605"/>
      <c r="I2" s="1605"/>
      <c r="J2" s="1605"/>
    </row>
    <row r="3" spans="1:10" s="75" customFormat="1" ht="24.75" customHeight="1">
      <c r="A3" s="926"/>
      <c r="B3" s="1605" t="s">
        <v>664</v>
      </c>
      <c r="C3" s="1605"/>
      <c r="D3" s="1605"/>
      <c r="E3" s="1605"/>
      <c r="F3" s="1605"/>
      <c r="G3" s="1605"/>
      <c r="H3" s="1605"/>
      <c r="I3" s="1605"/>
      <c r="J3" s="1605"/>
    </row>
    <row r="4" spans="3:10" ht="17.25">
      <c r="C4" s="112"/>
      <c r="E4" s="112"/>
      <c r="F4" s="112"/>
      <c r="G4" s="112"/>
      <c r="H4" s="73"/>
      <c r="J4" s="419" t="s">
        <v>0</v>
      </c>
    </row>
    <row r="5" spans="1:10" s="113" customFormat="1" ht="17.25" thickBot="1">
      <c r="A5" s="926"/>
      <c r="B5" s="111" t="s">
        <v>1</v>
      </c>
      <c r="C5" s="113" t="s">
        <v>3</v>
      </c>
      <c r="D5" s="113" t="s">
        <v>2</v>
      </c>
      <c r="E5" s="113" t="s">
        <v>4</v>
      </c>
      <c r="F5" s="113" t="s">
        <v>5</v>
      </c>
      <c r="G5" s="113" t="s">
        <v>15</v>
      </c>
      <c r="H5" s="113" t="s">
        <v>16</v>
      </c>
      <c r="I5" s="420" t="s">
        <v>17</v>
      </c>
      <c r="J5" s="420" t="s">
        <v>34</v>
      </c>
    </row>
    <row r="6" spans="1:10" s="76" customFormat="1" ht="79.5" customHeight="1" thickBot="1">
      <c r="A6" s="926"/>
      <c r="B6" s="421" t="s">
        <v>194</v>
      </c>
      <c r="C6" s="422" t="s">
        <v>19</v>
      </c>
      <c r="D6" s="400" t="s">
        <v>503</v>
      </c>
      <c r="E6" s="400" t="s">
        <v>505</v>
      </c>
      <c r="F6" s="423" t="s">
        <v>6</v>
      </c>
      <c r="G6" s="297" t="s">
        <v>660</v>
      </c>
      <c r="H6" s="297" t="s">
        <v>661</v>
      </c>
      <c r="I6" s="424" t="s">
        <v>662</v>
      </c>
      <c r="J6" s="291" t="s">
        <v>663</v>
      </c>
    </row>
    <row r="7" spans="1:10" s="81" customFormat="1" ht="30" customHeight="1">
      <c r="A7" s="926">
        <v>1</v>
      </c>
      <c r="B7" s="396" t="s">
        <v>439</v>
      </c>
      <c r="C7" s="77"/>
      <c r="D7" s="78"/>
      <c r="E7" s="77"/>
      <c r="F7" s="79" t="s">
        <v>195</v>
      </c>
      <c r="G7" s="80">
        <f>SUM(G8:G9)</f>
        <v>8054296</v>
      </c>
      <c r="H7" s="80">
        <f>SUM(H8:H9)</f>
        <v>8038573</v>
      </c>
      <c r="I7" s="80">
        <f>SUM(I8:I9)</f>
        <v>9057932</v>
      </c>
      <c r="J7" s="298">
        <f>SUM(J8:J9)</f>
        <v>8835002</v>
      </c>
    </row>
    <row r="8" spans="1:10" ht="25.5" customHeight="1">
      <c r="A8" s="926">
        <v>2</v>
      </c>
      <c r="B8" s="82"/>
      <c r="C8" s="83"/>
      <c r="D8" s="83">
        <v>1</v>
      </c>
      <c r="E8" s="83"/>
      <c r="F8" s="84" t="s">
        <v>37</v>
      </c>
      <c r="G8" s="84">
        <f>7776616-10996+10996</f>
        <v>7776616</v>
      </c>
      <c r="H8" s="84">
        <v>7971537</v>
      </c>
      <c r="I8" s="84">
        <v>8845896</v>
      </c>
      <c r="J8" s="299">
        <f>+'4.Inki'!K135+'4.Inki'!L135+'4.Inki'!M135+'4.Inki'!N135+'4.Inki'!O135</f>
        <v>8688793</v>
      </c>
    </row>
    <row r="9" spans="1:10" ht="25.5" customHeight="1">
      <c r="A9" s="926">
        <v>3</v>
      </c>
      <c r="B9" s="82"/>
      <c r="C9" s="83"/>
      <c r="D9" s="83">
        <v>2</v>
      </c>
      <c r="E9" s="83"/>
      <c r="F9" s="84" t="s">
        <v>154</v>
      </c>
      <c r="G9" s="84">
        <f>SUM(G10:G11)</f>
        <v>277680</v>
      </c>
      <c r="H9" s="84">
        <f>SUM(H10:H11)</f>
        <v>67036</v>
      </c>
      <c r="I9" s="84">
        <f>SUM(I10:I11)</f>
        <v>212036</v>
      </c>
      <c r="J9" s="299">
        <f>SUM(J10:J11)</f>
        <v>146209</v>
      </c>
    </row>
    <row r="10" spans="1:10" ht="16.5">
      <c r="A10" s="926">
        <v>4</v>
      </c>
      <c r="B10" s="82"/>
      <c r="C10" s="83"/>
      <c r="D10" s="83"/>
      <c r="E10" s="83">
        <v>1</v>
      </c>
      <c r="F10" s="85" t="s">
        <v>220</v>
      </c>
      <c r="G10" s="84">
        <v>277321</v>
      </c>
      <c r="H10" s="84">
        <f>65036+2000</f>
        <v>67036</v>
      </c>
      <c r="I10" s="84">
        <v>208919</v>
      </c>
      <c r="J10" s="299">
        <f>+'4.Inki'!P135+'4.Inki'!R135</f>
        <v>146209</v>
      </c>
    </row>
    <row r="11" spans="1:10" ht="16.5">
      <c r="A11" s="926">
        <v>5</v>
      </c>
      <c r="B11" s="82"/>
      <c r="C11" s="83"/>
      <c r="D11" s="83"/>
      <c r="E11" s="83">
        <v>2</v>
      </c>
      <c r="F11" s="85" t="s">
        <v>221</v>
      </c>
      <c r="G11" s="84">
        <v>359</v>
      </c>
      <c r="H11" s="84"/>
      <c r="I11" s="84">
        <v>3117</v>
      </c>
      <c r="J11" s="299">
        <f>+'4.Inki'!Q135</f>
        <v>0</v>
      </c>
    </row>
    <row r="12" spans="1:10" s="81" customFormat="1" ht="30" customHeight="1">
      <c r="A12" s="926">
        <v>6</v>
      </c>
      <c r="B12" s="397" t="s">
        <v>440</v>
      </c>
      <c r="C12" s="86"/>
      <c r="D12" s="87"/>
      <c r="E12" s="87"/>
      <c r="F12" s="88" t="s">
        <v>118</v>
      </c>
      <c r="G12" s="88">
        <f>SUM(G13:G14,G25,G26)</f>
        <v>11881117</v>
      </c>
      <c r="H12" s="88">
        <f>SUM(H13:H14,H25,H26)</f>
        <v>29513701</v>
      </c>
      <c r="I12" s="88">
        <f>SUM(I13:I14,I25,I26)</f>
        <v>37270883</v>
      </c>
      <c r="J12" s="300">
        <f>SUM(J13:J14,J25,J26)</f>
        <v>37267991</v>
      </c>
    </row>
    <row r="13" spans="1:11" s="81" customFormat="1" ht="25.5" customHeight="1">
      <c r="A13" s="926">
        <v>7</v>
      </c>
      <c r="B13" s="82"/>
      <c r="C13" s="89"/>
      <c r="D13" s="83">
        <v>1</v>
      </c>
      <c r="E13" s="89"/>
      <c r="F13" s="90" t="s">
        <v>37</v>
      </c>
      <c r="G13" s="90">
        <v>6400942</v>
      </c>
      <c r="H13" s="90">
        <v>6655947</v>
      </c>
      <c r="I13" s="90">
        <v>6554990</v>
      </c>
      <c r="J13" s="301">
        <f>'6.Önk.műk.'!I324+'7.Beruh.'!I50+'8.Felúj.'!I12+'9.Projekt'!I60+'9.Projekt'!J60+'9.Projekt'!K60+'9.Projekt'!L60+'10.MVP és hazai'!I42+'10.MVP és hazai'!J42+'10.MVP és hazai'!K42+'10.MVP és hazai'!L42+'[1]11.EKF'!I49+'[1]11.EKF'!J49+'[1]11.EKF'!K49+'[1]11.EKF'!L49</f>
        <v>6150481</v>
      </c>
      <c r="K13" s="81">
        <f>+J13-'6.Önk.műk.'!I324-'7.Beruh.'!I50-'8.Felúj.'!I12-'9.Projekt'!I60-'9.Projekt'!J60-'9.Projekt'!K60-'9.Projekt'!L60-'10.MVP és hazai'!I42-'10.MVP és hazai'!J42-'10.MVP és hazai'!K42-'10.MVP és hazai'!L42-'[1]11.EKF'!I49-'[1]11.EKF'!J49-'[1]11.EKF'!K49-'[1]11.EKF'!L49</f>
        <v>0</v>
      </c>
    </row>
    <row r="14" spans="1:10" ht="25.5" customHeight="1">
      <c r="A14" s="926">
        <v>8</v>
      </c>
      <c r="B14" s="82"/>
      <c r="C14" s="89"/>
      <c r="D14" s="89"/>
      <c r="E14" s="89"/>
      <c r="F14" s="90" t="s">
        <v>196</v>
      </c>
      <c r="G14" s="90">
        <f>SUM(G15,G21)</f>
        <v>0</v>
      </c>
      <c r="H14" s="90">
        <f>SUM(H15,H21)</f>
        <v>520204</v>
      </c>
      <c r="I14" s="90">
        <f>SUM(I15,I21)</f>
        <v>1587564</v>
      </c>
      <c r="J14" s="301">
        <f>SUM(J15,J21)</f>
        <v>791669</v>
      </c>
    </row>
    <row r="15" spans="1:10" s="94" customFormat="1" ht="25.5" customHeight="1">
      <c r="A15" s="926">
        <v>9</v>
      </c>
      <c r="B15" s="398"/>
      <c r="C15" s="91"/>
      <c r="D15" s="83">
        <v>1</v>
      </c>
      <c r="E15" s="91"/>
      <c r="F15" s="92" t="s">
        <v>460</v>
      </c>
      <c r="G15" s="93">
        <f>SUM(G16:G19)</f>
        <v>0</v>
      </c>
      <c r="H15" s="93">
        <f>SUM(H16:H19)</f>
        <v>135616</v>
      </c>
      <c r="I15" s="93">
        <f>SUM(I16:I20)</f>
        <v>944577</v>
      </c>
      <c r="J15" s="302">
        <f>SUM(J16:J20)</f>
        <v>428014</v>
      </c>
    </row>
    <row r="16" spans="1:10" ht="16.5">
      <c r="A16" s="926">
        <v>10</v>
      </c>
      <c r="B16" s="82"/>
      <c r="C16" s="83"/>
      <c r="D16" s="83"/>
      <c r="E16" s="83"/>
      <c r="F16" s="95" t="s">
        <v>823</v>
      </c>
      <c r="G16" s="84"/>
      <c r="H16" s="84">
        <v>111616</v>
      </c>
      <c r="I16" s="84">
        <v>51626</v>
      </c>
      <c r="J16" s="299">
        <v>188014</v>
      </c>
    </row>
    <row r="17" spans="1:10" ht="16.5">
      <c r="A17" s="926">
        <v>11</v>
      </c>
      <c r="B17" s="82"/>
      <c r="C17" s="83"/>
      <c r="D17" s="83"/>
      <c r="E17" s="83"/>
      <c r="F17" s="95" t="s">
        <v>567</v>
      </c>
      <c r="G17" s="84"/>
      <c r="H17" s="84">
        <v>24000</v>
      </c>
      <c r="I17" s="84"/>
      <c r="J17" s="299"/>
    </row>
    <row r="18" spans="1:10" ht="16.5">
      <c r="A18" s="926">
        <v>12</v>
      </c>
      <c r="B18" s="82"/>
      <c r="C18" s="83"/>
      <c r="D18" s="83"/>
      <c r="E18" s="83"/>
      <c r="F18" s="95" t="s">
        <v>475</v>
      </c>
      <c r="G18" s="84"/>
      <c r="H18" s="84"/>
      <c r="I18" s="84"/>
      <c r="J18" s="299"/>
    </row>
    <row r="19" spans="1:10" ht="16.5">
      <c r="A19" s="926">
        <v>13</v>
      </c>
      <c r="B19" s="82"/>
      <c r="C19" s="83"/>
      <c r="D19" s="83"/>
      <c r="E19" s="83"/>
      <c r="F19" s="95" t="s">
        <v>497</v>
      </c>
      <c r="G19" s="84"/>
      <c r="H19" s="84"/>
      <c r="I19" s="84">
        <v>652951</v>
      </c>
      <c r="J19" s="299"/>
    </row>
    <row r="20" spans="1:10" ht="16.5">
      <c r="A20" s="926">
        <v>14</v>
      </c>
      <c r="B20" s="82"/>
      <c r="C20" s="83"/>
      <c r="D20" s="83"/>
      <c r="E20" s="83"/>
      <c r="F20" s="95" t="s">
        <v>498</v>
      </c>
      <c r="G20" s="84"/>
      <c r="H20" s="84"/>
      <c r="I20" s="84">
        <v>240000</v>
      </c>
      <c r="J20" s="299">
        <v>240000</v>
      </c>
    </row>
    <row r="21" spans="1:10" s="94" customFormat="1" ht="25.5" customHeight="1">
      <c r="A21" s="926">
        <v>15</v>
      </c>
      <c r="B21" s="398"/>
      <c r="C21" s="91"/>
      <c r="D21" s="83">
        <v>2</v>
      </c>
      <c r="E21" s="91"/>
      <c r="F21" s="92" t="s">
        <v>461</v>
      </c>
      <c r="G21" s="93">
        <f>SUM(G22:G24)</f>
        <v>0</v>
      </c>
      <c r="H21" s="93">
        <f>SUM(H22:H24)</f>
        <v>384588</v>
      </c>
      <c r="I21" s="93">
        <f>SUM(I22:I24)</f>
        <v>642987</v>
      </c>
      <c r="J21" s="302">
        <f>SUM(J22:J24)</f>
        <v>363655</v>
      </c>
    </row>
    <row r="22" spans="1:10" ht="17.25">
      <c r="A22" s="926">
        <v>16</v>
      </c>
      <c r="B22" s="82"/>
      <c r="C22" s="83"/>
      <c r="D22" s="91"/>
      <c r="E22" s="83"/>
      <c r="F22" s="95" t="s">
        <v>197</v>
      </c>
      <c r="G22" s="84"/>
      <c r="H22" s="84"/>
      <c r="I22" s="84"/>
      <c r="J22" s="299"/>
    </row>
    <row r="23" spans="1:10" ht="17.25">
      <c r="A23" s="926">
        <v>17</v>
      </c>
      <c r="B23" s="82"/>
      <c r="C23" s="83"/>
      <c r="D23" s="91"/>
      <c r="E23" s="83"/>
      <c r="F23" s="651" t="s">
        <v>474</v>
      </c>
      <c r="G23" s="84"/>
      <c r="H23" s="652"/>
      <c r="I23" s="652">
        <v>249058</v>
      </c>
      <c r="J23" s="1444">
        <v>64615</v>
      </c>
    </row>
    <row r="24" spans="1:10" ht="17.25">
      <c r="A24" s="926">
        <v>18</v>
      </c>
      <c r="B24" s="82"/>
      <c r="C24" s="83"/>
      <c r="D24" s="91"/>
      <c r="E24" s="83"/>
      <c r="F24" s="95" t="s">
        <v>428</v>
      </c>
      <c r="G24" s="84"/>
      <c r="H24" s="84">
        <v>384588</v>
      </c>
      <c r="I24" s="84">
        <v>393929</v>
      </c>
      <c r="J24" s="299">
        <v>299040</v>
      </c>
    </row>
    <row r="25" spans="1:10" s="75" customFormat="1" ht="25.5" customHeight="1">
      <c r="A25" s="926">
        <v>19</v>
      </c>
      <c r="B25" s="399"/>
      <c r="C25" s="96"/>
      <c r="D25" s="96"/>
      <c r="E25" s="96"/>
      <c r="F25" s="97" t="s">
        <v>198</v>
      </c>
      <c r="G25" s="97"/>
      <c r="H25" s="97">
        <v>177471</v>
      </c>
      <c r="I25" s="97"/>
      <c r="J25" s="303">
        <v>150000</v>
      </c>
    </row>
    <row r="26" spans="1:10" s="81" customFormat="1" ht="25.5" customHeight="1">
      <c r="A26" s="926">
        <v>20</v>
      </c>
      <c r="B26" s="82"/>
      <c r="C26" s="89"/>
      <c r="D26" s="83">
        <v>2</v>
      </c>
      <c r="E26" s="89"/>
      <c r="F26" s="90" t="s">
        <v>154</v>
      </c>
      <c r="G26" s="90">
        <f>SUM(G27:G29)</f>
        <v>5480175</v>
      </c>
      <c r="H26" s="90">
        <f>SUM(H27:H29)</f>
        <v>22160079</v>
      </c>
      <c r="I26" s="90">
        <f>SUM(I27:I29)</f>
        <v>29128329</v>
      </c>
      <c r="J26" s="301">
        <f>SUM(J27:J29)</f>
        <v>30175841</v>
      </c>
    </row>
    <row r="27" spans="1:11" ht="17.25">
      <c r="A27" s="926">
        <v>21</v>
      </c>
      <c r="B27" s="82"/>
      <c r="C27" s="89"/>
      <c r="D27" s="83"/>
      <c r="E27" s="83">
        <v>1</v>
      </c>
      <c r="F27" s="85" t="s">
        <v>220</v>
      </c>
      <c r="G27" s="84">
        <v>5000126</v>
      </c>
      <c r="H27" s="84">
        <v>21222147</v>
      </c>
      <c r="I27" s="84">
        <v>26000677</v>
      </c>
      <c r="J27" s="299">
        <f>'7.Beruh.'!J50+'9.Projekt'!M60+'10.MVP és hazai'!M42+'[1]11.EKF'!M49</f>
        <v>30091595</v>
      </c>
      <c r="K27" s="72">
        <f>+J27-'7.Beruh.'!J50-'9.Projekt'!M60-'10.MVP és hazai'!M42-'[1]11.EKF'!M49</f>
        <v>0</v>
      </c>
    </row>
    <row r="28" spans="1:11" ht="17.25">
      <c r="A28" s="926">
        <v>22</v>
      </c>
      <c r="B28" s="82"/>
      <c r="C28" s="89"/>
      <c r="D28" s="83"/>
      <c r="E28" s="83">
        <v>2</v>
      </c>
      <c r="F28" s="85" t="s">
        <v>155</v>
      </c>
      <c r="G28" s="84">
        <v>55982</v>
      </c>
      <c r="H28" s="84">
        <v>549493</v>
      </c>
      <c r="I28" s="84">
        <v>2967533</v>
      </c>
      <c r="J28" s="299">
        <f>'7.Beruh.'!K50+'9.Projekt'!N60+'10.MVP és hazai'!N42</f>
        <v>60493</v>
      </c>
      <c r="K28" s="72">
        <f>+J28-'7.Beruh.'!K50-'9.Projekt'!N60-'10.MVP és hazai'!N42-'[1]11.EKF'!O49</f>
        <v>0</v>
      </c>
    </row>
    <row r="29" spans="1:14" ht="17.25">
      <c r="A29" s="926">
        <v>23</v>
      </c>
      <c r="B29" s="82"/>
      <c r="C29" s="89"/>
      <c r="D29" s="83"/>
      <c r="E29" s="83">
        <v>3</v>
      </c>
      <c r="F29" s="85" t="s">
        <v>221</v>
      </c>
      <c r="G29" s="84">
        <v>424067</v>
      </c>
      <c r="H29" s="84">
        <v>388439</v>
      </c>
      <c r="I29" s="84">
        <v>160119</v>
      </c>
      <c r="J29" s="299">
        <f>'8.Felúj.'!J12+'[1]11.EKF'!N49</f>
        <v>23753</v>
      </c>
      <c r="K29" s="72">
        <f>+J29-'8.Felúj.'!J12-'[1]11.EKF'!N49</f>
        <v>0</v>
      </c>
      <c r="N29" s="84"/>
    </row>
    <row r="30" spans="1:10" s="81" customFormat="1" ht="30" customHeight="1">
      <c r="A30" s="926">
        <v>24</v>
      </c>
      <c r="B30" s="397" t="s">
        <v>440</v>
      </c>
      <c r="C30" s="86"/>
      <c r="D30" s="87"/>
      <c r="E30" s="86"/>
      <c r="F30" s="88" t="s">
        <v>199</v>
      </c>
      <c r="G30" s="88">
        <f>SUM(G31:G32)</f>
        <v>0</v>
      </c>
      <c r="H30" s="88">
        <f>SUM(H31:H32)</f>
        <v>0</v>
      </c>
      <c r="I30" s="88">
        <f>SUM(I31:I32)</f>
        <v>0</v>
      </c>
      <c r="J30" s="300">
        <f>SUM(J31:J32)</f>
        <v>0</v>
      </c>
    </row>
    <row r="31" spans="1:10" s="74" customFormat="1" ht="24" customHeight="1">
      <c r="A31" s="927">
        <v>25</v>
      </c>
      <c r="B31" s="82"/>
      <c r="C31" s="83"/>
      <c r="D31" s="83">
        <v>1</v>
      </c>
      <c r="E31" s="83"/>
      <c r="F31" s="98" t="s">
        <v>37</v>
      </c>
      <c r="G31" s="107"/>
      <c r="H31" s="107"/>
      <c r="I31" s="107"/>
      <c r="J31" s="306"/>
    </row>
    <row r="32" spans="1:10" s="74" customFormat="1" ht="24" customHeight="1" thickBot="1">
      <c r="A32" s="927">
        <v>26</v>
      </c>
      <c r="B32" s="82"/>
      <c r="C32" s="83"/>
      <c r="D32" s="83">
        <v>2</v>
      </c>
      <c r="E32" s="83"/>
      <c r="F32" s="788" t="s">
        <v>154</v>
      </c>
      <c r="G32" s="107"/>
      <c r="H32" s="107"/>
      <c r="I32" s="107"/>
      <c r="J32" s="306"/>
    </row>
    <row r="33" spans="1:10" s="97" customFormat="1" ht="39.75" customHeight="1" thickBot="1">
      <c r="A33" s="926">
        <v>27</v>
      </c>
      <c r="B33" s="103"/>
      <c r="C33" s="104"/>
      <c r="D33" s="105"/>
      <c r="E33" s="104"/>
      <c r="F33" s="106" t="s">
        <v>200</v>
      </c>
      <c r="G33" s="106">
        <f>SUM(G7,G12,G30)</f>
        <v>19935413</v>
      </c>
      <c r="H33" s="106">
        <f>SUM(H7,H12,H30)</f>
        <v>37552274</v>
      </c>
      <c r="I33" s="106">
        <f>SUM(I7,I12,I30)</f>
        <v>46328815</v>
      </c>
      <c r="J33" s="305">
        <f>SUM(J7,J12,J30)</f>
        <v>46102993</v>
      </c>
    </row>
    <row r="34" spans="1:10" s="74" customFormat="1" ht="30" customHeight="1">
      <c r="A34" s="926">
        <v>28</v>
      </c>
      <c r="B34" s="82" t="s">
        <v>440</v>
      </c>
      <c r="C34" s="83"/>
      <c r="D34" s="83"/>
      <c r="E34" s="83"/>
      <c r="F34" s="90" t="s">
        <v>201</v>
      </c>
      <c r="G34" s="90">
        <f>SUM(G38:G39,G35:G36)</f>
        <v>241248</v>
      </c>
      <c r="H34" s="90">
        <f>SUM(H38:H39,H35:H36)</f>
        <v>219771</v>
      </c>
      <c r="I34" s="90">
        <f>SUM(I38:I39,I35:I36)</f>
        <v>548135</v>
      </c>
      <c r="J34" s="301">
        <f>SUM(J38:J39,J35:J36)</f>
        <v>319022</v>
      </c>
    </row>
    <row r="35" spans="1:10" s="74" customFormat="1" ht="16.5">
      <c r="A35" s="926">
        <v>29</v>
      </c>
      <c r="B35" s="82"/>
      <c r="C35" s="83"/>
      <c r="D35" s="83">
        <v>1</v>
      </c>
      <c r="E35" s="83"/>
      <c r="F35" s="107" t="s">
        <v>202</v>
      </c>
      <c r="G35" s="107"/>
      <c r="H35" s="107"/>
      <c r="I35" s="107"/>
      <c r="J35" s="306"/>
    </row>
    <row r="36" spans="1:10" s="74" customFormat="1" ht="16.5">
      <c r="A36" s="926">
        <v>30</v>
      </c>
      <c r="B36" s="82"/>
      <c r="C36" s="83"/>
      <c r="D36" s="83">
        <v>1</v>
      </c>
      <c r="E36" s="83"/>
      <c r="F36" s="107" t="s">
        <v>255</v>
      </c>
      <c r="G36" s="107">
        <v>127653</v>
      </c>
      <c r="H36" s="107">
        <v>111267</v>
      </c>
      <c r="I36" s="107">
        <v>439630</v>
      </c>
      <c r="J36" s="306">
        <v>180835</v>
      </c>
    </row>
    <row r="37" spans="1:10" ht="16.5">
      <c r="A37" s="926">
        <v>31</v>
      </c>
      <c r="B37" s="82"/>
      <c r="C37" s="83"/>
      <c r="D37" s="83">
        <v>2</v>
      </c>
      <c r="E37" s="83"/>
      <c r="F37" s="107" t="s">
        <v>203</v>
      </c>
      <c r="G37" s="84"/>
      <c r="H37" s="84"/>
      <c r="I37" s="84"/>
      <c r="J37" s="306"/>
    </row>
    <row r="38" spans="1:10" ht="16.5">
      <c r="A38" s="926">
        <v>32</v>
      </c>
      <c r="B38" s="82"/>
      <c r="C38" s="83"/>
      <c r="D38" s="83"/>
      <c r="E38" s="83"/>
      <c r="F38" s="108" t="s">
        <v>204</v>
      </c>
      <c r="G38" s="84">
        <v>113595</v>
      </c>
      <c r="H38" s="84">
        <v>108504</v>
      </c>
      <c r="I38" s="84">
        <v>108505</v>
      </c>
      <c r="J38" s="306">
        <v>138187</v>
      </c>
    </row>
    <row r="39" spans="1:10" s="102" customFormat="1" ht="18" customHeight="1" thickBot="1">
      <c r="A39" s="926">
        <v>33</v>
      </c>
      <c r="B39" s="99"/>
      <c r="C39" s="100"/>
      <c r="D39" s="100"/>
      <c r="E39" s="100"/>
      <c r="F39" s="109" t="s">
        <v>205</v>
      </c>
      <c r="G39" s="101"/>
      <c r="H39" s="101"/>
      <c r="I39" s="101"/>
      <c r="J39" s="304"/>
    </row>
    <row r="40" spans="1:10" s="97" customFormat="1" ht="39.75" customHeight="1" thickBot="1">
      <c r="A40" s="926">
        <v>34</v>
      </c>
      <c r="B40" s="103"/>
      <c r="C40" s="104"/>
      <c r="D40" s="105"/>
      <c r="E40" s="104"/>
      <c r="F40" s="106" t="s">
        <v>206</v>
      </c>
      <c r="G40" s="106">
        <f>SUM(G33:G34)</f>
        <v>20176661</v>
      </c>
      <c r="H40" s="106">
        <f>SUM(H33:H34)</f>
        <v>37772045</v>
      </c>
      <c r="I40" s="106">
        <f>SUM(I33:I34)</f>
        <v>46876950</v>
      </c>
      <c r="J40" s="305">
        <f>SUM(J33:J34)</f>
        <v>46422015</v>
      </c>
    </row>
    <row r="41" spans="2:10" ht="16.5">
      <c r="B41" s="110"/>
      <c r="C41" s="83"/>
      <c r="D41" s="83"/>
      <c r="E41" s="83"/>
      <c r="F41" s="84"/>
      <c r="G41" s="84">
        <f>+'1.Onbe'!G62-'2.Onki'!G40</f>
        <v>14215038</v>
      </c>
      <c r="H41" s="84">
        <f>+'1.Onbe'!H62-'2.Onki'!H40</f>
        <v>0</v>
      </c>
      <c r="I41" s="84">
        <f>+'1.Onbe'!I62-'2.Onki'!I40</f>
        <v>0</v>
      </c>
      <c r="J41" s="84">
        <f>+'1.Onbe'!J62-'2.Onki'!J40</f>
        <v>0</v>
      </c>
    </row>
    <row r="42" spans="2:9" ht="16.5">
      <c r="B42" s="110"/>
      <c r="C42" s="83"/>
      <c r="D42" s="83"/>
      <c r="E42" s="83"/>
      <c r="F42" s="84"/>
      <c r="G42" s="84"/>
      <c r="H42" s="84"/>
      <c r="I42" s="84"/>
    </row>
    <row r="43" spans="2:9" ht="16.5">
      <c r="B43" s="110"/>
      <c r="C43" s="83"/>
      <c r="D43" s="83"/>
      <c r="E43" s="83"/>
      <c r="F43" s="84"/>
      <c r="G43" s="84"/>
      <c r="H43" s="84"/>
      <c r="I43" s="84"/>
    </row>
    <row r="44" spans="2:9" ht="16.5">
      <c r="B44" s="110"/>
      <c r="C44" s="83"/>
      <c r="D44" s="83"/>
      <c r="E44" s="83"/>
      <c r="F44" s="84"/>
      <c r="G44" s="84"/>
      <c r="H44" s="84"/>
      <c r="I44" s="84"/>
    </row>
    <row r="45" spans="2:9" ht="17.25">
      <c r="B45" s="110"/>
      <c r="C45" s="89"/>
      <c r="D45" s="83"/>
      <c r="E45" s="89"/>
      <c r="F45" s="90"/>
      <c r="G45" s="90"/>
      <c r="H45" s="90"/>
      <c r="I45" s="90"/>
    </row>
    <row r="46" spans="2:9" ht="16.5">
      <c r="B46" s="110"/>
      <c r="C46" s="83"/>
      <c r="D46" s="83"/>
      <c r="E46" s="83"/>
      <c r="F46" s="84"/>
      <c r="G46" s="84"/>
      <c r="H46" s="84"/>
      <c r="I46" s="84"/>
    </row>
    <row r="47" spans="2:9" ht="16.5">
      <c r="B47" s="110"/>
      <c r="C47" s="83"/>
      <c r="D47" s="83"/>
      <c r="E47" s="83"/>
      <c r="F47" s="84"/>
      <c r="G47" s="84"/>
      <c r="H47" s="84"/>
      <c r="I47" s="84"/>
    </row>
    <row r="56" spans="1:5" s="81" customFormat="1" ht="17.25">
      <c r="A56" s="928"/>
      <c r="B56" s="111"/>
      <c r="C56" s="112"/>
      <c r="D56" s="113"/>
      <c r="E56" s="112"/>
    </row>
    <row r="61" spans="1:5" s="81" customFormat="1" ht="17.25">
      <c r="A61" s="928"/>
      <c r="B61" s="111"/>
      <c r="C61" s="112"/>
      <c r="D61" s="113"/>
      <c r="E61" s="112"/>
    </row>
    <row r="63" spans="1:5" s="81" customFormat="1" ht="17.25">
      <c r="A63" s="928"/>
      <c r="B63" s="111"/>
      <c r="C63" s="112"/>
      <c r="D63" s="113"/>
      <c r="E63" s="112"/>
    </row>
    <row r="70" ht="16.5">
      <c r="F70" s="84"/>
    </row>
    <row r="71" ht="16.5">
      <c r="F71" s="84"/>
    </row>
    <row r="72" ht="16.5">
      <c r="F72" s="84"/>
    </row>
    <row r="73" ht="16.5">
      <c r="F73" s="84"/>
    </row>
    <row r="74" ht="16.5">
      <c r="F74" s="84"/>
    </row>
    <row r="75" ht="16.5">
      <c r="F75" s="84"/>
    </row>
    <row r="76" ht="16.5">
      <c r="F76" s="84"/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70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BreakPreview" zoomScaleSheetLayoutView="100" zoomScalePageLayoutView="0" workbookViewId="0" topLeftCell="A48">
      <selection activeCell="B1" sqref="B1:E1"/>
    </sheetView>
  </sheetViews>
  <sheetFormatPr defaultColWidth="9.00390625" defaultRowHeight="12.75"/>
  <cols>
    <col min="1" max="1" width="3.75390625" style="708" customWidth="1"/>
    <col min="2" max="2" width="5.75390625" style="266" customWidth="1"/>
    <col min="3" max="3" width="5.75390625" style="269" customWidth="1"/>
    <col min="4" max="4" width="4.75390625" style="269" customWidth="1"/>
    <col min="5" max="5" width="51.75390625" style="269" customWidth="1"/>
    <col min="6" max="6" width="10.00390625" style="266" customWidth="1"/>
    <col min="7" max="7" width="14.00390625" style="266" bestFit="1" customWidth="1"/>
    <col min="8" max="8" width="11.75390625" style="266" customWidth="1"/>
    <col min="9" max="9" width="12.375" style="266" bestFit="1" customWidth="1"/>
    <col min="10" max="10" width="14.00390625" style="266" customWidth="1"/>
    <col min="11" max="12" width="12.75390625" style="266" customWidth="1"/>
    <col min="13" max="13" width="10.75390625" style="266" customWidth="1"/>
    <col min="14" max="14" width="12.75390625" style="267" customWidth="1"/>
    <col min="15" max="15" width="13.75390625" style="268" customWidth="1"/>
    <col min="16" max="16384" width="9.125" style="266" customWidth="1"/>
  </cols>
  <sheetData>
    <row r="1" spans="1:16" s="279" customFormat="1" ht="18" customHeight="1">
      <c r="A1" s="61"/>
      <c r="B1" s="1609" t="s">
        <v>642</v>
      </c>
      <c r="C1" s="1609"/>
      <c r="D1" s="1609"/>
      <c r="E1" s="1609"/>
      <c r="F1" s="705"/>
      <c r="G1" s="705"/>
      <c r="H1" s="705"/>
      <c r="I1" s="705"/>
      <c r="J1" s="705"/>
      <c r="K1" s="705"/>
      <c r="L1" s="705"/>
      <c r="M1" s="705"/>
      <c r="N1" s="706"/>
      <c r="O1" s="707"/>
      <c r="P1" s="705"/>
    </row>
    <row r="2" spans="1:16" s="279" customFormat="1" ht="24.75" customHeight="1">
      <c r="A2" s="61"/>
      <c r="B2" s="1610" t="s">
        <v>133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705"/>
    </row>
    <row r="3" spans="1:16" s="279" customFormat="1" ht="24.75" customHeight="1">
      <c r="A3" s="61"/>
      <c r="B3" s="1610" t="s">
        <v>659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705"/>
    </row>
    <row r="4" spans="1:16" ht="18" customHeight="1">
      <c r="A4" s="61"/>
      <c r="B4" s="50"/>
      <c r="C4" s="53"/>
      <c r="D4" s="53"/>
      <c r="E4" s="53"/>
      <c r="F4" s="51"/>
      <c r="G4" s="51"/>
      <c r="H4" s="51"/>
      <c r="I4" s="51"/>
      <c r="J4" s="51"/>
      <c r="K4" s="51"/>
      <c r="L4" s="48"/>
      <c r="M4" s="48"/>
      <c r="N4" s="1611" t="s">
        <v>0</v>
      </c>
      <c r="O4" s="1611"/>
      <c r="P4" s="48"/>
    </row>
    <row r="5" spans="2:15" s="61" customFormat="1" ht="18" customHeight="1" thickBot="1">
      <c r="B5" s="61" t="s">
        <v>1</v>
      </c>
      <c r="C5" s="61" t="s">
        <v>3</v>
      </c>
      <c r="D5" s="1612" t="s">
        <v>2</v>
      </c>
      <c r="E5" s="1612"/>
      <c r="F5" s="130" t="s">
        <v>4</v>
      </c>
      <c r="G5" s="130" t="s">
        <v>5</v>
      </c>
      <c r="H5" s="130" t="s">
        <v>15</v>
      </c>
      <c r="I5" s="130" t="s">
        <v>16</v>
      </c>
      <c r="J5" s="130" t="s">
        <v>17</v>
      </c>
      <c r="K5" s="130" t="s">
        <v>34</v>
      </c>
      <c r="L5" s="61" t="s">
        <v>30</v>
      </c>
      <c r="M5" s="61" t="s">
        <v>23</v>
      </c>
      <c r="N5" s="61" t="s">
        <v>35</v>
      </c>
      <c r="O5" s="61" t="s">
        <v>36</v>
      </c>
    </row>
    <row r="6" spans="1:15" s="50" customFormat="1" ht="30" customHeight="1">
      <c r="A6" s="61"/>
      <c r="B6" s="1623" t="s">
        <v>18</v>
      </c>
      <c r="C6" s="1625" t="s">
        <v>19</v>
      </c>
      <c r="D6" s="1627" t="s">
        <v>6</v>
      </c>
      <c r="E6" s="1628"/>
      <c r="F6" s="1631" t="s">
        <v>134</v>
      </c>
      <c r="G6" s="1631"/>
      <c r="H6" s="1631"/>
      <c r="I6" s="1606" t="s">
        <v>135</v>
      </c>
      <c r="J6" s="1606"/>
      <c r="K6" s="1606"/>
      <c r="L6" s="1606" t="s">
        <v>253</v>
      </c>
      <c r="M6" s="1606" t="s">
        <v>136</v>
      </c>
      <c r="N6" s="1606"/>
      <c r="O6" s="1607" t="s">
        <v>670</v>
      </c>
    </row>
    <row r="7" spans="1:16" ht="60.75" thickBot="1">
      <c r="A7" s="61"/>
      <c r="B7" s="1624"/>
      <c r="C7" s="1626"/>
      <c r="D7" s="1629"/>
      <c r="E7" s="1630"/>
      <c r="F7" s="1057" t="s">
        <v>137</v>
      </c>
      <c r="G7" s="1057" t="s">
        <v>138</v>
      </c>
      <c r="H7" s="1057" t="s">
        <v>139</v>
      </c>
      <c r="I7" s="1057" t="s">
        <v>140</v>
      </c>
      <c r="J7" s="1057" t="s">
        <v>141</v>
      </c>
      <c r="K7" s="1057" t="s">
        <v>142</v>
      </c>
      <c r="L7" s="1622"/>
      <c r="M7" s="1057" t="s">
        <v>120</v>
      </c>
      <c r="N7" s="52" t="s">
        <v>363</v>
      </c>
      <c r="O7" s="1608"/>
      <c r="P7" s="48"/>
    </row>
    <row r="8" spans="1:15" s="53" customFormat="1" ht="22.5" customHeight="1">
      <c r="A8" s="61">
        <v>1</v>
      </c>
      <c r="B8" s="326">
        <v>1</v>
      </c>
      <c r="C8" s="327"/>
      <c r="D8" s="681" t="s">
        <v>296</v>
      </c>
      <c r="E8" s="673"/>
      <c r="F8" s="338"/>
      <c r="G8" s="338"/>
      <c r="H8" s="338"/>
      <c r="I8" s="338"/>
      <c r="J8" s="338"/>
      <c r="K8" s="338"/>
      <c r="L8" s="338"/>
      <c r="M8" s="338"/>
      <c r="N8" s="339"/>
      <c r="O8" s="340"/>
    </row>
    <row r="9" spans="1:15" s="53" customFormat="1" ht="18" customHeight="1">
      <c r="A9" s="61">
        <v>2</v>
      </c>
      <c r="B9" s="312"/>
      <c r="C9" s="313"/>
      <c r="D9" s="682" t="s">
        <v>318</v>
      </c>
      <c r="E9" s="674"/>
      <c r="F9" s="121"/>
      <c r="G9" s="121"/>
      <c r="H9" s="121"/>
      <c r="I9" s="121"/>
      <c r="J9" s="121"/>
      <c r="K9" s="121"/>
      <c r="L9" s="121"/>
      <c r="M9" s="121"/>
      <c r="N9" s="158"/>
      <c r="O9" s="332"/>
    </row>
    <row r="10" spans="1:16" s="809" customFormat="1" ht="18" customHeight="1">
      <c r="A10" s="61">
        <v>3</v>
      </c>
      <c r="B10" s="801"/>
      <c r="C10" s="802"/>
      <c r="D10" s="803"/>
      <c r="E10" s="804" t="s">
        <v>293</v>
      </c>
      <c r="F10" s="805">
        <v>4343</v>
      </c>
      <c r="G10" s="805"/>
      <c r="H10" s="805"/>
      <c r="I10" s="805"/>
      <c r="J10" s="805"/>
      <c r="K10" s="805"/>
      <c r="L10" s="805">
        <v>6900</v>
      </c>
      <c r="M10" s="805">
        <v>217530</v>
      </c>
      <c r="N10" s="806">
        <v>177724</v>
      </c>
      <c r="O10" s="807">
        <f>SUM(F10:M10)</f>
        <v>228773</v>
      </c>
      <c r="P10" s="808"/>
    </row>
    <row r="11" spans="1:15" s="153" customFormat="1" ht="22.5" customHeight="1">
      <c r="A11" s="61">
        <v>4</v>
      </c>
      <c r="B11" s="312">
        <v>2</v>
      </c>
      <c r="C11" s="313"/>
      <c r="D11" s="676" t="s">
        <v>362</v>
      </c>
      <c r="E11" s="676"/>
      <c r="F11" s="321"/>
      <c r="G11" s="321"/>
      <c r="H11" s="321"/>
      <c r="I11" s="321"/>
      <c r="J11" s="321"/>
      <c r="K11" s="321"/>
      <c r="L11" s="321"/>
      <c r="M11" s="321"/>
      <c r="N11" s="322"/>
      <c r="O11" s="323"/>
    </row>
    <row r="12" spans="1:15" s="153" customFormat="1" ht="18" customHeight="1">
      <c r="A12" s="61">
        <v>5</v>
      </c>
      <c r="B12" s="312"/>
      <c r="C12" s="313"/>
      <c r="D12" s="674" t="s">
        <v>294</v>
      </c>
      <c r="E12" s="674"/>
      <c r="F12" s="321"/>
      <c r="G12" s="321"/>
      <c r="H12" s="321"/>
      <c r="I12" s="321"/>
      <c r="J12" s="321"/>
      <c r="K12" s="321"/>
      <c r="L12" s="321"/>
      <c r="M12" s="321"/>
      <c r="N12" s="322"/>
      <c r="O12" s="323"/>
    </row>
    <row r="13" spans="1:15" s="810" customFormat="1" ht="18" customHeight="1">
      <c r="A13" s="61">
        <v>6</v>
      </c>
      <c r="B13" s="801"/>
      <c r="C13" s="802"/>
      <c r="D13" s="803"/>
      <c r="E13" s="804" t="s">
        <v>293</v>
      </c>
      <c r="F13" s="805">
        <v>8467</v>
      </c>
      <c r="G13" s="805"/>
      <c r="H13" s="805"/>
      <c r="I13" s="805"/>
      <c r="J13" s="805"/>
      <c r="K13" s="805"/>
      <c r="L13" s="805">
        <v>11315</v>
      </c>
      <c r="M13" s="805">
        <v>359478</v>
      </c>
      <c r="N13" s="806">
        <v>257545</v>
      </c>
      <c r="O13" s="807">
        <f>SUM(F13:M13)</f>
        <v>379260</v>
      </c>
    </row>
    <row r="14" spans="1:15" s="152" customFormat="1" ht="22.5" customHeight="1">
      <c r="A14" s="61">
        <v>7</v>
      </c>
      <c r="B14" s="312">
        <v>3</v>
      </c>
      <c r="C14" s="313"/>
      <c r="D14" s="676" t="s">
        <v>256</v>
      </c>
      <c r="E14" s="676"/>
      <c r="F14" s="321"/>
      <c r="G14" s="321"/>
      <c r="H14" s="321"/>
      <c r="I14" s="321"/>
      <c r="J14" s="321"/>
      <c r="K14" s="321"/>
      <c r="L14" s="321"/>
      <c r="M14" s="321"/>
      <c r="N14" s="322"/>
      <c r="O14" s="323"/>
    </row>
    <row r="15" spans="1:15" s="53" customFormat="1" ht="18" customHeight="1">
      <c r="A15" s="61">
        <v>8</v>
      </c>
      <c r="B15" s="314"/>
      <c r="C15" s="313"/>
      <c r="D15" s="675" t="s">
        <v>144</v>
      </c>
      <c r="E15" s="675"/>
      <c r="F15" s="324"/>
      <c r="G15" s="324"/>
      <c r="H15" s="324"/>
      <c r="I15" s="324"/>
      <c r="J15" s="324"/>
      <c r="K15" s="324"/>
      <c r="L15" s="324"/>
      <c r="M15" s="324"/>
      <c r="N15" s="325"/>
      <c r="O15" s="336"/>
    </row>
    <row r="16" spans="1:16" s="809" customFormat="1" ht="18" customHeight="1">
      <c r="A16" s="61">
        <v>9</v>
      </c>
      <c r="B16" s="801"/>
      <c r="C16" s="802"/>
      <c r="D16" s="803"/>
      <c r="E16" s="804" t="s">
        <v>293</v>
      </c>
      <c r="F16" s="805">
        <v>12371</v>
      </c>
      <c r="G16" s="805"/>
      <c r="H16" s="805"/>
      <c r="I16" s="805"/>
      <c r="J16" s="805"/>
      <c r="K16" s="805"/>
      <c r="L16" s="805">
        <v>24423</v>
      </c>
      <c r="M16" s="805">
        <v>393657</v>
      </c>
      <c r="N16" s="806">
        <v>302420</v>
      </c>
      <c r="O16" s="807">
        <f>SUM(F16:M16)</f>
        <v>430451</v>
      </c>
      <c r="P16" s="808"/>
    </row>
    <row r="17" spans="1:15" s="153" customFormat="1" ht="22.5" customHeight="1">
      <c r="A17" s="61">
        <v>10</v>
      </c>
      <c r="B17" s="312">
        <v>4</v>
      </c>
      <c r="C17" s="313"/>
      <c r="D17" s="677" t="s">
        <v>257</v>
      </c>
      <c r="E17" s="677"/>
      <c r="F17" s="321"/>
      <c r="G17" s="321"/>
      <c r="H17" s="321"/>
      <c r="I17" s="321"/>
      <c r="J17" s="321"/>
      <c r="K17" s="321"/>
      <c r="L17" s="321"/>
      <c r="M17" s="321"/>
      <c r="N17" s="322"/>
      <c r="O17" s="323"/>
    </row>
    <row r="18" spans="1:15" s="152" customFormat="1" ht="18" customHeight="1">
      <c r="A18" s="61">
        <v>11</v>
      </c>
      <c r="B18" s="314"/>
      <c r="C18" s="313"/>
      <c r="D18" s="675" t="s">
        <v>145</v>
      </c>
      <c r="E18" s="675"/>
      <c r="F18" s="324"/>
      <c r="G18" s="324"/>
      <c r="H18" s="324"/>
      <c r="I18" s="324"/>
      <c r="J18" s="324"/>
      <c r="K18" s="324"/>
      <c r="L18" s="324"/>
      <c r="M18" s="324"/>
      <c r="N18" s="325"/>
      <c r="O18" s="336"/>
    </row>
    <row r="19" spans="1:15" s="811" customFormat="1" ht="18" customHeight="1">
      <c r="A19" s="61">
        <v>12</v>
      </c>
      <c r="B19" s="801"/>
      <c r="C19" s="802"/>
      <c r="D19" s="803"/>
      <c r="E19" s="804" t="s">
        <v>293</v>
      </c>
      <c r="F19" s="805">
        <v>12382</v>
      </c>
      <c r="G19" s="805"/>
      <c r="H19" s="805"/>
      <c r="I19" s="805"/>
      <c r="J19" s="805"/>
      <c r="K19" s="805"/>
      <c r="L19" s="805">
        <v>8718</v>
      </c>
      <c r="M19" s="805">
        <v>319580</v>
      </c>
      <c r="N19" s="806">
        <v>244034</v>
      </c>
      <c r="O19" s="807">
        <f>SUM(F19:M19)</f>
        <v>340680</v>
      </c>
    </row>
    <row r="20" spans="1:15" s="56" customFormat="1" ht="22.5" customHeight="1">
      <c r="A20" s="61">
        <v>13</v>
      </c>
      <c r="B20" s="312">
        <v>5</v>
      </c>
      <c r="C20" s="313"/>
      <c r="D20" s="677" t="s">
        <v>258</v>
      </c>
      <c r="E20" s="677"/>
      <c r="F20" s="321"/>
      <c r="G20" s="321"/>
      <c r="H20" s="321"/>
      <c r="I20" s="321"/>
      <c r="J20" s="321"/>
      <c r="K20" s="321"/>
      <c r="L20" s="321"/>
      <c r="M20" s="321"/>
      <c r="N20" s="322"/>
      <c r="O20" s="323"/>
    </row>
    <row r="21" spans="1:15" s="153" customFormat="1" ht="18" customHeight="1">
      <c r="A21" s="61">
        <v>14</v>
      </c>
      <c r="B21" s="314"/>
      <c r="C21" s="313"/>
      <c r="D21" s="675" t="s">
        <v>146</v>
      </c>
      <c r="E21" s="675"/>
      <c r="F21" s="324"/>
      <c r="G21" s="324"/>
      <c r="H21" s="324"/>
      <c r="I21" s="324"/>
      <c r="J21" s="324"/>
      <c r="K21" s="324"/>
      <c r="L21" s="324"/>
      <c r="M21" s="324"/>
      <c r="N21" s="325"/>
      <c r="O21" s="336"/>
    </row>
    <row r="22" spans="1:15" s="810" customFormat="1" ht="18" customHeight="1">
      <c r="A22" s="61">
        <v>15</v>
      </c>
      <c r="B22" s="801"/>
      <c r="C22" s="802"/>
      <c r="D22" s="803"/>
      <c r="E22" s="804" t="s">
        <v>293</v>
      </c>
      <c r="F22" s="805">
        <v>17622</v>
      </c>
      <c r="G22" s="805"/>
      <c r="H22" s="805"/>
      <c r="I22" s="805"/>
      <c r="J22" s="805"/>
      <c r="K22" s="805"/>
      <c r="L22" s="805">
        <v>11563</v>
      </c>
      <c r="M22" s="805">
        <v>333644</v>
      </c>
      <c r="N22" s="806">
        <v>276219</v>
      </c>
      <c r="O22" s="807">
        <f>SUM(F22:M22)</f>
        <v>362829</v>
      </c>
    </row>
    <row r="23" spans="1:15" s="56" customFormat="1" ht="22.5" customHeight="1">
      <c r="A23" s="61">
        <v>16</v>
      </c>
      <c r="B23" s="312">
        <v>6</v>
      </c>
      <c r="C23" s="313"/>
      <c r="D23" s="677" t="s">
        <v>259</v>
      </c>
      <c r="E23" s="677"/>
      <c r="F23" s="321"/>
      <c r="G23" s="321"/>
      <c r="H23" s="321"/>
      <c r="I23" s="321"/>
      <c r="J23" s="321"/>
      <c r="K23" s="321"/>
      <c r="L23" s="321"/>
      <c r="M23" s="321"/>
      <c r="N23" s="322"/>
      <c r="O23" s="323"/>
    </row>
    <row r="24" spans="1:15" s="56" customFormat="1" ht="18" customHeight="1">
      <c r="A24" s="61">
        <v>17</v>
      </c>
      <c r="B24" s="314"/>
      <c r="C24" s="313"/>
      <c r="D24" s="675" t="s">
        <v>147</v>
      </c>
      <c r="E24" s="675"/>
      <c r="F24" s="324"/>
      <c r="G24" s="324"/>
      <c r="H24" s="324"/>
      <c r="I24" s="324"/>
      <c r="J24" s="324"/>
      <c r="K24" s="324"/>
      <c r="L24" s="324"/>
      <c r="M24" s="324"/>
      <c r="N24" s="325"/>
      <c r="O24" s="336"/>
    </row>
    <row r="25" spans="1:15" s="812" customFormat="1" ht="18" customHeight="1" thickBot="1">
      <c r="A25" s="61">
        <v>18</v>
      </c>
      <c r="B25" s="801"/>
      <c r="C25" s="802"/>
      <c r="D25" s="803"/>
      <c r="E25" s="804" t="s">
        <v>293</v>
      </c>
      <c r="F25" s="805">
        <v>5471</v>
      </c>
      <c r="G25" s="805"/>
      <c r="H25" s="805"/>
      <c r="I25" s="805"/>
      <c r="J25" s="805"/>
      <c r="K25" s="805"/>
      <c r="L25" s="805">
        <v>15705</v>
      </c>
      <c r="M25" s="805">
        <v>184907</v>
      </c>
      <c r="N25" s="806">
        <v>126960</v>
      </c>
      <c r="O25" s="807">
        <f>SUM(F25:M25)</f>
        <v>206083</v>
      </c>
    </row>
    <row r="26" spans="1:15" s="48" customFormat="1" ht="22.5" customHeight="1" thickTop="1">
      <c r="A26" s="61">
        <v>19</v>
      </c>
      <c r="B26" s="314"/>
      <c r="C26" s="1613" t="s">
        <v>499</v>
      </c>
      <c r="D26" s="1614"/>
      <c r="E26" s="1615"/>
      <c r="F26" s="799"/>
      <c r="G26" s="799"/>
      <c r="H26" s="799"/>
      <c r="I26" s="799"/>
      <c r="J26" s="799"/>
      <c r="K26" s="799"/>
      <c r="L26" s="799"/>
      <c r="M26" s="799"/>
      <c r="N26" s="730"/>
      <c r="O26" s="800"/>
    </row>
    <row r="27" spans="1:16" s="809" customFormat="1" ht="18" customHeight="1" thickBot="1">
      <c r="A27" s="61">
        <v>20</v>
      </c>
      <c r="B27" s="813"/>
      <c r="C27" s="821"/>
      <c r="D27" s="822"/>
      <c r="E27" s="823" t="s">
        <v>293</v>
      </c>
      <c r="F27" s="824">
        <f>SUM(F10,F13,F16,F19,F22,F25,)</f>
        <v>60656</v>
      </c>
      <c r="G27" s="824">
        <f aca="true" t="shared" si="0" ref="G27:N27">SUM(G10,G13,G16,G19,G22,G25,)</f>
        <v>0</v>
      </c>
      <c r="H27" s="824">
        <f t="shared" si="0"/>
        <v>0</v>
      </c>
      <c r="I27" s="824">
        <f t="shared" si="0"/>
        <v>0</v>
      </c>
      <c r="J27" s="824">
        <f t="shared" si="0"/>
        <v>0</v>
      </c>
      <c r="K27" s="824">
        <f t="shared" si="0"/>
        <v>0</v>
      </c>
      <c r="L27" s="824">
        <f t="shared" si="0"/>
        <v>78624</v>
      </c>
      <c r="M27" s="824">
        <f t="shared" si="0"/>
        <v>1808796</v>
      </c>
      <c r="N27" s="824">
        <f t="shared" si="0"/>
        <v>1384902</v>
      </c>
      <c r="O27" s="820">
        <f>SUM(F27:M27)</f>
        <v>1948076</v>
      </c>
      <c r="P27" s="808"/>
    </row>
    <row r="28" spans="1:15" s="53" customFormat="1" ht="22.5" customHeight="1" thickTop="1">
      <c r="A28" s="61">
        <v>21</v>
      </c>
      <c r="B28" s="326">
        <v>7</v>
      </c>
      <c r="C28" s="327"/>
      <c r="D28" s="678" t="s">
        <v>344</v>
      </c>
      <c r="E28" s="678"/>
      <c r="F28" s="328"/>
      <c r="G28" s="328"/>
      <c r="H28" s="328"/>
      <c r="I28" s="328"/>
      <c r="J28" s="328"/>
      <c r="K28" s="328"/>
      <c r="L28" s="328"/>
      <c r="M28" s="328"/>
      <c r="N28" s="329"/>
      <c r="O28" s="330"/>
    </row>
    <row r="29" spans="1:15" s="808" customFormat="1" ht="18" customHeight="1">
      <c r="A29" s="61">
        <v>22</v>
      </c>
      <c r="B29" s="801"/>
      <c r="C29" s="802"/>
      <c r="D29" s="803"/>
      <c r="E29" s="804" t="s">
        <v>293</v>
      </c>
      <c r="F29" s="829">
        <v>20992</v>
      </c>
      <c r="G29" s="829">
        <v>1502</v>
      </c>
      <c r="H29" s="829"/>
      <c r="I29" s="829"/>
      <c r="J29" s="829"/>
      <c r="K29" s="829"/>
      <c r="L29" s="829">
        <v>57280</v>
      </c>
      <c r="M29" s="829">
        <v>1041123</v>
      </c>
      <c r="N29" s="830">
        <v>763054</v>
      </c>
      <c r="O29" s="825">
        <f>SUM(F29:M29)</f>
        <v>1120897</v>
      </c>
    </row>
    <row r="30" spans="1:16" s="269" customFormat="1" ht="22.5" customHeight="1">
      <c r="A30" s="61">
        <v>23</v>
      </c>
      <c r="B30" s="312">
        <v>8</v>
      </c>
      <c r="C30" s="313"/>
      <c r="D30" s="677" t="s">
        <v>116</v>
      </c>
      <c r="E30" s="677"/>
      <c r="F30" s="318"/>
      <c r="G30" s="318"/>
      <c r="H30" s="318"/>
      <c r="I30" s="318"/>
      <c r="J30" s="318"/>
      <c r="K30" s="318"/>
      <c r="L30" s="318"/>
      <c r="M30" s="318"/>
      <c r="N30" s="319"/>
      <c r="O30" s="320"/>
      <c r="P30" s="53"/>
    </row>
    <row r="31" spans="1:15" s="810" customFormat="1" ht="18" customHeight="1">
      <c r="A31" s="61">
        <v>24</v>
      </c>
      <c r="B31" s="801"/>
      <c r="C31" s="802"/>
      <c r="D31" s="803"/>
      <c r="E31" s="804" t="s">
        <v>293</v>
      </c>
      <c r="F31" s="829">
        <v>14100</v>
      </c>
      <c r="G31" s="829"/>
      <c r="H31" s="829"/>
      <c r="I31" s="829"/>
      <c r="J31" s="829"/>
      <c r="K31" s="829"/>
      <c r="L31" s="829">
        <v>3410</v>
      </c>
      <c r="M31" s="829">
        <v>56257</v>
      </c>
      <c r="N31" s="830">
        <v>34258</v>
      </c>
      <c r="O31" s="825">
        <f>SUM(F31:M31)</f>
        <v>73767</v>
      </c>
    </row>
    <row r="32" spans="1:16" s="269" customFormat="1" ht="22.5" customHeight="1">
      <c r="A32" s="61">
        <v>25</v>
      </c>
      <c r="B32" s="312">
        <v>9</v>
      </c>
      <c r="C32" s="313"/>
      <c r="D32" s="677" t="s">
        <v>436</v>
      </c>
      <c r="E32" s="677"/>
      <c r="F32" s="318"/>
      <c r="G32" s="318"/>
      <c r="H32" s="318"/>
      <c r="I32" s="318"/>
      <c r="J32" s="318"/>
      <c r="K32" s="318"/>
      <c r="L32" s="318"/>
      <c r="M32" s="318"/>
      <c r="N32" s="319"/>
      <c r="O32" s="320"/>
      <c r="P32" s="53"/>
    </row>
    <row r="33" spans="1:15" s="810" customFormat="1" ht="18" customHeight="1" thickBot="1">
      <c r="A33" s="61">
        <v>26</v>
      </c>
      <c r="B33" s="801"/>
      <c r="C33" s="814"/>
      <c r="D33" s="815"/>
      <c r="E33" s="836" t="s">
        <v>293</v>
      </c>
      <c r="F33" s="837">
        <v>1800</v>
      </c>
      <c r="G33" s="837"/>
      <c r="H33" s="837"/>
      <c r="I33" s="837"/>
      <c r="J33" s="837"/>
      <c r="K33" s="837"/>
      <c r="L33" s="837">
        <v>32587</v>
      </c>
      <c r="M33" s="837">
        <v>228803</v>
      </c>
      <c r="N33" s="838">
        <v>159828</v>
      </c>
      <c r="O33" s="827">
        <f>SUM(F33:M33)</f>
        <v>263190</v>
      </c>
    </row>
    <row r="34" spans="1:15" s="56" customFormat="1" ht="22.5" customHeight="1" thickTop="1">
      <c r="A34" s="61">
        <v>27</v>
      </c>
      <c r="B34" s="314"/>
      <c r="C34" s="1613" t="s">
        <v>500</v>
      </c>
      <c r="D34" s="1614"/>
      <c r="E34" s="1615"/>
      <c r="F34" s="799"/>
      <c r="G34" s="799"/>
      <c r="H34" s="799"/>
      <c r="I34" s="799"/>
      <c r="J34" s="799"/>
      <c r="K34" s="799"/>
      <c r="L34" s="799"/>
      <c r="M34" s="799"/>
      <c r="N34" s="799"/>
      <c r="O34" s="800"/>
    </row>
    <row r="35" spans="1:15" s="810" customFormat="1" ht="18" customHeight="1" thickBot="1">
      <c r="A35" s="61">
        <v>28</v>
      </c>
      <c r="B35" s="801"/>
      <c r="C35" s="821"/>
      <c r="D35" s="822"/>
      <c r="E35" s="839" t="s">
        <v>293</v>
      </c>
      <c r="F35" s="840">
        <f>SUM(F29,F31,F33)</f>
        <v>36892</v>
      </c>
      <c r="G35" s="840">
        <f aca="true" t="shared" si="1" ref="G35:N35">SUM(G29,G31,G33)</f>
        <v>1502</v>
      </c>
      <c r="H35" s="840">
        <f t="shared" si="1"/>
        <v>0</v>
      </c>
      <c r="I35" s="840">
        <f t="shared" si="1"/>
        <v>0</v>
      </c>
      <c r="J35" s="840">
        <f t="shared" si="1"/>
        <v>0</v>
      </c>
      <c r="K35" s="840">
        <f t="shared" si="1"/>
        <v>0</v>
      </c>
      <c r="L35" s="840">
        <f t="shared" si="1"/>
        <v>93277</v>
      </c>
      <c r="M35" s="840">
        <f t="shared" si="1"/>
        <v>1326183</v>
      </c>
      <c r="N35" s="841">
        <f t="shared" si="1"/>
        <v>957140</v>
      </c>
      <c r="O35" s="828">
        <f>SUM(F35:M35)</f>
        <v>1457854</v>
      </c>
    </row>
    <row r="36" spans="1:16" s="49" customFormat="1" ht="22.5" customHeight="1" thickTop="1">
      <c r="A36" s="61">
        <v>29</v>
      </c>
      <c r="B36" s="326">
        <v>10</v>
      </c>
      <c r="C36" s="327"/>
      <c r="D36" s="678" t="s">
        <v>438</v>
      </c>
      <c r="E36" s="679"/>
      <c r="F36" s="338"/>
      <c r="G36" s="338"/>
      <c r="H36" s="338"/>
      <c r="I36" s="338"/>
      <c r="J36" s="338"/>
      <c r="K36" s="338"/>
      <c r="L36" s="338"/>
      <c r="M36" s="338"/>
      <c r="N36" s="339"/>
      <c r="O36" s="340"/>
      <c r="P36" s="48"/>
    </row>
    <row r="37" spans="1:15" s="808" customFormat="1" ht="18" customHeight="1">
      <c r="A37" s="61">
        <v>30</v>
      </c>
      <c r="B37" s="801"/>
      <c r="C37" s="802"/>
      <c r="D37" s="803"/>
      <c r="E37" s="804" t="s">
        <v>293</v>
      </c>
      <c r="F37" s="829">
        <v>35916</v>
      </c>
      <c r="G37" s="829"/>
      <c r="H37" s="829"/>
      <c r="I37" s="829"/>
      <c r="J37" s="829"/>
      <c r="K37" s="829"/>
      <c r="L37" s="829">
        <v>8683</v>
      </c>
      <c r="M37" s="829">
        <v>195101</v>
      </c>
      <c r="N37" s="830">
        <v>4716</v>
      </c>
      <c r="O37" s="825">
        <f>SUM(F37:M37)</f>
        <v>239700</v>
      </c>
    </row>
    <row r="38" spans="1:16" s="57" customFormat="1" ht="18" customHeight="1">
      <c r="A38" s="61">
        <v>31</v>
      </c>
      <c r="B38" s="312"/>
      <c r="C38" s="313">
        <v>1</v>
      </c>
      <c r="D38" s="674" t="s">
        <v>494</v>
      </c>
      <c r="E38" s="674"/>
      <c r="F38" s="121"/>
      <c r="G38" s="121"/>
      <c r="H38" s="121"/>
      <c r="I38" s="121"/>
      <c r="J38" s="121"/>
      <c r="K38" s="121"/>
      <c r="L38" s="121"/>
      <c r="M38" s="121"/>
      <c r="N38" s="158"/>
      <c r="O38" s="332"/>
      <c r="P38" s="48"/>
    </row>
    <row r="39" spans="1:15" s="808" customFormat="1" ht="18" customHeight="1">
      <c r="A39" s="61">
        <v>32</v>
      </c>
      <c r="B39" s="813"/>
      <c r="C39" s="814"/>
      <c r="D39" s="815"/>
      <c r="E39" s="816" t="s">
        <v>293</v>
      </c>
      <c r="F39" s="817"/>
      <c r="G39" s="817">
        <v>51720</v>
      </c>
      <c r="H39" s="817"/>
      <c r="I39" s="817"/>
      <c r="J39" s="817">
        <v>4050</v>
      </c>
      <c r="K39" s="817"/>
      <c r="L39" s="817">
        <v>19870</v>
      </c>
      <c r="M39" s="817"/>
      <c r="N39" s="818"/>
      <c r="O39" s="819">
        <f>SUM(F39:M39)</f>
        <v>75640</v>
      </c>
    </row>
    <row r="40" spans="1:16" s="57" customFormat="1" ht="22.5" customHeight="1">
      <c r="A40" s="61">
        <v>33</v>
      </c>
      <c r="B40" s="312">
        <v>11</v>
      </c>
      <c r="C40" s="313"/>
      <c r="D40" s="677" t="s">
        <v>429</v>
      </c>
      <c r="E40" s="677"/>
      <c r="F40" s="318"/>
      <c r="G40" s="318"/>
      <c r="H40" s="318"/>
      <c r="I40" s="318"/>
      <c r="J40" s="318"/>
      <c r="K40" s="318"/>
      <c r="L40" s="318"/>
      <c r="M40" s="318"/>
      <c r="N40" s="319"/>
      <c r="O40" s="320"/>
      <c r="P40" s="48"/>
    </row>
    <row r="41" spans="1:15" s="808" customFormat="1" ht="18" customHeight="1">
      <c r="A41" s="61">
        <v>34</v>
      </c>
      <c r="B41" s="801"/>
      <c r="C41" s="802"/>
      <c r="D41" s="803"/>
      <c r="E41" s="804" t="s">
        <v>293</v>
      </c>
      <c r="F41" s="829">
        <v>11431</v>
      </c>
      <c r="G41" s="829">
        <v>2650</v>
      </c>
      <c r="H41" s="829"/>
      <c r="I41" s="829"/>
      <c r="J41" s="829"/>
      <c r="K41" s="829"/>
      <c r="L41" s="829">
        <v>11421</v>
      </c>
      <c r="M41" s="829">
        <v>131413</v>
      </c>
      <c r="N41" s="830">
        <v>4037</v>
      </c>
      <c r="O41" s="825">
        <f>SUM(F41:M41)</f>
        <v>156915</v>
      </c>
    </row>
    <row r="42" spans="1:16" s="57" customFormat="1" ht="18" customHeight="1">
      <c r="A42" s="61">
        <v>35</v>
      </c>
      <c r="B42" s="312"/>
      <c r="C42" s="313">
        <v>1</v>
      </c>
      <c r="D42" s="676" t="s">
        <v>665</v>
      </c>
      <c r="E42" s="674"/>
      <c r="F42" s="121"/>
      <c r="G42" s="121"/>
      <c r="H42" s="121"/>
      <c r="I42" s="121"/>
      <c r="J42" s="121"/>
      <c r="K42" s="121"/>
      <c r="L42" s="121"/>
      <c r="M42" s="121"/>
      <c r="N42" s="158"/>
      <c r="O42" s="332"/>
      <c r="P42" s="48"/>
    </row>
    <row r="43" spans="1:15" s="808" customFormat="1" ht="18" customHeight="1">
      <c r="A43" s="61">
        <v>36</v>
      </c>
      <c r="B43" s="813"/>
      <c r="C43" s="814"/>
      <c r="D43" s="815"/>
      <c r="E43" s="816" t="s">
        <v>293</v>
      </c>
      <c r="F43" s="817"/>
      <c r="G43" s="817"/>
      <c r="H43" s="817">
        <v>470</v>
      </c>
      <c r="I43" s="817"/>
      <c r="J43" s="817"/>
      <c r="K43" s="817"/>
      <c r="L43" s="817">
        <v>1879</v>
      </c>
      <c r="M43" s="817"/>
      <c r="N43" s="818"/>
      <c r="O43" s="819">
        <f>SUM(F43:M43)</f>
        <v>2349</v>
      </c>
    </row>
    <row r="44" spans="1:15" s="152" customFormat="1" ht="22.5" customHeight="1">
      <c r="A44" s="61">
        <v>37</v>
      </c>
      <c r="B44" s="312">
        <v>12</v>
      </c>
      <c r="C44" s="313"/>
      <c r="D44" s="677" t="s">
        <v>25</v>
      </c>
      <c r="E44" s="680"/>
      <c r="F44" s="321"/>
      <c r="G44" s="321"/>
      <c r="H44" s="321"/>
      <c r="I44" s="321"/>
      <c r="J44" s="321"/>
      <c r="K44" s="321"/>
      <c r="L44" s="321"/>
      <c r="M44" s="321"/>
      <c r="N44" s="322"/>
      <c r="O44" s="323"/>
    </row>
    <row r="45" spans="1:15" s="811" customFormat="1" ht="18" customHeight="1">
      <c r="A45" s="61">
        <v>38</v>
      </c>
      <c r="B45" s="801"/>
      <c r="C45" s="802"/>
      <c r="D45" s="803"/>
      <c r="E45" s="804" t="s">
        <v>293</v>
      </c>
      <c r="F45" s="829">
        <v>21200</v>
      </c>
      <c r="G45" s="829"/>
      <c r="H45" s="829"/>
      <c r="I45" s="829"/>
      <c r="J45" s="829"/>
      <c r="K45" s="829"/>
      <c r="L45" s="829">
        <v>2863</v>
      </c>
      <c r="M45" s="829">
        <v>434671</v>
      </c>
      <c r="N45" s="830">
        <v>299996</v>
      </c>
      <c r="O45" s="825">
        <f>SUM(F45:M45)</f>
        <v>458734</v>
      </c>
    </row>
    <row r="46" spans="1:15" s="152" customFormat="1" ht="18" customHeight="1">
      <c r="A46" s="61">
        <v>39</v>
      </c>
      <c r="B46" s="314"/>
      <c r="C46" s="313">
        <v>2</v>
      </c>
      <c r="D46" s="674" t="s">
        <v>494</v>
      </c>
      <c r="E46" s="674"/>
      <c r="F46" s="318"/>
      <c r="G46" s="318"/>
      <c r="H46" s="318"/>
      <c r="I46" s="318"/>
      <c r="J46" s="318"/>
      <c r="K46" s="318"/>
      <c r="L46" s="318"/>
      <c r="M46" s="318"/>
      <c r="N46" s="319"/>
      <c r="O46" s="320"/>
    </row>
    <row r="47" spans="1:16" s="809" customFormat="1" ht="18" customHeight="1">
      <c r="A47" s="61">
        <v>40</v>
      </c>
      <c r="B47" s="813"/>
      <c r="C47" s="802"/>
      <c r="D47" s="803"/>
      <c r="E47" s="831" t="s">
        <v>293</v>
      </c>
      <c r="F47" s="832"/>
      <c r="G47" s="832">
        <v>36849</v>
      </c>
      <c r="H47" s="832"/>
      <c r="I47" s="832"/>
      <c r="J47" s="832"/>
      <c r="K47" s="832"/>
      <c r="L47" s="832">
        <v>12841</v>
      </c>
      <c r="M47" s="832"/>
      <c r="N47" s="833"/>
      <c r="O47" s="826">
        <f>SUM(F47:M47)</f>
        <v>49690</v>
      </c>
      <c r="P47" s="808"/>
    </row>
    <row r="48" spans="1:15" s="152" customFormat="1" ht="22.5" customHeight="1">
      <c r="A48" s="61">
        <v>41</v>
      </c>
      <c r="B48" s="312">
        <v>13</v>
      </c>
      <c r="C48" s="313"/>
      <c r="D48" s="677" t="s">
        <v>32</v>
      </c>
      <c r="E48" s="680"/>
      <c r="F48" s="321"/>
      <c r="G48" s="321"/>
      <c r="H48" s="321"/>
      <c r="I48" s="321"/>
      <c r="J48" s="321"/>
      <c r="K48" s="321"/>
      <c r="L48" s="321"/>
      <c r="M48" s="321"/>
      <c r="N48" s="322"/>
      <c r="O48" s="323"/>
    </row>
    <row r="49" spans="1:15" s="811" customFormat="1" ht="18" customHeight="1">
      <c r="A49" s="61">
        <v>42</v>
      </c>
      <c r="B49" s="801"/>
      <c r="C49" s="802"/>
      <c r="D49" s="803"/>
      <c r="E49" s="804" t="s">
        <v>293</v>
      </c>
      <c r="F49" s="829">
        <v>185069</v>
      </c>
      <c r="G49" s="829">
        <v>2500</v>
      </c>
      <c r="H49" s="829"/>
      <c r="I49" s="829"/>
      <c r="J49" s="829"/>
      <c r="K49" s="829"/>
      <c r="L49" s="829">
        <v>16981</v>
      </c>
      <c r="M49" s="829">
        <v>237734</v>
      </c>
      <c r="N49" s="830">
        <v>130450</v>
      </c>
      <c r="O49" s="825">
        <f>SUM(F49:M49)</f>
        <v>442284</v>
      </c>
    </row>
    <row r="50" spans="1:16" s="57" customFormat="1" ht="18" customHeight="1">
      <c r="A50" s="61">
        <v>43</v>
      </c>
      <c r="B50" s="312"/>
      <c r="C50" s="313">
        <v>1</v>
      </c>
      <c r="D50" s="676" t="s">
        <v>665</v>
      </c>
      <c r="E50" s="674"/>
      <c r="F50" s="121"/>
      <c r="G50" s="121"/>
      <c r="H50" s="121"/>
      <c r="I50" s="121"/>
      <c r="J50" s="121"/>
      <c r="K50" s="121"/>
      <c r="L50" s="121"/>
      <c r="M50" s="121"/>
      <c r="N50" s="158"/>
      <c r="O50" s="332"/>
      <c r="P50" s="48"/>
    </row>
    <row r="51" spans="1:15" s="808" customFormat="1" ht="18" customHeight="1">
      <c r="A51" s="61">
        <v>44</v>
      </c>
      <c r="B51" s="813"/>
      <c r="C51" s="814"/>
      <c r="D51" s="815"/>
      <c r="E51" s="816" t="s">
        <v>293</v>
      </c>
      <c r="F51" s="817"/>
      <c r="G51" s="817"/>
      <c r="H51" s="817"/>
      <c r="I51" s="817"/>
      <c r="J51" s="817"/>
      <c r="K51" s="817"/>
      <c r="L51" s="817">
        <v>8944</v>
      </c>
      <c r="M51" s="817"/>
      <c r="N51" s="818"/>
      <c r="O51" s="819">
        <f>SUM(F51:M51)</f>
        <v>8944</v>
      </c>
    </row>
    <row r="52" spans="1:15" s="152" customFormat="1" ht="22.5" customHeight="1">
      <c r="A52" s="61">
        <v>45</v>
      </c>
      <c r="B52" s="312">
        <v>14</v>
      </c>
      <c r="C52" s="313"/>
      <c r="D52" s="677" t="s">
        <v>430</v>
      </c>
      <c r="E52" s="677"/>
      <c r="F52" s="321"/>
      <c r="G52" s="321"/>
      <c r="H52" s="321"/>
      <c r="I52" s="321"/>
      <c r="J52" s="321"/>
      <c r="K52" s="321"/>
      <c r="L52" s="321"/>
      <c r="M52" s="321"/>
      <c r="N52" s="322"/>
      <c r="O52" s="323"/>
    </row>
    <row r="53" spans="1:15" s="811" customFormat="1" ht="18" customHeight="1">
      <c r="A53" s="61">
        <v>46</v>
      </c>
      <c r="B53" s="801"/>
      <c r="C53" s="802"/>
      <c r="D53" s="803"/>
      <c r="E53" s="804" t="s">
        <v>293</v>
      </c>
      <c r="F53" s="829">
        <v>28366</v>
      </c>
      <c r="G53" s="829"/>
      <c r="H53" s="829"/>
      <c r="I53" s="829"/>
      <c r="J53" s="829"/>
      <c r="K53" s="829"/>
      <c r="L53" s="829">
        <v>371</v>
      </c>
      <c r="M53" s="829">
        <v>122176</v>
      </c>
      <c r="N53" s="830">
        <v>65741</v>
      </c>
      <c r="O53" s="825">
        <f>SUM(F53:M53)</f>
        <v>150913</v>
      </c>
    </row>
    <row r="54" spans="1:16" s="267" customFormat="1" ht="18" customHeight="1">
      <c r="A54" s="61">
        <v>47</v>
      </c>
      <c r="B54" s="316"/>
      <c r="C54" s="313">
        <v>1</v>
      </c>
      <c r="D54" s="674" t="s">
        <v>143</v>
      </c>
      <c r="E54" s="674"/>
      <c r="F54" s="121"/>
      <c r="G54" s="121"/>
      <c r="H54" s="121"/>
      <c r="I54" s="121"/>
      <c r="J54" s="121"/>
      <c r="K54" s="121"/>
      <c r="L54" s="121"/>
      <c r="M54" s="121"/>
      <c r="N54" s="158"/>
      <c r="O54" s="332"/>
      <c r="P54" s="49"/>
    </row>
    <row r="55" spans="1:16" s="835" customFormat="1" ht="18" customHeight="1">
      <c r="A55" s="61">
        <v>48</v>
      </c>
      <c r="B55" s="813"/>
      <c r="C55" s="802"/>
      <c r="D55" s="803"/>
      <c r="E55" s="831" t="s">
        <v>293</v>
      </c>
      <c r="F55" s="805"/>
      <c r="G55" s="805">
        <v>1054</v>
      </c>
      <c r="H55" s="805"/>
      <c r="I55" s="805"/>
      <c r="J55" s="805"/>
      <c r="K55" s="805"/>
      <c r="L55" s="805"/>
      <c r="M55" s="805"/>
      <c r="N55" s="806"/>
      <c r="O55" s="826">
        <f>SUM(F55:M55)</f>
        <v>1054</v>
      </c>
      <c r="P55" s="834"/>
    </row>
    <row r="56" spans="1:16" s="57" customFormat="1" ht="18" customHeight="1">
      <c r="A56" s="61">
        <v>49</v>
      </c>
      <c r="B56" s="312"/>
      <c r="C56" s="313">
        <v>2</v>
      </c>
      <c r="D56" s="676" t="s">
        <v>665</v>
      </c>
      <c r="E56" s="674"/>
      <c r="F56" s="121"/>
      <c r="G56" s="121"/>
      <c r="H56" s="121"/>
      <c r="I56" s="121"/>
      <c r="J56" s="121"/>
      <c r="K56" s="121"/>
      <c r="L56" s="121"/>
      <c r="M56" s="121"/>
      <c r="N56" s="158"/>
      <c r="O56" s="332"/>
      <c r="P56" s="48"/>
    </row>
    <row r="57" spans="1:15" s="808" customFormat="1" ht="18" customHeight="1">
      <c r="A57" s="61">
        <v>50</v>
      </c>
      <c r="B57" s="813"/>
      <c r="C57" s="814"/>
      <c r="D57" s="815"/>
      <c r="E57" s="816" t="s">
        <v>293</v>
      </c>
      <c r="F57" s="817"/>
      <c r="G57" s="817"/>
      <c r="H57" s="817">
        <v>4099</v>
      </c>
      <c r="I57" s="817"/>
      <c r="J57" s="817"/>
      <c r="K57" s="817"/>
      <c r="L57" s="817">
        <v>2602</v>
      </c>
      <c r="M57" s="817"/>
      <c r="N57" s="818"/>
      <c r="O57" s="819">
        <f>SUM(F57:M57)</f>
        <v>6701</v>
      </c>
    </row>
    <row r="58" spans="1:15" s="153" customFormat="1" ht="22.5" customHeight="1">
      <c r="A58" s="61">
        <v>51</v>
      </c>
      <c r="B58" s="312">
        <v>15</v>
      </c>
      <c r="C58" s="313"/>
      <c r="D58" s="677" t="s">
        <v>148</v>
      </c>
      <c r="E58" s="680"/>
      <c r="F58" s="321"/>
      <c r="G58" s="321"/>
      <c r="H58" s="321"/>
      <c r="I58" s="321"/>
      <c r="J58" s="321"/>
      <c r="K58" s="321"/>
      <c r="L58" s="321"/>
      <c r="M58" s="321"/>
      <c r="N58" s="322"/>
      <c r="O58" s="323"/>
    </row>
    <row r="59" spans="1:15" s="810" customFormat="1" ht="18" customHeight="1" thickBot="1">
      <c r="A59" s="61">
        <v>52</v>
      </c>
      <c r="B59" s="801"/>
      <c r="C59" s="814"/>
      <c r="D59" s="815"/>
      <c r="E59" s="836" t="s">
        <v>293</v>
      </c>
      <c r="F59" s="837">
        <v>127760</v>
      </c>
      <c r="G59" s="837">
        <v>55000</v>
      </c>
      <c r="H59" s="837"/>
      <c r="I59" s="837"/>
      <c r="J59" s="837"/>
      <c r="K59" s="837"/>
      <c r="L59" s="837">
        <v>15204</v>
      </c>
      <c r="M59" s="837">
        <v>549188</v>
      </c>
      <c r="N59" s="838">
        <v>375129</v>
      </c>
      <c r="O59" s="827">
        <f>SUM(F59:M59)</f>
        <v>747152</v>
      </c>
    </row>
    <row r="60" spans="1:15" s="153" customFormat="1" ht="22.5" customHeight="1" thickTop="1">
      <c r="A60" s="61">
        <v>53</v>
      </c>
      <c r="B60" s="314"/>
      <c r="C60" s="1613" t="s">
        <v>501</v>
      </c>
      <c r="D60" s="1614"/>
      <c r="E60" s="1615"/>
      <c r="F60" s="799"/>
      <c r="G60" s="799"/>
      <c r="H60" s="799"/>
      <c r="I60" s="799"/>
      <c r="J60" s="799"/>
      <c r="K60" s="799"/>
      <c r="L60" s="799"/>
      <c r="M60" s="799"/>
      <c r="N60" s="799"/>
      <c r="O60" s="800"/>
    </row>
    <row r="61" spans="1:15" s="810" customFormat="1" ht="18" customHeight="1" thickBot="1">
      <c r="A61" s="61">
        <v>54</v>
      </c>
      <c r="B61" s="801"/>
      <c r="C61" s="821"/>
      <c r="D61" s="822"/>
      <c r="E61" s="839" t="s">
        <v>293</v>
      </c>
      <c r="F61" s="840">
        <f>SUM(F37,F39,F41,F45,F47,F49,F53,F55,F59,F43,F51,F57)</f>
        <v>409742</v>
      </c>
      <c r="G61" s="840">
        <f aca="true" t="shared" si="2" ref="G61:N61">SUM(G37,G39,G41,G45,G47,G49,G53,G55,G59,G43,G51,G57)</f>
        <v>149773</v>
      </c>
      <c r="H61" s="840">
        <f t="shared" si="2"/>
        <v>4569</v>
      </c>
      <c r="I61" s="840">
        <f t="shared" si="2"/>
        <v>0</v>
      </c>
      <c r="J61" s="840">
        <f t="shared" si="2"/>
        <v>4050</v>
      </c>
      <c r="K61" s="840">
        <f t="shared" si="2"/>
        <v>0</v>
      </c>
      <c r="L61" s="840">
        <f t="shared" si="2"/>
        <v>101659</v>
      </c>
      <c r="M61" s="840">
        <f t="shared" si="2"/>
        <v>1670283</v>
      </c>
      <c r="N61" s="840">
        <f t="shared" si="2"/>
        <v>880069</v>
      </c>
      <c r="O61" s="828">
        <f>SUM(F61:M61)</f>
        <v>2340076</v>
      </c>
    </row>
    <row r="62" spans="1:16" ht="22.5" customHeight="1" thickTop="1">
      <c r="A62" s="61">
        <v>55</v>
      </c>
      <c r="B62" s="326">
        <v>16</v>
      </c>
      <c r="C62" s="327"/>
      <c r="D62" s="678" t="s">
        <v>260</v>
      </c>
      <c r="E62" s="678"/>
      <c r="F62" s="338"/>
      <c r="G62" s="338"/>
      <c r="H62" s="338"/>
      <c r="I62" s="338"/>
      <c r="J62" s="338"/>
      <c r="K62" s="338"/>
      <c r="L62" s="338"/>
      <c r="M62" s="338"/>
      <c r="N62" s="339"/>
      <c r="O62" s="340"/>
      <c r="P62" s="48"/>
    </row>
    <row r="63" spans="1:16" s="835" customFormat="1" ht="18" customHeight="1" thickBot="1">
      <c r="A63" s="61">
        <v>56</v>
      </c>
      <c r="B63" s="843"/>
      <c r="C63" s="844"/>
      <c r="D63" s="845"/>
      <c r="E63" s="846" t="s">
        <v>293</v>
      </c>
      <c r="F63" s="847">
        <v>346280</v>
      </c>
      <c r="G63" s="847"/>
      <c r="H63" s="847"/>
      <c r="I63" s="847"/>
      <c r="J63" s="847"/>
      <c r="K63" s="847"/>
      <c r="L63" s="847">
        <v>58857</v>
      </c>
      <c r="M63" s="847">
        <v>794675</v>
      </c>
      <c r="N63" s="848">
        <v>336855</v>
      </c>
      <c r="O63" s="842">
        <f>SUM(F63:M63)</f>
        <v>1199812</v>
      </c>
      <c r="P63" s="834"/>
    </row>
    <row r="64" spans="1:16" s="267" customFormat="1" ht="36" customHeight="1">
      <c r="A64" s="61">
        <v>57</v>
      </c>
      <c r="B64" s="1616" t="s">
        <v>149</v>
      </c>
      <c r="C64" s="1617"/>
      <c r="D64" s="1617"/>
      <c r="E64" s="1618"/>
      <c r="F64" s="849"/>
      <c r="G64" s="849"/>
      <c r="H64" s="849"/>
      <c r="I64" s="849"/>
      <c r="J64" s="849"/>
      <c r="K64" s="849"/>
      <c r="L64" s="849"/>
      <c r="M64" s="849"/>
      <c r="N64" s="850"/>
      <c r="O64" s="851"/>
      <c r="P64" s="49"/>
    </row>
    <row r="65" spans="1:16" s="835" customFormat="1" ht="18" customHeight="1" thickBot="1">
      <c r="A65" s="61">
        <v>58</v>
      </c>
      <c r="B65" s="843"/>
      <c r="C65" s="844"/>
      <c r="D65" s="845"/>
      <c r="E65" s="846" t="s">
        <v>293</v>
      </c>
      <c r="F65" s="847">
        <f aca="true" t="shared" si="3" ref="F65:N65">SUM(F63,F61,F35,F27)</f>
        <v>853570</v>
      </c>
      <c r="G65" s="847">
        <f t="shared" si="3"/>
        <v>151275</v>
      </c>
      <c r="H65" s="847">
        <f t="shared" si="3"/>
        <v>4569</v>
      </c>
      <c r="I65" s="847">
        <f t="shared" si="3"/>
        <v>0</v>
      </c>
      <c r="J65" s="847">
        <f t="shared" si="3"/>
        <v>4050</v>
      </c>
      <c r="K65" s="847">
        <f t="shared" si="3"/>
        <v>0</v>
      </c>
      <c r="L65" s="847">
        <f t="shared" si="3"/>
        <v>332417</v>
      </c>
      <c r="M65" s="847">
        <f t="shared" si="3"/>
        <v>5599937</v>
      </c>
      <c r="N65" s="848">
        <f t="shared" si="3"/>
        <v>3558966</v>
      </c>
      <c r="O65" s="842">
        <f>SUM(F65:M65)</f>
        <v>6945818</v>
      </c>
      <c r="P65" s="834"/>
    </row>
    <row r="66" spans="1:16" ht="22.5" customHeight="1">
      <c r="A66" s="61">
        <v>59</v>
      </c>
      <c r="B66" s="308">
        <v>17</v>
      </c>
      <c r="C66" s="309"/>
      <c r="D66" s="686" t="s">
        <v>150</v>
      </c>
      <c r="E66" s="683"/>
      <c r="F66" s="684"/>
      <c r="G66" s="685"/>
      <c r="H66" s="310"/>
      <c r="I66" s="310"/>
      <c r="J66" s="310"/>
      <c r="K66" s="310"/>
      <c r="L66" s="310"/>
      <c r="M66" s="310"/>
      <c r="N66" s="311"/>
      <c r="O66" s="335"/>
      <c r="P66" s="48"/>
    </row>
    <row r="67" spans="1:16" s="835" customFormat="1" ht="18" customHeight="1" thickBot="1">
      <c r="A67" s="61">
        <v>60</v>
      </c>
      <c r="B67" s="853"/>
      <c r="C67" s="814"/>
      <c r="D67" s="814"/>
      <c r="E67" s="854" t="s">
        <v>293</v>
      </c>
      <c r="F67" s="837">
        <v>4445</v>
      </c>
      <c r="G67" s="837">
        <v>16195</v>
      </c>
      <c r="H67" s="837"/>
      <c r="I67" s="837"/>
      <c r="J67" s="837"/>
      <c r="K67" s="837"/>
      <c r="L67" s="837">
        <v>81050</v>
      </c>
      <c r="M67" s="837">
        <f>1800194-12700</f>
        <v>1787494</v>
      </c>
      <c r="N67" s="838">
        <v>776793</v>
      </c>
      <c r="O67" s="827">
        <f>SUM(F67:M67)</f>
        <v>1889184</v>
      </c>
      <c r="P67" s="834"/>
    </row>
    <row r="68" spans="1:16" s="267" customFormat="1" ht="36" customHeight="1">
      <c r="A68" s="61">
        <v>61</v>
      </c>
      <c r="B68" s="1619" t="s">
        <v>13</v>
      </c>
      <c r="C68" s="1620"/>
      <c r="D68" s="1620"/>
      <c r="E68" s="1621"/>
      <c r="F68" s="470"/>
      <c r="G68" s="470"/>
      <c r="H68" s="470"/>
      <c r="I68" s="470"/>
      <c r="J68" s="470"/>
      <c r="K68" s="470"/>
      <c r="L68" s="470"/>
      <c r="M68" s="470"/>
      <c r="N68" s="852"/>
      <c r="O68" s="851">
        <f>SUM(F68:M68)</f>
        <v>0</v>
      </c>
      <c r="P68" s="49"/>
    </row>
    <row r="69" spans="1:16" s="835" customFormat="1" ht="18" customHeight="1" thickBot="1">
      <c r="A69" s="61">
        <v>62</v>
      </c>
      <c r="B69" s="843"/>
      <c r="C69" s="844"/>
      <c r="D69" s="844"/>
      <c r="E69" s="856" t="s">
        <v>293</v>
      </c>
      <c r="F69" s="847">
        <f>SUM(F65,F67)</f>
        <v>858015</v>
      </c>
      <c r="G69" s="847">
        <f aca="true" t="shared" si="4" ref="G69:N69">SUM(G65,G67)</f>
        <v>167470</v>
      </c>
      <c r="H69" s="847">
        <f t="shared" si="4"/>
        <v>4569</v>
      </c>
      <c r="I69" s="847">
        <f t="shared" si="4"/>
        <v>0</v>
      </c>
      <c r="J69" s="847">
        <f t="shared" si="4"/>
        <v>4050</v>
      </c>
      <c r="K69" s="847">
        <f t="shared" si="4"/>
        <v>0</v>
      </c>
      <c r="L69" s="847">
        <f t="shared" si="4"/>
        <v>413467</v>
      </c>
      <c r="M69" s="847">
        <f t="shared" si="4"/>
        <v>7387431</v>
      </c>
      <c r="N69" s="848">
        <f t="shared" si="4"/>
        <v>4335759</v>
      </c>
      <c r="O69" s="842">
        <f>SUM(F69:M69)</f>
        <v>8835002</v>
      </c>
      <c r="P69" s="834"/>
    </row>
    <row r="70" spans="6:12" ht="12.75">
      <c r="F70" s="631">
        <f>+F69-'1.Onbe'!J30</f>
        <v>0</v>
      </c>
      <c r="G70" s="631">
        <f>+G69-'1.Onbe'!J14</f>
        <v>0</v>
      </c>
      <c r="H70" s="631">
        <f>+H69-'1.Onbe'!J32</f>
        <v>0</v>
      </c>
      <c r="I70" s="631">
        <f>+I69-'1.Onbe'!J40</f>
        <v>0</v>
      </c>
      <c r="J70" s="631">
        <f>+J69-'1.Onbe'!J37</f>
        <v>0</v>
      </c>
      <c r="K70" s="631">
        <f>+K69-'1.Onbe'!J42</f>
        <v>0</v>
      </c>
      <c r="L70" s="631">
        <f>+L69-'1.Onbe'!J55-'1.Onbe'!J56-'1.Onbe'!J51-'1.Onbe'!J52</f>
        <v>0</v>
      </c>
    </row>
  </sheetData>
  <sheetProtection/>
  <mergeCells count="18">
    <mergeCell ref="C60:E60"/>
    <mergeCell ref="B64:E64"/>
    <mergeCell ref="B68:E68"/>
    <mergeCell ref="L6:L7"/>
    <mergeCell ref="B6:B7"/>
    <mergeCell ref="C26:E26"/>
    <mergeCell ref="C34:E34"/>
    <mergeCell ref="C6:C7"/>
    <mergeCell ref="D6:E7"/>
    <mergeCell ref="F6:H6"/>
    <mergeCell ref="M6:N6"/>
    <mergeCell ref="O6:O7"/>
    <mergeCell ref="I6:K6"/>
    <mergeCell ref="B1:E1"/>
    <mergeCell ref="B2:O2"/>
    <mergeCell ref="B3:O3"/>
    <mergeCell ref="N4:O4"/>
    <mergeCell ref="D5:E5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1">
      <selection activeCell="B3" sqref="B3:H3"/>
    </sheetView>
  </sheetViews>
  <sheetFormatPr defaultColWidth="9.00390625" defaultRowHeight="12.75"/>
  <cols>
    <col min="1" max="1" width="3.75390625" style="145" customWidth="1"/>
    <col min="2" max="3" width="5.75390625" style="266" customWidth="1"/>
    <col min="4" max="4" width="58.75390625" style="266" customWidth="1"/>
    <col min="5" max="7" width="10.75390625" style="266" customWidth="1"/>
    <col min="8" max="8" width="13.75390625" style="266" customWidth="1"/>
    <col min="9" max="16384" width="9.125" style="266" customWidth="1"/>
  </cols>
  <sheetData>
    <row r="1" spans="1:8" s="279" customFormat="1" ht="18" customHeight="1">
      <c r="A1" s="270"/>
      <c r="B1" s="1640" t="s">
        <v>643</v>
      </c>
      <c r="C1" s="1640"/>
      <c r="D1" s="1640"/>
      <c r="E1" s="705"/>
      <c r="F1" s="705"/>
      <c r="G1" s="705"/>
      <c r="H1" s="459"/>
    </row>
    <row r="2" spans="1:8" s="279" customFormat="1" ht="24.75" customHeight="1">
      <c r="A2" s="61"/>
      <c r="B2" s="1610" t="s">
        <v>133</v>
      </c>
      <c r="C2" s="1610"/>
      <c r="D2" s="1610"/>
      <c r="E2" s="1610"/>
      <c r="F2" s="1610"/>
      <c r="G2" s="1610"/>
      <c r="H2" s="1610"/>
    </row>
    <row r="3" spans="1:8" s="279" customFormat="1" ht="24.75" customHeight="1">
      <c r="A3" s="61"/>
      <c r="B3" s="1610" t="s">
        <v>666</v>
      </c>
      <c r="C3" s="1610"/>
      <c r="D3" s="1610"/>
      <c r="E3" s="1610"/>
      <c r="F3" s="1610"/>
      <c r="G3" s="1610"/>
      <c r="H3" s="1610"/>
    </row>
    <row r="4" spans="1:8" ht="18" customHeight="1">
      <c r="A4" s="61"/>
      <c r="B4" s="50"/>
      <c r="C4" s="48"/>
      <c r="D4" s="48"/>
      <c r="E4" s="48"/>
      <c r="F4" s="48"/>
      <c r="G4" s="48"/>
      <c r="H4" s="1056" t="s">
        <v>0</v>
      </c>
    </row>
    <row r="5" spans="2:8" s="61" customFormat="1" ht="18" customHeight="1" thickBot="1">
      <c r="B5" s="61" t="s">
        <v>1</v>
      </c>
      <c r="C5" s="61" t="s">
        <v>3</v>
      </c>
      <c r="D5" s="61" t="s">
        <v>2</v>
      </c>
      <c r="E5" s="61" t="s">
        <v>4</v>
      </c>
      <c r="F5" s="61" t="s">
        <v>5</v>
      </c>
      <c r="G5" s="61" t="s">
        <v>15</v>
      </c>
      <c r="H5" s="61" t="s">
        <v>16</v>
      </c>
    </row>
    <row r="6" spans="1:8" s="50" customFormat="1" ht="30" customHeight="1">
      <c r="A6" s="61"/>
      <c r="B6" s="1623" t="s">
        <v>18</v>
      </c>
      <c r="C6" s="1641" t="s">
        <v>19</v>
      </c>
      <c r="D6" s="1643" t="s">
        <v>6</v>
      </c>
      <c r="E6" s="1632" t="s">
        <v>667</v>
      </c>
      <c r="F6" s="1645" t="s">
        <v>661</v>
      </c>
      <c r="G6" s="1632" t="s">
        <v>662</v>
      </c>
      <c r="H6" s="1607" t="s">
        <v>668</v>
      </c>
    </row>
    <row r="7" spans="1:8" ht="60.75" customHeight="1" thickBot="1">
      <c r="A7" s="61"/>
      <c r="B7" s="1624"/>
      <c r="C7" s="1642"/>
      <c r="D7" s="1644"/>
      <c r="E7" s="1633"/>
      <c r="F7" s="1646"/>
      <c r="G7" s="1633"/>
      <c r="H7" s="1608"/>
    </row>
    <row r="8" spans="1:8" ht="29.25" customHeight="1">
      <c r="A8" s="61">
        <v>1</v>
      </c>
      <c r="B8" s="691">
        <v>1</v>
      </c>
      <c r="C8" s="344"/>
      <c r="D8" s="857" t="s">
        <v>364</v>
      </c>
      <c r="E8" s="328">
        <v>4440</v>
      </c>
      <c r="F8" s="328">
        <v>4940</v>
      </c>
      <c r="G8" s="328">
        <v>4940</v>
      </c>
      <c r="H8" s="337">
        <v>4343</v>
      </c>
    </row>
    <row r="9" spans="1:8" ht="30" customHeight="1">
      <c r="A9" s="61">
        <v>2</v>
      </c>
      <c r="B9" s="687">
        <v>2</v>
      </c>
      <c r="C9" s="315"/>
      <c r="D9" s="857" t="s">
        <v>484</v>
      </c>
      <c r="E9" s="318">
        <v>8462</v>
      </c>
      <c r="F9" s="318">
        <v>9516</v>
      </c>
      <c r="G9" s="318">
        <v>7516</v>
      </c>
      <c r="H9" s="331">
        <v>8467</v>
      </c>
    </row>
    <row r="10" spans="1:8" ht="30" customHeight="1">
      <c r="A10" s="61">
        <v>3</v>
      </c>
      <c r="B10" s="687">
        <v>3</v>
      </c>
      <c r="C10" s="315"/>
      <c r="D10" s="857" t="s">
        <v>485</v>
      </c>
      <c r="E10" s="318">
        <v>15398</v>
      </c>
      <c r="F10" s="318">
        <v>17581</v>
      </c>
      <c r="G10" s="318">
        <v>12581</v>
      </c>
      <c r="H10" s="331">
        <v>12371</v>
      </c>
    </row>
    <row r="11" spans="1:8" ht="30" customHeight="1">
      <c r="A11" s="61">
        <v>4</v>
      </c>
      <c r="B11" s="687">
        <v>4</v>
      </c>
      <c r="C11" s="315"/>
      <c r="D11" s="857" t="s">
        <v>486</v>
      </c>
      <c r="E11" s="318">
        <v>10994</v>
      </c>
      <c r="F11" s="318">
        <v>10020</v>
      </c>
      <c r="G11" s="318">
        <v>8030</v>
      </c>
      <c r="H11" s="331">
        <v>12382</v>
      </c>
    </row>
    <row r="12" spans="1:8" ht="30" customHeight="1">
      <c r="A12" s="61">
        <v>5</v>
      </c>
      <c r="B12" s="687">
        <v>5</v>
      </c>
      <c r="C12" s="315"/>
      <c r="D12" s="857" t="s">
        <v>487</v>
      </c>
      <c r="E12" s="318">
        <v>17279</v>
      </c>
      <c r="F12" s="318">
        <v>18635</v>
      </c>
      <c r="G12" s="318">
        <v>14535</v>
      </c>
      <c r="H12" s="331">
        <v>17622</v>
      </c>
    </row>
    <row r="13" spans="1:8" ht="30" customHeight="1" thickBot="1">
      <c r="A13" s="61">
        <v>6</v>
      </c>
      <c r="B13" s="687">
        <v>6</v>
      </c>
      <c r="C13" s="341"/>
      <c r="D13" s="858" t="s">
        <v>365</v>
      </c>
      <c r="E13" s="342">
        <v>4464</v>
      </c>
      <c r="F13" s="342">
        <v>5441</v>
      </c>
      <c r="G13" s="342">
        <v>2968</v>
      </c>
      <c r="H13" s="343">
        <v>5471</v>
      </c>
    </row>
    <row r="14" spans="1:8" s="334" customFormat="1" ht="30" customHeight="1" thickBot="1">
      <c r="A14" s="61">
        <v>7</v>
      </c>
      <c r="B14" s="688"/>
      <c r="C14" s="453"/>
      <c r="D14" s="860" t="s">
        <v>499</v>
      </c>
      <c r="E14" s="453">
        <f>SUM(E8:E13)</f>
        <v>61037</v>
      </c>
      <c r="F14" s="453">
        <f>SUM(F8:F13)</f>
        <v>66133</v>
      </c>
      <c r="G14" s="453">
        <f>SUM(G8:G13)</f>
        <v>50570</v>
      </c>
      <c r="H14" s="704">
        <f>SUM(H8:H13)</f>
        <v>60656</v>
      </c>
    </row>
    <row r="15" spans="1:8" ht="30" customHeight="1">
      <c r="A15" s="61">
        <v>8</v>
      </c>
      <c r="B15" s="687">
        <v>7</v>
      </c>
      <c r="C15" s="344"/>
      <c r="D15" s="859" t="s">
        <v>344</v>
      </c>
      <c r="E15" s="328">
        <v>23407</v>
      </c>
      <c r="F15" s="328">
        <v>21777</v>
      </c>
      <c r="G15" s="328">
        <v>15700</v>
      </c>
      <c r="H15" s="337">
        <v>20992</v>
      </c>
    </row>
    <row r="16" spans="1:8" ht="30" customHeight="1">
      <c r="A16" s="61">
        <v>9</v>
      </c>
      <c r="B16" s="687">
        <v>8</v>
      </c>
      <c r="C16" s="341"/>
      <c r="D16" s="857" t="s">
        <v>116</v>
      </c>
      <c r="E16" s="342">
        <v>15109</v>
      </c>
      <c r="F16" s="342">
        <v>13800</v>
      </c>
      <c r="G16" s="342">
        <v>10425</v>
      </c>
      <c r="H16" s="343">
        <v>14100</v>
      </c>
    </row>
    <row r="17" spans="1:8" ht="30" customHeight="1" thickBot="1">
      <c r="A17" s="61">
        <v>10</v>
      </c>
      <c r="B17" s="687">
        <v>9</v>
      </c>
      <c r="C17" s="341"/>
      <c r="D17" s="858" t="s">
        <v>436</v>
      </c>
      <c r="E17" s="342">
        <v>2909</v>
      </c>
      <c r="F17" s="342">
        <v>1800</v>
      </c>
      <c r="G17" s="342">
        <v>1800</v>
      </c>
      <c r="H17" s="343">
        <v>1800</v>
      </c>
    </row>
    <row r="18" spans="1:8" s="334" customFormat="1" ht="30" customHeight="1" thickBot="1">
      <c r="A18" s="61">
        <v>11</v>
      </c>
      <c r="B18" s="688"/>
      <c r="C18" s="453"/>
      <c r="D18" s="860" t="s">
        <v>500</v>
      </c>
      <c r="E18" s="453">
        <f>SUM(E15:E17)</f>
        <v>41425</v>
      </c>
      <c r="F18" s="453">
        <f>SUM(F15:F17)</f>
        <v>37377</v>
      </c>
      <c r="G18" s="453">
        <f>SUM(G15:G17)</f>
        <v>27925</v>
      </c>
      <c r="H18" s="704">
        <f>SUM(H15:H17)</f>
        <v>36892</v>
      </c>
    </row>
    <row r="19" spans="1:8" ht="30" customHeight="1">
      <c r="A19" s="61">
        <v>12</v>
      </c>
      <c r="B19" s="687">
        <v>10</v>
      </c>
      <c r="C19" s="344"/>
      <c r="D19" s="787" t="s">
        <v>438</v>
      </c>
      <c r="E19" s="328">
        <v>43824</v>
      </c>
      <c r="F19" s="328">
        <v>39412</v>
      </c>
      <c r="G19" s="328">
        <v>23539</v>
      </c>
      <c r="H19" s="337">
        <v>35916</v>
      </c>
    </row>
    <row r="20" spans="1:8" ht="30" customHeight="1">
      <c r="A20" s="61">
        <v>13</v>
      </c>
      <c r="B20" s="689">
        <v>11</v>
      </c>
      <c r="C20" s="315"/>
      <c r="D20" s="784" t="s">
        <v>429</v>
      </c>
      <c r="E20" s="318">
        <v>8889</v>
      </c>
      <c r="F20" s="318">
        <v>9529</v>
      </c>
      <c r="G20" s="318">
        <v>5780</v>
      </c>
      <c r="H20" s="331">
        <v>11431</v>
      </c>
    </row>
    <row r="21" spans="1:8" ht="30" customHeight="1">
      <c r="A21" s="61">
        <v>14</v>
      </c>
      <c r="B21" s="687">
        <v>12</v>
      </c>
      <c r="C21" s="315"/>
      <c r="D21" s="786" t="s">
        <v>25</v>
      </c>
      <c r="E21" s="318">
        <v>31157</v>
      </c>
      <c r="F21" s="318">
        <v>21200</v>
      </c>
      <c r="G21" s="318">
        <v>29249</v>
      </c>
      <c r="H21" s="331">
        <v>21200</v>
      </c>
    </row>
    <row r="22" spans="1:8" ht="30" customHeight="1">
      <c r="A22" s="61">
        <v>15</v>
      </c>
      <c r="B22" s="687">
        <v>13</v>
      </c>
      <c r="C22" s="315"/>
      <c r="D22" s="786" t="s">
        <v>32</v>
      </c>
      <c r="E22" s="318">
        <v>200194</v>
      </c>
      <c r="F22" s="318">
        <v>209389</v>
      </c>
      <c r="G22" s="318">
        <v>222155</v>
      </c>
      <c r="H22" s="331">
        <v>185069</v>
      </c>
    </row>
    <row r="23" spans="1:8" ht="30" customHeight="1">
      <c r="A23" s="61">
        <v>16</v>
      </c>
      <c r="B23" s="687">
        <v>14</v>
      </c>
      <c r="C23" s="317"/>
      <c r="D23" s="784" t="s">
        <v>430</v>
      </c>
      <c r="E23" s="318">
        <v>25393</v>
      </c>
      <c r="F23" s="318">
        <f>30270</f>
        <v>30270</v>
      </c>
      <c r="G23" s="318">
        <f>15414+228</f>
        <v>15642</v>
      </c>
      <c r="H23" s="331">
        <v>28366</v>
      </c>
    </row>
    <row r="24" spans="1:8" ht="30" customHeight="1" thickBot="1">
      <c r="A24" s="61">
        <v>17</v>
      </c>
      <c r="B24" s="687">
        <v>15</v>
      </c>
      <c r="C24" s="341"/>
      <c r="D24" s="785" t="s">
        <v>148</v>
      </c>
      <c r="E24" s="342">
        <v>303830</v>
      </c>
      <c r="F24" s="342">
        <v>205000</v>
      </c>
      <c r="G24" s="342">
        <v>122514</v>
      </c>
      <c r="H24" s="343">
        <v>127760</v>
      </c>
    </row>
    <row r="25" spans="1:8" s="334" customFormat="1" ht="30" customHeight="1" thickBot="1">
      <c r="A25" s="61">
        <v>18</v>
      </c>
      <c r="B25" s="688"/>
      <c r="C25" s="453"/>
      <c r="D25" s="860" t="s">
        <v>501</v>
      </c>
      <c r="E25" s="453">
        <f>SUM(E19:E24)</f>
        <v>613287</v>
      </c>
      <c r="F25" s="453">
        <f>SUM(F19:F24)</f>
        <v>514800</v>
      </c>
      <c r="G25" s="453">
        <f>SUM(G19:G24)</f>
        <v>418879</v>
      </c>
      <c r="H25" s="704">
        <f>SUM(H19:H24)</f>
        <v>409742</v>
      </c>
    </row>
    <row r="26" spans="1:8" s="57" customFormat="1" ht="30" customHeight="1" thickBot="1">
      <c r="A26" s="61">
        <v>19</v>
      </c>
      <c r="B26" s="692">
        <v>16</v>
      </c>
      <c r="C26" s="690"/>
      <c r="D26" s="861" t="s">
        <v>260</v>
      </c>
      <c r="E26" s="709">
        <v>386604</v>
      </c>
      <c r="F26" s="709">
        <v>410302</v>
      </c>
      <c r="G26" s="709">
        <v>340502</v>
      </c>
      <c r="H26" s="345">
        <v>346280</v>
      </c>
    </row>
    <row r="27" spans="1:10" ht="33" customHeight="1" thickBot="1">
      <c r="A27" s="61">
        <v>20</v>
      </c>
      <c r="B27" s="1634" t="s">
        <v>149</v>
      </c>
      <c r="C27" s="1635"/>
      <c r="D27" s="1636"/>
      <c r="E27" s="452">
        <f>SUM(E14,E18,E25,E26)</f>
        <v>1102353</v>
      </c>
      <c r="F27" s="452">
        <f>SUM(F14,F18,F25,F26)</f>
        <v>1028612</v>
      </c>
      <c r="G27" s="452">
        <f>SUM(G14,G18,G25,G26)</f>
        <v>837876</v>
      </c>
      <c r="H27" s="346">
        <f>SUM(H14,H18,H25,H26)</f>
        <v>853570</v>
      </c>
      <c r="I27" s="48"/>
      <c r="J27" s="48"/>
    </row>
    <row r="28" spans="1:10" ht="33" customHeight="1" thickBot="1">
      <c r="A28" s="61">
        <v>21</v>
      </c>
      <c r="B28" s="347">
        <v>17</v>
      </c>
      <c r="C28" s="693"/>
      <c r="D28" s="693" t="s">
        <v>150</v>
      </c>
      <c r="E28" s="709">
        <v>9526</v>
      </c>
      <c r="F28" s="709"/>
      <c r="G28" s="709">
        <v>4543</v>
      </c>
      <c r="H28" s="345">
        <v>4445</v>
      </c>
      <c r="I28" s="48"/>
      <c r="J28" s="48"/>
    </row>
    <row r="29" spans="1:10" ht="33" customHeight="1" thickBot="1" thickTop="1">
      <c r="A29" s="61">
        <v>22</v>
      </c>
      <c r="B29" s="1637" t="s">
        <v>13</v>
      </c>
      <c r="C29" s="1638"/>
      <c r="D29" s="1639"/>
      <c r="E29" s="710">
        <f>SUM(E27,E28)</f>
        <v>1111879</v>
      </c>
      <c r="F29" s="710">
        <f>SUM(F27,F28)</f>
        <v>1028612</v>
      </c>
      <c r="G29" s="710">
        <f>SUM(G27,G28)</f>
        <v>842419</v>
      </c>
      <c r="H29" s="348">
        <f>SUM(H27,H28)</f>
        <v>858015</v>
      </c>
      <c r="I29" s="48"/>
      <c r="J29" s="48"/>
    </row>
    <row r="30" spans="5:8" ht="12.75">
      <c r="E30" s="631">
        <f>+E29-'1.Onbe'!G30</f>
        <v>0</v>
      </c>
      <c r="F30" s="631">
        <f>+F29-'1.Onbe'!H30</f>
        <v>0</v>
      </c>
      <c r="G30" s="631">
        <f>+G29-'1.Onbe'!I30</f>
        <v>0</v>
      </c>
      <c r="H30" s="631">
        <f>+H29-'1.Onbe'!J30</f>
        <v>0</v>
      </c>
    </row>
  </sheetData>
  <sheetProtection/>
  <mergeCells count="12">
    <mergeCell ref="G6:G7"/>
    <mergeCell ref="H6:H7"/>
    <mergeCell ref="B27:D27"/>
    <mergeCell ref="B29:D29"/>
    <mergeCell ref="B1:D1"/>
    <mergeCell ref="B2:H2"/>
    <mergeCell ref="B3:H3"/>
    <mergeCell ref="B6:B7"/>
    <mergeCell ref="C6:C7"/>
    <mergeCell ref="D6:D7"/>
    <mergeCell ref="E6:E7"/>
    <mergeCell ref="F6:F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84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9"/>
  <sheetViews>
    <sheetView view="pageBreakPreview" zoomScale="85" zoomScaleSheetLayoutView="85" zoomScalePageLayoutView="0" workbookViewId="0" topLeftCell="B85">
      <selection activeCell="N91" sqref="N91"/>
    </sheetView>
  </sheetViews>
  <sheetFormatPr defaultColWidth="9.00390625" defaultRowHeight="12.75"/>
  <cols>
    <col min="1" max="1" width="3.75390625" style="61" customWidth="1"/>
    <col min="2" max="2" width="5.625" style="62" customWidth="1"/>
    <col min="3" max="3" width="5.75390625" style="62" customWidth="1"/>
    <col min="4" max="4" width="4.75390625" style="62" customWidth="1"/>
    <col min="5" max="5" width="60.75390625" style="53" customWidth="1"/>
    <col min="6" max="6" width="6.75390625" style="272" customWidth="1"/>
    <col min="7" max="9" width="10.75390625" style="273" customWidth="1"/>
    <col min="10" max="10" width="13.75390625" style="156" customWidth="1"/>
    <col min="11" max="18" width="14.75390625" style="273" customWidth="1"/>
    <col min="19" max="19" width="9.625" style="273" bestFit="1" customWidth="1"/>
    <col min="20" max="31" width="9.125" style="273" customWidth="1"/>
    <col min="32" max="16384" width="9.125" style="274" customWidth="1"/>
  </cols>
  <sheetData>
    <row r="1" spans="1:31" s="705" customFormat="1" ht="18" customHeight="1">
      <c r="A1" s="61"/>
      <c r="B1" s="1640" t="s">
        <v>644</v>
      </c>
      <c r="C1" s="1640"/>
      <c r="D1" s="1640"/>
      <c r="E1" s="1640"/>
      <c r="F1" s="1640"/>
      <c r="G1" s="1640"/>
      <c r="H1" s="459"/>
      <c r="I1" s="459"/>
      <c r="J1" s="460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1" s="705" customFormat="1" ht="24.75" customHeight="1">
      <c r="A2" s="61"/>
      <c r="B2" s="1610" t="s">
        <v>133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</row>
    <row r="3" spans="1:31" s="705" customFormat="1" ht="24.75" customHeight="1">
      <c r="A3" s="61"/>
      <c r="B3" s="1610" t="s">
        <v>664</v>
      </c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</row>
    <row r="4" spans="17:18" ht="18" customHeight="1">
      <c r="Q4" s="1666" t="s">
        <v>0</v>
      </c>
      <c r="R4" s="1666"/>
    </row>
    <row r="5" spans="2:18" s="61" customFormat="1" ht="18" customHeight="1" thickBot="1">
      <c r="B5" s="61" t="s">
        <v>1</v>
      </c>
      <c r="C5" s="61" t="s">
        <v>3</v>
      </c>
      <c r="D5" s="1612" t="s">
        <v>2</v>
      </c>
      <c r="E5" s="1612"/>
      <c r="F5" s="61" t="s">
        <v>4</v>
      </c>
      <c r="G5" s="61" t="s">
        <v>5</v>
      </c>
      <c r="H5" s="61" t="s">
        <v>15</v>
      </c>
      <c r="I5" s="61" t="s">
        <v>16</v>
      </c>
      <c r="J5" s="61" t="s">
        <v>17</v>
      </c>
      <c r="K5" s="61" t="s">
        <v>34</v>
      </c>
      <c r="L5" s="61" t="s">
        <v>30</v>
      </c>
      <c r="M5" s="61" t="s">
        <v>23</v>
      </c>
      <c r="N5" s="61" t="s">
        <v>35</v>
      </c>
      <c r="O5" s="61" t="s">
        <v>36</v>
      </c>
      <c r="P5" s="61" t="s">
        <v>151</v>
      </c>
      <c r="Q5" s="61" t="s">
        <v>152</v>
      </c>
      <c r="R5" s="61" t="s">
        <v>153</v>
      </c>
    </row>
    <row r="6" spans="1:18" s="272" customFormat="1" ht="30" customHeight="1">
      <c r="A6" s="61"/>
      <c r="B6" s="1623" t="s">
        <v>18</v>
      </c>
      <c r="C6" s="1641" t="s">
        <v>19</v>
      </c>
      <c r="D6" s="1627" t="s">
        <v>6</v>
      </c>
      <c r="E6" s="1672"/>
      <c r="F6" s="1674" t="s">
        <v>20</v>
      </c>
      <c r="G6" s="1632" t="s">
        <v>615</v>
      </c>
      <c r="H6" s="1632" t="s">
        <v>661</v>
      </c>
      <c r="I6" s="1676" t="s">
        <v>662</v>
      </c>
      <c r="J6" s="1678" t="s">
        <v>671</v>
      </c>
      <c r="K6" s="1668" t="s">
        <v>37</v>
      </c>
      <c r="L6" s="1669"/>
      <c r="M6" s="1669"/>
      <c r="N6" s="1669"/>
      <c r="O6" s="1670"/>
      <c r="P6" s="1671" t="s">
        <v>154</v>
      </c>
      <c r="Q6" s="1671"/>
      <c r="R6" s="1671"/>
    </row>
    <row r="7" spans="1:18" s="272" customFormat="1" ht="60.75" customHeight="1" thickBot="1">
      <c r="A7" s="61"/>
      <c r="B7" s="1624"/>
      <c r="C7" s="1667"/>
      <c r="D7" s="1629"/>
      <c r="E7" s="1673"/>
      <c r="F7" s="1675"/>
      <c r="G7" s="1633"/>
      <c r="H7" s="1633"/>
      <c r="I7" s="1677"/>
      <c r="J7" s="1679"/>
      <c r="K7" s="1057" t="s">
        <v>38</v>
      </c>
      <c r="L7" s="1057" t="s">
        <v>39</v>
      </c>
      <c r="M7" s="1057" t="s">
        <v>40</v>
      </c>
      <c r="N7" s="1057" t="s">
        <v>212</v>
      </c>
      <c r="O7" s="1057" t="s">
        <v>41</v>
      </c>
      <c r="P7" s="64" t="s">
        <v>220</v>
      </c>
      <c r="Q7" s="1057" t="s">
        <v>221</v>
      </c>
      <c r="R7" s="1057" t="s">
        <v>155</v>
      </c>
    </row>
    <row r="8" spans="1:31" s="54" customFormat="1" ht="22.5" customHeight="1">
      <c r="A8" s="130">
        <v>1</v>
      </c>
      <c r="B8" s="326">
        <v>1</v>
      </c>
      <c r="C8" s="697"/>
      <c r="D8" s="351" t="s">
        <v>296</v>
      </c>
      <c r="E8" s="351"/>
      <c r="F8" s="464" t="s">
        <v>23</v>
      </c>
      <c r="G8" s="338">
        <v>212753</v>
      </c>
      <c r="H8" s="338">
        <v>213625</v>
      </c>
      <c r="I8" s="465">
        <v>220866</v>
      </c>
      <c r="J8" s="698"/>
      <c r="K8" s="338"/>
      <c r="L8" s="338"/>
      <c r="M8" s="338"/>
      <c r="N8" s="338"/>
      <c r="O8" s="338"/>
      <c r="P8" s="338"/>
      <c r="Q8" s="338"/>
      <c r="R8" s="363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s="54" customFormat="1" ht="18" customHeight="1">
      <c r="A9" s="130">
        <v>2</v>
      </c>
      <c r="B9" s="312"/>
      <c r="C9" s="695"/>
      <c r="D9" s="462" t="s">
        <v>318</v>
      </c>
      <c r="E9" s="462"/>
      <c r="F9" s="121"/>
      <c r="G9" s="121"/>
      <c r="H9" s="121"/>
      <c r="I9" s="357"/>
      <c r="J9" s="360"/>
      <c r="K9" s="121"/>
      <c r="L9" s="121"/>
      <c r="M9" s="121"/>
      <c r="N9" s="121"/>
      <c r="O9" s="121"/>
      <c r="P9" s="121"/>
      <c r="Q9" s="121"/>
      <c r="R9" s="13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s="869" customFormat="1" ht="18" customHeight="1">
      <c r="A10" s="130">
        <v>3</v>
      </c>
      <c r="B10" s="801"/>
      <c r="C10" s="862"/>
      <c r="D10" s="862"/>
      <c r="E10" s="863" t="s">
        <v>293</v>
      </c>
      <c r="F10" s="829"/>
      <c r="G10" s="829"/>
      <c r="H10" s="829"/>
      <c r="I10" s="864"/>
      <c r="J10" s="865">
        <f>SUM(K10:R10)</f>
        <v>228773</v>
      </c>
      <c r="K10" s="866">
        <v>145314</v>
      </c>
      <c r="L10" s="866">
        <v>25560</v>
      </c>
      <c r="M10" s="866">
        <v>52787</v>
      </c>
      <c r="N10" s="866"/>
      <c r="O10" s="866"/>
      <c r="P10" s="866">
        <v>5112</v>
      </c>
      <c r="Q10" s="866"/>
      <c r="R10" s="867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</row>
    <row r="11" spans="1:31" s="58" customFormat="1" ht="22.5" customHeight="1">
      <c r="A11" s="130">
        <v>4</v>
      </c>
      <c r="B11" s="312">
        <v>2</v>
      </c>
      <c r="C11" s="695"/>
      <c r="D11" s="349" t="s">
        <v>295</v>
      </c>
      <c r="E11" s="349"/>
      <c r="F11" s="463" t="s">
        <v>23</v>
      </c>
      <c r="G11" s="121">
        <v>358902</v>
      </c>
      <c r="H11" s="121">
        <v>367090</v>
      </c>
      <c r="I11" s="357">
        <v>399276</v>
      </c>
      <c r="J11" s="360"/>
      <c r="K11" s="121"/>
      <c r="L11" s="121"/>
      <c r="M11" s="121"/>
      <c r="N11" s="121"/>
      <c r="O11" s="121"/>
      <c r="P11" s="121"/>
      <c r="Q11" s="121"/>
      <c r="R11" s="13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</row>
    <row r="12" spans="1:31" s="54" customFormat="1" ht="18" customHeight="1">
      <c r="A12" s="130">
        <v>5</v>
      </c>
      <c r="B12" s="312"/>
      <c r="C12" s="695"/>
      <c r="D12" s="462" t="s">
        <v>294</v>
      </c>
      <c r="E12" s="462"/>
      <c r="F12" s="121"/>
      <c r="G12" s="121"/>
      <c r="H12" s="121"/>
      <c r="I12" s="357"/>
      <c r="J12" s="360"/>
      <c r="K12" s="121"/>
      <c r="L12" s="121"/>
      <c r="M12" s="121"/>
      <c r="N12" s="121"/>
      <c r="O12" s="121"/>
      <c r="P12" s="121"/>
      <c r="Q12" s="121"/>
      <c r="R12" s="13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871" customFormat="1" ht="18" customHeight="1">
      <c r="A13" s="130">
        <v>6</v>
      </c>
      <c r="B13" s="801"/>
      <c r="C13" s="862"/>
      <c r="D13" s="862"/>
      <c r="E13" s="863" t="s">
        <v>293</v>
      </c>
      <c r="F13" s="829"/>
      <c r="G13" s="829"/>
      <c r="H13" s="829"/>
      <c r="I13" s="864"/>
      <c r="J13" s="865">
        <f>SUM(K13:R13)</f>
        <v>379260</v>
      </c>
      <c r="K13" s="866">
        <v>251787</v>
      </c>
      <c r="L13" s="866">
        <v>44952</v>
      </c>
      <c r="M13" s="866">
        <v>77711</v>
      </c>
      <c r="N13" s="866"/>
      <c r="O13" s="866"/>
      <c r="P13" s="866">
        <v>4810</v>
      </c>
      <c r="Q13" s="866"/>
      <c r="R13" s="867"/>
      <c r="S13" s="870"/>
      <c r="T13" s="870"/>
      <c r="U13" s="870"/>
      <c r="V13" s="870"/>
      <c r="W13" s="870"/>
      <c r="X13" s="870"/>
      <c r="Y13" s="870"/>
      <c r="Z13" s="870"/>
      <c r="AA13" s="870"/>
      <c r="AB13" s="870"/>
      <c r="AC13" s="870"/>
      <c r="AD13" s="870"/>
      <c r="AE13" s="870"/>
    </row>
    <row r="14" spans="1:31" s="54" customFormat="1" ht="22.5" customHeight="1">
      <c r="A14" s="130">
        <v>7</v>
      </c>
      <c r="B14" s="312">
        <v>3</v>
      </c>
      <c r="C14" s="695"/>
      <c r="D14" s="349" t="s">
        <v>256</v>
      </c>
      <c r="E14" s="349"/>
      <c r="F14" s="463" t="s">
        <v>23</v>
      </c>
      <c r="G14" s="121">
        <v>431030</v>
      </c>
      <c r="H14" s="121">
        <v>428960</v>
      </c>
      <c r="I14" s="357">
        <v>450772</v>
      </c>
      <c r="J14" s="360"/>
      <c r="K14" s="121"/>
      <c r="L14" s="121"/>
      <c r="M14" s="121"/>
      <c r="N14" s="121"/>
      <c r="O14" s="121"/>
      <c r="P14" s="121"/>
      <c r="Q14" s="121"/>
      <c r="R14" s="13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s="51" customFormat="1" ht="18" customHeight="1">
      <c r="A15" s="130">
        <v>8</v>
      </c>
      <c r="B15" s="312"/>
      <c r="C15" s="695"/>
      <c r="D15" s="462" t="s">
        <v>144</v>
      </c>
      <c r="E15" s="462"/>
      <c r="F15" s="121"/>
      <c r="G15" s="121"/>
      <c r="H15" s="121"/>
      <c r="I15" s="357"/>
      <c r="J15" s="360"/>
      <c r="K15" s="121"/>
      <c r="L15" s="121"/>
      <c r="M15" s="121"/>
      <c r="N15" s="121"/>
      <c r="O15" s="121"/>
      <c r="P15" s="121"/>
      <c r="Q15" s="121"/>
      <c r="R15" s="135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s="869" customFormat="1" ht="18" customHeight="1">
      <c r="A16" s="130">
        <v>9</v>
      </c>
      <c r="B16" s="801"/>
      <c r="C16" s="862"/>
      <c r="D16" s="862"/>
      <c r="E16" s="863" t="s">
        <v>293</v>
      </c>
      <c r="F16" s="829"/>
      <c r="G16" s="829"/>
      <c r="H16" s="829"/>
      <c r="I16" s="864"/>
      <c r="J16" s="865">
        <f>SUM(K16:R16)</f>
        <v>430451</v>
      </c>
      <c r="K16" s="866">
        <v>292892</v>
      </c>
      <c r="L16" s="866">
        <v>52138</v>
      </c>
      <c r="M16" s="866">
        <v>81928</v>
      </c>
      <c r="N16" s="866"/>
      <c r="O16" s="866"/>
      <c r="P16" s="866">
        <v>3493</v>
      </c>
      <c r="Q16" s="866"/>
      <c r="R16" s="867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</row>
    <row r="17" spans="1:31" s="54" customFormat="1" ht="22.5" customHeight="1">
      <c r="A17" s="130">
        <v>10</v>
      </c>
      <c r="B17" s="312">
        <v>4</v>
      </c>
      <c r="C17" s="695"/>
      <c r="D17" s="349" t="s">
        <v>257</v>
      </c>
      <c r="E17" s="349"/>
      <c r="F17" s="463" t="s">
        <v>23</v>
      </c>
      <c r="G17" s="121">
        <v>318994</v>
      </c>
      <c r="H17" s="121">
        <v>319512</v>
      </c>
      <c r="I17" s="357">
        <v>333558</v>
      </c>
      <c r="J17" s="360"/>
      <c r="K17" s="121"/>
      <c r="L17" s="121"/>
      <c r="M17" s="121"/>
      <c r="N17" s="121"/>
      <c r="O17" s="121"/>
      <c r="P17" s="121"/>
      <c r="Q17" s="121"/>
      <c r="R17" s="13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54" customFormat="1" ht="18" customHeight="1">
      <c r="A18" s="130">
        <v>11</v>
      </c>
      <c r="B18" s="312"/>
      <c r="C18" s="695"/>
      <c r="D18" s="462" t="s">
        <v>145</v>
      </c>
      <c r="E18" s="462"/>
      <c r="F18" s="121"/>
      <c r="G18" s="121"/>
      <c r="H18" s="121"/>
      <c r="I18" s="357"/>
      <c r="J18" s="360"/>
      <c r="K18" s="121"/>
      <c r="L18" s="121"/>
      <c r="M18" s="121"/>
      <c r="N18" s="121"/>
      <c r="O18" s="121"/>
      <c r="P18" s="121"/>
      <c r="Q18" s="121"/>
      <c r="R18" s="13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869" customFormat="1" ht="18" customHeight="1">
      <c r="A19" s="130">
        <v>12</v>
      </c>
      <c r="B19" s="801"/>
      <c r="C19" s="862"/>
      <c r="D19" s="862"/>
      <c r="E19" s="863" t="s">
        <v>293</v>
      </c>
      <c r="F19" s="829"/>
      <c r="G19" s="829"/>
      <c r="H19" s="829"/>
      <c r="I19" s="864"/>
      <c r="J19" s="865">
        <f>SUM(K19:R19)</f>
        <v>340680</v>
      </c>
      <c r="K19" s="866">
        <v>231028</v>
      </c>
      <c r="L19" s="866">
        <v>41094</v>
      </c>
      <c r="M19" s="866">
        <v>65297</v>
      </c>
      <c r="N19" s="866"/>
      <c r="O19" s="866"/>
      <c r="P19" s="866">
        <v>3261</v>
      </c>
      <c r="Q19" s="866"/>
      <c r="R19" s="867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</row>
    <row r="20" spans="1:31" s="58" customFormat="1" ht="22.5" customHeight="1">
      <c r="A20" s="130">
        <v>13</v>
      </c>
      <c r="B20" s="312">
        <v>5</v>
      </c>
      <c r="C20" s="695"/>
      <c r="D20" s="349" t="s">
        <v>258</v>
      </c>
      <c r="E20" s="349"/>
      <c r="F20" s="463" t="s">
        <v>23</v>
      </c>
      <c r="G20" s="121">
        <v>350092</v>
      </c>
      <c r="H20" s="121">
        <v>341538</v>
      </c>
      <c r="I20" s="357">
        <v>365962</v>
      </c>
      <c r="J20" s="360"/>
      <c r="K20" s="121"/>
      <c r="L20" s="121"/>
      <c r="M20" s="121"/>
      <c r="N20" s="352"/>
      <c r="O20" s="352"/>
      <c r="P20" s="352"/>
      <c r="Q20" s="352"/>
      <c r="R20" s="353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</row>
    <row r="21" spans="1:31" s="54" customFormat="1" ht="18" customHeight="1">
      <c r="A21" s="130">
        <v>14</v>
      </c>
      <c r="B21" s="312"/>
      <c r="C21" s="695"/>
      <c r="D21" s="462" t="s">
        <v>146</v>
      </c>
      <c r="E21" s="462"/>
      <c r="F21" s="121"/>
      <c r="G21" s="121"/>
      <c r="H21" s="121"/>
      <c r="I21" s="357"/>
      <c r="J21" s="360"/>
      <c r="K21" s="121"/>
      <c r="L21" s="121"/>
      <c r="M21" s="121"/>
      <c r="N21" s="352"/>
      <c r="O21" s="352"/>
      <c r="P21" s="352"/>
      <c r="Q21" s="352"/>
      <c r="R21" s="353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871" customFormat="1" ht="18" customHeight="1">
      <c r="A22" s="130">
        <v>15</v>
      </c>
      <c r="B22" s="801"/>
      <c r="C22" s="862"/>
      <c r="D22" s="862"/>
      <c r="E22" s="863" t="s">
        <v>293</v>
      </c>
      <c r="F22" s="829"/>
      <c r="G22" s="829"/>
      <c r="H22" s="829"/>
      <c r="I22" s="864"/>
      <c r="J22" s="865">
        <f>SUM(K22:R22)</f>
        <v>362829</v>
      </c>
      <c r="K22" s="866">
        <v>226356</v>
      </c>
      <c r="L22" s="866">
        <v>40179</v>
      </c>
      <c r="M22" s="866">
        <v>88800</v>
      </c>
      <c r="N22" s="866"/>
      <c r="O22" s="866"/>
      <c r="P22" s="866">
        <v>7494</v>
      </c>
      <c r="Q22" s="866"/>
      <c r="R22" s="867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</row>
    <row r="23" spans="1:31" s="55" customFormat="1" ht="22.5" customHeight="1">
      <c r="A23" s="130">
        <v>16</v>
      </c>
      <c r="B23" s="312">
        <v>6</v>
      </c>
      <c r="C23" s="695"/>
      <c r="D23" s="349" t="s">
        <v>259</v>
      </c>
      <c r="E23" s="349"/>
      <c r="F23" s="463" t="s">
        <v>23</v>
      </c>
      <c r="G23" s="121">
        <v>168688</v>
      </c>
      <c r="H23" s="121">
        <v>172406</v>
      </c>
      <c r="I23" s="357">
        <v>187339</v>
      </c>
      <c r="J23" s="360"/>
      <c r="K23" s="121"/>
      <c r="L23" s="121"/>
      <c r="M23" s="121"/>
      <c r="N23" s="352"/>
      <c r="O23" s="352"/>
      <c r="P23" s="352"/>
      <c r="Q23" s="352"/>
      <c r="R23" s="353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s="58" customFormat="1" ht="18" customHeight="1">
      <c r="A24" s="130">
        <v>17</v>
      </c>
      <c r="B24" s="312"/>
      <c r="C24" s="695"/>
      <c r="D24" s="462" t="s">
        <v>147</v>
      </c>
      <c r="E24" s="462"/>
      <c r="F24" s="121"/>
      <c r="G24" s="121"/>
      <c r="H24" s="121"/>
      <c r="I24" s="357"/>
      <c r="J24" s="360"/>
      <c r="K24" s="121"/>
      <c r="L24" s="121"/>
      <c r="M24" s="121"/>
      <c r="N24" s="352"/>
      <c r="O24" s="352"/>
      <c r="P24" s="352"/>
      <c r="Q24" s="352"/>
      <c r="R24" s="353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</row>
    <row r="25" spans="1:31" s="871" customFormat="1" ht="18" customHeight="1">
      <c r="A25" s="130">
        <v>18</v>
      </c>
      <c r="B25" s="801"/>
      <c r="C25" s="862"/>
      <c r="D25" s="862"/>
      <c r="E25" s="863" t="s">
        <v>293</v>
      </c>
      <c r="F25" s="829"/>
      <c r="G25" s="829"/>
      <c r="H25" s="829"/>
      <c r="I25" s="864"/>
      <c r="J25" s="865">
        <f>SUM(K25:R25)</f>
        <v>206083</v>
      </c>
      <c r="K25" s="866">
        <v>130459</v>
      </c>
      <c r="L25" s="866">
        <v>23235</v>
      </c>
      <c r="M25" s="866">
        <v>39256</v>
      </c>
      <c r="N25" s="866"/>
      <c r="O25" s="866"/>
      <c r="P25" s="866">
        <v>13133</v>
      </c>
      <c r="Q25" s="866"/>
      <c r="R25" s="867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</row>
    <row r="26" spans="1:31" s="55" customFormat="1" ht="18" customHeight="1">
      <c r="A26" s="130">
        <v>19</v>
      </c>
      <c r="B26" s="316"/>
      <c r="C26" s="695">
        <v>1</v>
      </c>
      <c r="D26" s="1664" t="s">
        <v>143</v>
      </c>
      <c r="E26" s="1665"/>
      <c r="F26" s="463"/>
      <c r="G26" s="121">
        <v>179</v>
      </c>
      <c r="H26" s="121">
        <v>2225</v>
      </c>
      <c r="I26" s="357">
        <v>2225</v>
      </c>
      <c r="J26" s="359"/>
      <c r="K26" s="356"/>
      <c r="L26" s="356"/>
      <c r="M26" s="354"/>
      <c r="N26" s="354"/>
      <c r="O26" s="354"/>
      <c r="P26" s="354"/>
      <c r="Q26" s="354"/>
      <c r="R26" s="3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31" s="869" customFormat="1" ht="18" customHeight="1" thickBot="1">
      <c r="A27" s="130">
        <v>20</v>
      </c>
      <c r="B27" s="853"/>
      <c r="C27" s="872"/>
      <c r="D27" s="872"/>
      <c r="E27" s="855" t="s">
        <v>293</v>
      </c>
      <c r="F27" s="837"/>
      <c r="G27" s="837"/>
      <c r="H27" s="837"/>
      <c r="I27" s="873"/>
      <c r="J27" s="874">
        <f>SUM(K27:R27)</f>
        <v>0</v>
      </c>
      <c r="K27" s="875"/>
      <c r="L27" s="875"/>
      <c r="M27" s="875"/>
      <c r="N27" s="875"/>
      <c r="O27" s="875"/>
      <c r="P27" s="875"/>
      <c r="Q27" s="875"/>
      <c r="R27" s="876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868"/>
      <c r="AD27" s="868"/>
      <c r="AE27" s="868"/>
    </row>
    <row r="28" spans="1:31" s="59" customFormat="1" ht="22.5" customHeight="1" thickTop="1">
      <c r="A28" s="130">
        <v>21</v>
      </c>
      <c r="B28" s="361"/>
      <c r="C28" s="1613" t="s">
        <v>499</v>
      </c>
      <c r="D28" s="1614"/>
      <c r="E28" s="1615"/>
      <c r="F28" s="730"/>
      <c r="G28" s="730">
        <f>SUM(G8:G27)</f>
        <v>1840638</v>
      </c>
      <c r="H28" s="730">
        <f>SUM(H8:H27)</f>
        <v>1845356</v>
      </c>
      <c r="I28" s="732">
        <f>SUM(I8:I27)</f>
        <v>1959998</v>
      </c>
      <c r="J28" s="733"/>
      <c r="K28" s="730"/>
      <c r="L28" s="730"/>
      <c r="M28" s="730"/>
      <c r="N28" s="730"/>
      <c r="O28" s="730"/>
      <c r="P28" s="730"/>
      <c r="Q28" s="730"/>
      <c r="R28" s="731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</row>
    <row r="29" spans="1:31" s="869" customFormat="1" ht="18" customHeight="1" thickBot="1">
      <c r="A29" s="130">
        <v>22</v>
      </c>
      <c r="B29" s="853"/>
      <c r="C29" s="877"/>
      <c r="D29" s="878"/>
      <c r="E29" s="879" t="s">
        <v>293</v>
      </c>
      <c r="F29" s="840"/>
      <c r="G29" s="840"/>
      <c r="H29" s="840"/>
      <c r="I29" s="880"/>
      <c r="J29" s="881">
        <f>SUM(K29:R29)</f>
        <v>1948076</v>
      </c>
      <c r="K29" s="882">
        <f>SUM(K10,K13,K16,K19,K22,K25,K27)</f>
        <v>1277836</v>
      </c>
      <c r="L29" s="882">
        <f aca="true" t="shared" si="0" ref="L29:R29">SUM(L10,L13,L16,L19,L22,L25,L27)</f>
        <v>227158</v>
      </c>
      <c r="M29" s="882">
        <f t="shared" si="0"/>
        <v>405779</v>
      </c>
      <c r="N29" s="882">
        <f t="shared" si="0"/>
        <v>0</v>
      </c>
      <c r="O29" s="882">
        <f t="shared" si="0"/>
        <v>0</v>
      </c>
      <c r="P29" s="882">
        <f t="shared" si="0"/>
        <v>37303</v>
      </c>
      <c r="Q29" s="882">
        <f t="shared" si="0"/>
        <v>0</v>
      </c>
      <c r="R29" s="883">
        <f t="shared" si="0"/>
        <v>0</v>
      </c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</row>
    <row r="30" spans="1:31" s="55" customFormat="1" ht="22.5" customHeight="1" thickTop="1">
      <c r="A30" s="130">
        <v>23</v>
      </c>
      <c r="B30" s="326">
        <v>7</v>
      </c>
      <c r="C30" s="697"/>
      <c r="D30" s="351" t="s">
        <v>344</v>
      </c>
      <c r="E30" s="350"/>
      <c r="F30" s="464" t="s">
        <v>23</v>
      </c>
      <c r="G30" s="338">
        <v>946591</v>
      </c>
      <c r="H30" s="338">
        <v>996977</v>
      </c>
      <c r="I30" s="465">
        <v>1092065</v>
      </c>
      <c r="J30" s="454"/>
      <c r="K30" s="338"/>
      <c r="L30" s="338"/>
      <c r="M30" s="338"/>
      <c r="N30" s="338"/>
      <c r="O30" s="338"/>
      <c r="P30" s="338"/>
      <c r="Q30" s="338"/>
      <c r="R30" s="363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1:31" s="869" customFormat="1" ht="18" customHeight="1">
      <c r="A31" s="130">
        <v>24</v>
      </c>
      <c r="B31" s="801"/>
      <c r="C31" s="862"/>
      <c r="D31" s="862"/>
      <c r="E31" s="863" t="s">
        <v>293</v>
      </c>
      <c r="F31" s="829"/>
      <c r="G31" s="829"/>
      <c r="H31" s="829"/>
      <c r="I31" s="864"/>
      <c r="J31" s="865">
        <f>SUM(K31:R31)</f>
        <v>1120897</v>
      </c>
      <c r="K31" s="866">
        <v>831821</v>
      </c>
      <c r="L31" s="866">
        <v>145633</v>
      </c>
      <c r="M31" s="866">
        <v>139995</v>
      </c>
      <c r="N31" s="866"/>
      <c r="O31" s="866"/>
      <c r="P31" s="866">
        <v>3448</v>
      </c>
      <c r="Q31" s="866"/>
      <c r="R31" s="867"/>
      <c r="S31" s="868"/>
      <c r="T31" s="868"/>
      <c r="U31" s="868"/>
      <c r="V31" s="868"/>
      <c r="W31" s="868"/>
      <c r="X31" s="868"/>
      <c r="Y31" s="868"/>
      <c r="Z31" s="868"/>
      <c r="AA31" s="868"/>
      <c r="AB31" s="868"/>
      <c r="AC31" s="868"/>
      <c r="AD31" s="868"/>
      <c r="AE31" s="868"/>
    </row>
    <row r="32" spans="1:31" s="58" customFormat="1" ht="18" customHeight="1">
      <c r="A32" s="130">
        <v>25</v>
      </c>
      <c r="B32" s="316"/>
      <c r="C32" s="695">
        <v>1</v>
      </c>
      <c r="D32" s="1061" t="s">
        <v>827</v>
      </c>
      <c r="E32" s="1061"/>
      <c r="F32" s="466"/>
      <c r="G32" s="121">
        <v>10041</v>
      </c>
      <c r="H32" s="121"/>
      <c r="I32" s="357"/>
      <c r="J32" s="368"/>
      <c r="K32" s="352"/>
      <c r="L32" s="352"/>
      <c r="M32" s="352"/>
      <c r="N32" s="364"/>
      <c r="O32" s="364"/>
      <c r="P32" s="364"/>
      <c r="Q32" s="364"/>
      <c r="R32" s="36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</row>
    <row r="33" spans="1:31" s="58" customFormat="1" ht="22.5" customHeight="1">
      <c r="A33" s="130">
        <v>26</v>
      </c>
      <c r="B33" s="312">
        <v>8</v>
      </c>
      <c r="C33" s="695"/>
      <c r="D33" s="349" t="s">
        <v>116</v>
      </c>
      <c r="E33" s="349"/>
      <c r="F33" s="463" t="s">
        <v>23</v>
      </c>
      <c r="G33" s="121">
        <v>85870</v>
      </c>
      <c r="H33" s="121">
        <v>69250</v>
      </c>
      <c r="I33" s="357">
        <v>104945</v>
      </c>
      <c r="J33" s="368"/>
      <c r="K33" s="121"/>
      <c r="L33" s="121"/>
      <c r="M33" s="121"/>
      <c r="N33" s="121"/>
      <c r="O33" s="121"/>
      <c r="P33" s="121"/>
      <c r="Q33" s="121"/>
      <c r="R33" s="13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</row>
    <row r="34" spans="1:31" s="811" customFormat="1" ht="18" customHeight="1">
      <c r="A34" s="130">
        <v>27</v>
      </c>
      <c r="B34" s="473"/>
      <c r="C34" s="1334"/>
      <c r="D34" s="1334"/>
      <c r="E34" s="863" t="s">
        <v>293</v>
      </c>
      <c r="F34" s="1335"/>
      <c r="G34" s="1335"/>
      <c r="H34" s="1335"/>
      <c r="I34" s="864"/>
      <c r="J34" s="865">
        <f>SUM(K34:R34)</f>
        <v>73767</v>
      </c>
      <c r="K34" s="866">
        <v>43210</v>
      </c>
      <c r="L34" s="866">
        <v>6845</v>
      </c>
      <c r="M34" s="866">
        <v>23371</v>
      </c>
      <c r="N34" s="866"/>
      <c r="O34" s="866"/>
      <c r="P34" s="866">
        <v>341</v>
      </c>
      <c r="Q34" s="866"/>
      <c r="R34" s="867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</row>
    <row r="35" spans="1:31" s="58" customFormat="1" ht="22.5" customHeight="1">
      <c r="A35" s="130">
        <v>28</v>
      </c>
      <c r="B35" s="312">
        <v>9</v>
      </c>
      <c r="C35" s="695"/>
      <c r="D35" s="349" t="s">
        <v>436</v>
      </c>
      <c r="E35" s="349"/>
      <c r="F35" s="463" t="s">
        <v>23</v>
      </c>
      <c r="G35" s="121">
        <v>274833</v>
      </c>
      <c r="H35" s="121">
        <v>243642</v>
      </c>
      <c r="I35" s="357">
        <v>342727</v>
      </c>
      <c r="J35" s="368"/>
      <c r="K35" s="121"/>
      <c r="L35" s="121"/>
      <c r="M35" s="121"/>
      <c r="N35" s="121"/>
      <c r="O35" s="121"/>
      <c r="P35" s="121"/>
      <c r="Q35" s="121"/>
      <c r="R35" s="13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</row>
    <row r="36" spans="1:31" s="811" customFormat="1" ht="18" customHeight="1">
      <c r="A36" s="130">
        <v>29</v>
      </c>
      <c r="B36" s="473"/>
      <c r="C36" s="1336"/>
      <c r="D36" s="1336"/>
      <c r="E36" s="863" t="s">
        <v>293</v>
      </c>
      <c r="F36" s="1337"/>
      <c r="G36" s="1337"/>
      <c r="H36" s="1337"/>
      <c r="I36" s="873"/>
      <c r="J36" s="874">
        <f>SUM(K36:R36)</f>
        <v>263190</v>
      </c>
      <c r="K36" s="875">
        <v>187374</v>
      </c>
      <c r="L36" s="875">
        <v>34010</v>
      </c>
      <c r="M36" s="875">
        <v>32676</v>
      </c>
      <c r="N36" s="875"/>
      <c r="O36" s="875"/>
      <c r="P36" s="875">
        <v>9130</v>
      </c>
      <c r="Q36" s="875"/>
      <c r="R36" s="876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</row>
    <row r="37" spans="1:31" s="58" customFormat="1" ht="18" customHeight="1" thickBot="1">
      <c r="A37" s="130">
        <v>30</v>
      </c>
      <c r="B37" s="316"/>
      <c r="C37" s="696">
        <v>1</v>
      </c>
      <c r="D37" s="1061" t="s">
        <v>143</v>
      </c>
      <c r="E37" s="1061"/>
      <c r="F37" s="466"/>
      <c r="G37" s="121">
        <v>180</v>
      </c>
      <c r="H37" s="121"/>
      <c r="I37" s="357"/>
      <c r="J37" s="368"/>
      <c r="K37" s="352"/>
      <c r="L37" s="352"/>
      <c r="M37" s="352"/>
      <c r="N37" s="364"/>
      <c r="O37" s="364"/>
      <c r="P37" s="364"/>
      <c r="Q37" s="364"/>
      <c r="R37" s="36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</row>
    <row r="38" spans="1:31" s="196" customFormat="1" ht="22.5" customHeight="1" thickTop="1">
      <c r="A38" s="130">
        <v>31</v>
      </c>
      <c r="B38" s="361"/>
      <c r="C38" s="1613" t="s">
        <v>500</v>
      </c>
      <c r="D38" s="1614"/>
      <c r="E38" s="1615"/>
      <c r="F38" s="734"/>
      <c r="G38" s="730">
        <f>SUM(G30:G37)</f>
        <v>1317515</v>
      </c>
      <c r="H38" s="730">
        <f>SUM(H30:H37)</f>
        <v>1309869</v>
      </c>
      <c r="I38" s="732">
        <f>SUM(I30:I37)</f>
        <v>1539737</v>
      </c>
      <c r="J38" s="733"/>
      <c r="K38" s="735"/>
      <c r="L38" s="735"/>
      <c r="M38" s="735"/>
      <c r="N38" s="735"/>
      <c r="O38" s="735"/>
      <c r="P38" s="735"/>
      <c r="Q38" s="735"/>
      <c r="R38" s="736"/>
      <c r="S38" s="362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</row>
    <row r="39" spans="1:31" s="811" customFormat="1" ht="18" customHeight="1" thickBot="1">
      <c r="A39" s="130">
        <v>32</v>
      </c>
      <c r="B39" s="473"/>
      <c r="C39" s="1338"/>
      <c r="D39" s="1339"/>
      <c r="E39" s="1419" t="s">
        <v>293</v>
      </c>
      <c r="F39" s="1340"/>
      <c r="G39" s="1340"/>
      <c r="H39" s="1340"/>
      <c r="I39" s="880"/>
      <c r="J39" s="881">
        <f>SUM(K39:R39)</f>
        <v>1457854</v>
      </c>
      <c r="K39" s="882">
        <f aca="true" t="shared" si="1" ref="K39:R39">SUM(K31,K34,K36)</f>
        <v>1062405</v>
      </c>
      <c r="L39" s="882">
        <f t="shared" si="1"/>
        <v>186488</v>
      </c>
      <c r="M39" s="882">
        <f t="shared" si="1"/>
        <v>196042</v>
      </c>
      <c r="N39" s="882">
        <f t="shared" si="1"/>
        <v>0</v>
      </c>
      <c r="O39" s="882">
        <f t="shared" si="1"/>
        <v>0</v>
      </c>
      <c r="P39" s="882">
        <f t="shared" si="1"/>
        <v>12919</v>
      </c>
      <c r="Q39" s="882">
        <f t="shared" si="1"/>
        <v>0</v>
      </c>
      <c r="R39" s="883">
        <f t="shared" si="1"/>
        <v>0</v>
      </c>
      <c r="S39" s="884"/>
      <c r="T39" s="884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4"/>
    </row>
    <row r="40" spans="1:31" s="48" customFormat="1" ht="22.5" customHeight="1" thickTop="1">
      <c r="A40" s="130">
        <v>33</v>
      </c>
      <c r="B40" s="326">
        <v>10</v>
      </c>
      <c r="C40" s="697"/>
      <c r="D40" s="351" t="s">
        <v>438</v>
      </c>
      <c r="E40" s="350"/>
      <c r="F40" s="464" t="s">
        <v>23</v>
      </c>
      <c r="G40" s="338">
        <v>245048</v>
      </c>
      <c r="H40" s="338">
        <v>213129</v>
      </c>
      <c r="I40" s="465">
        <v>255438</v>
      </c>
      <c r="J40" s="454"/>
      <c r="K40" s="338"/>
      <c r="L40" s="338"/>
      <c r="M40" s="338"/>
      <c r="N40" s="338"/>
      <c r="O40" s="338"/>
      <c r="P40" s="338"/>
      <c r="Q40" s="338"/>
      <c r="R40" s="363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</row>
    <row r="41" spans="1:31" s="811" customFormat="1" ht="18" customHeight="1">
      <c r="A41" s="130">
        <v>34</v>
      </c>
      <c r="B41" s="473"/>
      <c r="C41" s="1334"/>
      <c r="D41" s="1334"/>
      <c r="E41" s="863" t="s">
        <v>293</v>
      </c>
      <c r="F41" s="1335"/>
      <c r="G41" s="1335"/>
      <c r="H41" s="1335"/>
      <c r="I41" s="864"/>
      <c r="J41" s="865">
        <f>SUM(K41:R41)</f>
        <v>239700</v>
      </c>
      <c r="K41" s="866">
        <v>99852</v>
      </c>
      <c r="L41" s="866">
        <v>16263</v>
      </c>
      <c r="M41" s="866">
        <v>120585</v>
      </c>
      <c r="N41" s="866"/>
      <c r="O41" s="866"/>
      <c r="P41" s="866">
        <v>3000</v>
      </c>
      <c r="Q41" s="866"/>
      <c r="R41" s="867"/>
      <c r="S41" s="884"/>
      <c r="T41" s="884"/>
      <c r="U41" s="884"/>
      <c r="V41" s="884"/>
      <c r="W41" s="884"/>
      <c r="X41" s="884"/>
      <c r="Y41" s="884"/>
      <c r="Z41" s="884"/>
      <c r="AA41" s="884"/>
      <c r="AB41" s="884"/>
      <c r="AC41" s="884"/>
      <c r="AD41" s="884"/>
      <c r="AE41" s="884"/>
    </row>
    <row r="42" spans="1:31" s="55" customFormat="1" ht="18" customHeight="1">
      <c r="A42" s="130">
        <v>35</v>
      </c>
      <c r="B42" s="1199"/>
      <c r="C42" s="1200"/>
      <c r="D42" s="1341" t="s">
        <v>627</v>
      </c>
      <c r="E42" s="1201"/>
      <c r="F42" s="1202"/>
      <c r="G42" s="158"/>
      <c r="H42" s="158">
        <v>13610</v>
      </c>
      <c r="I42" s="1203"/>
      <c r="J42" s="368"/>
      <c r="K42" s="364"/>
      <c r="L42" s="364"/>
      <c r="M42" s="364"/>
      <c r="N42" s="364"/>
      <c r="O42" s="364"/>
      <c r="P42" s="364"/>
      <c r="Q42" s="364"/>
      <c r="R42" s="36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s="886" customFormat="1" ht="18" customHeight="1">
      <c r="A43" s="130">
        <v>36</v>
      </c>
      <c r="B43" s="361"/>
      <c r="C43" s="1342"/>
      <c r="D43" s="1342"/>
      <c r="E43" s="1343" t="s">
        <v>293</v>
      </c>
      <c r="F43" s="1344"/>
      <c r="G43" s="1345"/>
      <c r="H43" s="1345"/>
      <c r="I43" s="1141"/>
      <c r="J43" s="1142">
        <f>SUM(K43:R43)</f>
        <v>0</v>
      </c>
      <c r="K43" s="1143"/>
      <c r="L43" s="1143"/>
      <c r="M43" s="1143"/>
      <c r="N43" s="1143"/>
      <c r="O43" s="1143"/>
      <c r="P43" s="1143"/>
      <c r="Q43" s="1143"/>
      <c r="R43" s="1144"/>
      <c r="S43" s="885"/>
      <c r="T43" s="885"/>
      <c r="U43" s="885"/>
      <c r="V43" s="885"/>
      <c r="W43" s="885"/>
      <c r="X43" s="885"/>
      <c r="Y43" s="885"/>
      <c r="Z43" s="885"/>
      <c r="AA43" s="885"/>
      <c r="AB43" s="885"/>
      <c r="AC43" s="885"/>
      <c r="AD43" s="885"/>
      <c r="AE43" s="885"/>
    </row>
    <row r="44" spans="1:31" s="51" customFormat="1" ht="18" customHeight="1">
      <c r="A44" s="130">
        <v>37</v>
      </c>
      <c r="B44" s="316"/>
      <c r="C44" s="695">
        <v>1</v>
      </c>
      <c r="D44" s="1061" t="s">
        <v>494</v>
      </c>
      <c r="E44" s="1061"/>
      <c r="F44" s="466"/>
      <c r="G44" s="121">
        <v>5228</v>
      </c>
      <c r="H44" s="121">
        <v>89379</v>
      </c>
      <c r="I44" s="357">
        <v>89379</v>
      </c>
      <c r="J44" s="368"/>
      <c r="K44" s="352"/>
      <c r="L44" s="352"/>
      <c r="M44" s="352"/>
      <c r="N44" s="364"/>
      <c r="O44" s="364"/>
      <c r="P44" s="364"/>
      <c r="Q44" s="364"/>
      <c r="R44" s="365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s="886" customFormat="1" ht="18" customHeight="1">
      <c r="A45" s="130">
        <v>38</v>
      </c>
      <c r="B45" s="473"/>
      <c r="C45" s="1334"/>
      <c r="D45" s="1334"/>
      <c r="E45" s="1418" t="s">
        <v>293</v>
      </c>
      <c r="F45" s="1346"/>
      <c r="G45" s="1335"/>
      <c r="H45" s="1335"/>
      <c r="I45" s="864"/>
      <c r="J45" s="865">
        <f>SUM(K45:R45)</f>
        <v>75640</v>
      </c>
      <c r="K45" s="866">
        <v>23241</v>
      </c>
      <c r="L45" s="866">
        <v>4479</v>
      </c>
      <c r="M45" s="866">
        <v>43870</v>
      </c>
      <c r="N45" s="866"/>
      <c r="O45" s="866"/>
      <c r="P45" s="866">
        <v>4050</v>
      </c>
      <c r="Q45" s="866"/>
      <c r="R45" s="867"/>
      <c r="S45" s="885"/>
      <c r="T45" s="885"/>
      <c r="U45" s="885"/>
      <c r="V45" s="885"/>
      <c r="W45" s="885"/>
      <c r="X45" s="885"/>
      <c r="Y45" s="885"/>
      <c r="Z45" s="885"/>
      <c r="AA45" s="885"/>
      <c r="AB45" s="885"/>
      <c r="AC45" s="885"/>
      <c r="AD45" s="885"/>
      <c r="AE45" s="885"/>
    </row>
    <row r="46" spans="1:31" s="55" customFormat="1" ht="22.5" customHeight="1">
      <c r="A46" s="130">
        <v>39</v>
      </c>
      <c r="B46" s="312">
        <v>11</v>
      </c>
      <c r="C46" s="695"/>
      <c r="D46" s="349" t="s">
        <v>429</v>
      </c>
      <c r="E46" s="349"/>
      <c r="F46" s="463" t="s">
        <v>23</v>
      </c>
      <c r="G46" s="121">
        <v>151034</v>
      </c>
      <c r="H46" s="121">
        <v>125328</v>
      </c>
      <c r="I46" s="357">
        <v>154290</v>
      </c>
      <c r="J46" s="368"/>
      <c r="K46" s="121"/>
      <c r="L46" s="121"/>
      <c r="M46" s="121"/>
      <c r="N46" s="121"/>
      <c r="O46" s="121"/>
      <c r="P46" s="121"/>
      <c r="Q46" s="121"/>
      <c r="R46" s="13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</row>
    <row r="47" spans="1:31" s="886" customFormat="1" ht="18" customHeight="1">
      <c r="A47" s="130">
        <v>40</v>
      </c>
      <c r="B47" s="473"/>
      <c r="C47" s="1334"/>
      <c r="D47" s="1334"/>
      <c r="E47" s="863" t="s">
        <v>293</v>
      </c>
      <c r="F47" s="1335"/>
      <c r="G47" s="1335"/>
      <c r="H47" s="1335"/>
      <c r="I47" s="864"/>
      <c r="J47" s="865">
        <f>SUM(K47:R47)</f>
        <v>156915</v>
      </c>
      <c r="K47" s="866">
        <v>84974</v>
      </c>
      <c r="L47" s="866">
        <v>13403</v>
      </c>
      <c r="M47" s="866">
        <v>50338</v>
      </c>
      <c r="N47" s="866"/>
      <c r="O47" s="866"/>
      <c r="P47" s="866">
        <v>8200</v>
      </c>
      <c r="Q47" s="866"/>
      <c r="R47" s="867"/>
      <c r="S47" s="885"/>
      <c r="T47" s="885"/>
      <c r="U47" s="885"/>
      <c r="V47" s="885"/>
      <c r="W47" s="885"/>
      <c r="X47" s="885"/>
      <c r="Y47" s="885"/>
      <c r="Z47" s="885"/>
      <c r="AA47" s="885"/>
      <c r="AB47" s="885"/>
      <c r="AC47" s="885"/>
      <c r="AD47" s="885"/>
      <c r="AE47" s="885"/>
    </row>
    <row r="48" spans="1:31" s="55" customFormat="1" ht="18" customHeight="1">
      <c r="A48" s="130">
        <v>41</v>
      </c>
      <c r="B48" s="1199"/>
      <c r="C48" s="1200"/>
      <c r="D48" s="1341" t="s">
        <v>627</v>
      </c>
      <c r="E48" s="1201"/>
      <c r="F48" s="1202"/>
      <c r="G48" s="158"/>
      <c r="H48" s="158">
        <v>13610</v>
      </c>
      <c r="I48" s="1203"/>
      <c r="J48" s="368"/>
      <c r="K48" s="364"/>
      <c r="L48" s="364"/>
      <c r="M48" s="364"/>
      <c r="N48" s="364"/>
      <c r="O48" s="364"/>
      <c r="P48" s="364"/>
      <c r="Q48" s="364"/>
      <c r="R48" s="36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</row>
    <row r="49" spans="1:31" s="886" customFormat="1" ht="18" customHeight="1">
      <c r="A49" s="130">
        <v>42</v>
      </c>
      <c r="B49" s="361"/>
      <c r="C49" s="1342"/>
      <c r="D49" s="1342"/>
      <c r="E49" s="1343" t="s">
        <v>293</v>
      </c>
      <c r="F49" s="1344"/>
      <c r="G49" s="1345"/>
      <c r="H49" s="1345"/>
      <c r="I49" s="1141"/>
      <c r="J49" s="1142">
        <f>SUM(K49:R49)</f>
        <v>0</v>
      </c>
      <c r="K49" s="1143"/>
      <c r="L49" s="1143"/>
      <c r="M49" s="1143"/>
      <c r="N49" s="1143"/>
      <c r="O49" s="1143"/>
      <c r="P49" s="1143"/>
      <c r="Q49" s="1143"/>
      <c r="R49" s="1144"/>
      <c r="S49" s="885"/>
      <c r="T49" s="885"/>
      <c r="U49" s="885"/>
      <c r="V49" s="885"/>
      <c r="W49" s="885"/>
      <c r="X49" s="885"/>
      <c r="Y49" s="885"/>
      <c r="Z49" s="885"/>
      <c r="AA49" s="885"/>
      <c r="AB49" s="885"/>
      <c r="AC49" s="885"/>
      <c r="AD49" s="885"/>
      <c r="AE49" s="885"/>
    </row>
    <row r="50" spans="1:31" s="51" customFormat="1" ht="18" customHeight="1">
      <c r="A50" s="130">
        <v>43</v>
      </c>
      <c r="B50" s="316"/>
      <c r="C50" s="695">
        <v>1</v>
      </c>
      <c r="D50" s="1213" t="s">
        <v>665</v>
      </c>
      <c r="E50" s="1061"/>
      <c r="F50" s="466"/>
      <c r="G50" s="121"/>
      <c r="H50" s="121"/>
      <c r="I50" s="467">
        <v>1879</v>
      </c>
      <c r="J50" s="368"/>
      <c r="K50" s="352"/>
      <c r="L50" s="352"/>
      <c r="M50" s="352"/>
      <c r="N50" s="364"/>
      <c r="O50" s="364"/>
      <c r="P50" s="364"/>
      <c r="Q50" s="364"/>
      <c r="R50" s="365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s="886" customFormat="1" ht="18" customHeight="1">
      <c r="A51" s="130">
        <v>44</v>
      </c>
      <c r="B51" s="473"/>
      <c r="C51" s="1334"/>
      <c r="D51" s="1334"/>
      <c r="E51" s="1418" t="s">
        <v>293</v>
      </c>
      <c r="F51" s="1346"/>
      <c r="G51" s="1335"/>
      <c r="H51" s="1335"/>
      <c r="I51" s="864"/>
      <c r="J51" s="865">
        <f>SUM(K51:R51)</f>
        <v>2349</v>
      </c>
      <c r="K51" s="866"/>
      <c r="L51" s="866"/>
      <c r="M51" s="866">
        <v>2349</v>
      </c>
      <c r="N51" s="866"/>
      <c r="O51" s="866"/>
      <c r="P51" s="866"/>
      <c r="Q51" s="866"/>
      <c r="R51" s="867"/>
      <c r="S51" s="885"/>
      <c r="T51" s="885"/>
      <c r="U51" s="885"/>
      <c r="V51" s="885"/>
      <c r="W51" s="885"/>
      <c r="X51" s="885"/>
      <c r="Y51" s="885"/>
      <c r="Z51" s="885"/>
      <c r="AA51" s="885"/>
      <c r="AB51" s="885"/>
      <c r="AC51" s="885"/>
      <c r="AD51" s="885"/>
      <c r="AE51" s="885"/>
    </row>
    <row r="52" spans="1:31" s="55" customFormat="1" ht="22.5" customHeight="1">
      <c r="A52" s="130">
        <v>45</v>
      </c>
      <c r="B52" s="312">
        <v>12</v>
      </c>
      <c r="C52" s="695"/>
      <c r="D52" s="349" t="s">
        <v>25</v>
      </c>
      <c r="E52" s="349"/>
      <c r="F52" s="463" t="s">
        <v>23</v>
      </c>
      <c r="G52" s="121">
        <v>440640</v>
      </c>
      <c r="H52" s="121">
        <v>411904</v>
      </c>
      <c r="I52" s="357">
        <v>460446</v>
      </c>
      <c r="J52" s="368"/>
      <c r="K52" s="121"/>
      <c r="L52" s="121"/>
      <c r="M52" s="121"/>
      <c r="N52" s="121"/>
      <c r="O52" s="121"/>
      <c r="P52" s="121"/>
      <c r="Q52" s="121"/>
      <c r="R52" s="13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</row>
    <row r="53" spans="1:31" s="886" customFormat="1" ht="18" customHeight="1">
      <c r="A53" s="130">
        <v>46</v>
      </c>
      <c r="B53" s="473"/>
      <c r="C53" s="1334"/>
      <c r="D53" s="1334"/>
      <c r="E53" s="863" t="s">
        <v>293</v>
      </c>
      <c r="F53" s="1335"/>
      <c r="G53" s="1335"/>
      <c r="H53" s="1335"/>
      <c r="I53" s="864"/>
      <c r="J53" s="865">
        <f>SUM(K53:R53)</f>
        <v>458734</v>
      </c>
      <c r="K53" s="866">
        <v>206995</v>
      </c>
      <c r="L53" s="866">
        <v>35904</v>
      </c>
      <c r="M53" s="866">
        <v>186381</v>
      </c>
      <c r="N53" s="866"/>
      <c r="O53" s="866"/>
      <c r="P53" s="866">
        <v>29454</v>
      </c>
      <c r="Q53" s="866"/>
      <c r="R53" s="867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885"/>
      <c r="AE53" s="885"/>
    </row>
    <row r="54" spans="1:31" s="55" customFormat="1" ht="18" customHeight="1">
      <c r="A54" s="130">
        <v>47</v>
      </c>
      <c r="B54" s="1199"/>
      <c r="C54" s="1200"/>
      <c r="D54" s="1341" t="s">
        <v>627</v>
      </c>
      <c r="E54" s="1201"/>
      <c r="F54" s="1202"/>
      <c r="G54" s="158"/>
      <c r="H54" s="158">
        <v>13610</v>
      </c>
      <c r="I54" s="1203"/>
      <c r="J54" s="368"/>
      <c r="K54" s="364"/>
      <c r="L54" s="364"/>
      <c r="M54" s="364"/>
      <c r="N54" s="364"/>
      <c r="O54" s="364"/>
      <c r="P54" s="364"/>
      <c r="Q54" s="364"/>
      <c r="R54" s="36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</row>
    <row r="55" spans="1:31" s="886" customFormat="1" ht="18" customHeight="1">
      <c r="A55" s="130">
        <v>48</v>
      </c>
      <c r="B55" s="361"/>
      <c r="C55" s="1342"/>
      <c r="D55" s="1342"/>
      <c r="E55" s="1343" t="s">
        <v>293</v>
      </c>
      <c r="F55" s="1344"/>
      <c r="G55" s="1345"/>
      <c r="H55" s="1345"/>
      <c r="I55" s="1141"/>
      <c r="J55" s="1142">
        <f>SUM(K55:R55)</f>
        <v>0</v>
      </c>
      <c r="K55" s="1143"/>
      <c r="L55" s="1143"/>
      <c r="M55" s="1143"/>
      <c r="N55" s="1143"/>
      <c r="O55" s="1143"/>
      <c r="P55" s="1143"/>
      <c r="Q55" s="1143"/>
      <c r="R55" s="1144"/>
      <c r="S55" s="885"/>
      <c r="T55" s="885"/>
      <c r="U55" s="885"/>
      <c r="V55" s="885"/>
      <c r="W55" s="885"/>
      <c r="X55" s="885"/>
      <c r="Y55" s="885"/>
      <c r="Z55" s="885"/>
      <c r="AA55" s="885"/>
      <c r="AB55" s="885"/>
      <c r="AC55" s="885"/>
      <c r="AD55" s="885"/>
      <c r="AE55" s="885"/>
    </row>
    <row r="56" spans="1:31" s="51" customFormat="1" ht="18" customHeight="1">
      <c r="A56" s="130">
        <v>49</v>
      </c>
      <c r="B56" s="316"/>
      <c r="C56" s="695">
        <v>2</v>
      </c>
      <c r="D56" s="1061" t="s">
        <v>494</v>
      </c>
      <c r="E56" s="1061"/>
      <c r="F56" s="466"/>
      <c r="G56" s="121">
        <v>2096</v>
      </c>
      <c r="H56" s="121">
        <v>55574</v>
      </c>
      <c r="I56" s="357">
        <v>55491</v>
      </c>
      <c r="J56" s="368"/>
      <c r="K56" s="352"/>
      <c r="L56" s="352"/>
      <c r="M56" s="352"/>
      <c r="N56" s="364"/>
      <c r="O56" s="364"/>
      <c r="P56" s="364"/>
      <c r="Q56" s="364"/>
      <c r="R56" s="365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s="886" customFormat="1" ht="18" customHeight="1">
      <c r="A57" s="130">
        <v>50</v>
      </c>
      <c r="B57" s="473"/>
      <c r="C57" s="1334"/>
      <c r="D57" s="1334"/>
      <c r="E57" s="1418" t="s">
        <v>293</v>
      </c>
      <c r="F57" s="1346"/>
      <c r="G57" s="1335"/>
      <c r="H57" s="1335"/>
      <c r="I57" s="864"/>
      <c r="J57" s="865">
        <f>SUM(K57:R57)</f>
        <v>49690</v>
      </c>
      <c r="K57" s="866">
        <v>9276</v>
      </c>
      <c r="L57" s="866">
        <v>1747</v>
      </c>
      <c r="M57" s="866">
        <v>36267</v>
      </c>
      <c r="N57" s="866"/>
      <c r="O57" s="866"/>
      <c r="P57" s="866">
        <v>2400</v>
      </c>
      <c r="Q57" s="866"/>
      <c r="R57" s="867"/>
      <c r="S57" s="885"/>
      <c r="T57" s="885"/>
      <c r="U57" s="885"/>
      <c r="V57" s="885"/>
      <c r="W57" s="885"/>
      <c r="X57" s="885"/>
      <c r="Y57" s="885"/>
      <c r="Z57" s="885"/>
      <c r="AA57" s="885"/>
      <c r="AB57" s="885"/>
      <c r="AC57" s="885"/>
      <c r="AD57" s="885"/>
      <c r="AE57" s="885"/>
    </row>
    <row r="58" spans="1:31" s="51" customFormat="1" ht="22.5" customHeight="1">
      <c r="A58" s="130">
        <v>51</v>
      </c>
      <c r="B58" s="312">
        <v>13</v>
      </c>
      <c r="C58" s="695"/>
      <c r="D58" s="349" t="s">
        <v>32</v>
      </c>
      <c r="E58" s="349"/>
      <c r="F58" s="463" t="s">
        <v>23</v>
      </c>
      <c r="G58" s="121">
        <v>433574</v>
      </c>
      <c r="H58" s="121">
        <v>406719</v>
      </c>
      <c r="I58" s="357">
        <v>474633</v>
      </c>
      <c r="J58" s="368"/>
      <c r="K58" s="121"/>
      <c r="L58" s="121"/>
      <c r="M58" s="121"/>
      <c r="N58" s="121"/>
      <c r="O58" s="121"/>
      <c r="P58" s="121"/>
      <c r="Q58" s="121"/>
      <c r="R58" s="135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s="886" customFormat="1" ht="18" customHeight="1">
      <c r="A59" s="130">
        <v>52</v>
      </c>
      <c r="B59" s="473"/>
      <c r="C59" s="1334"/>
      <c r="D59" s="1334"/>
      <c r="E59" s="863" t="s">
        <v>293</v>
      </c>
      <c r="F59" s="1335"/>
      <c r="G59" s="1335"/>
      <c r="H59" s="1335"/>
      <c r="I59" s="864"/>
      <c r="J59" s="865">
        <f>SUM(K59:R59)</f>
        <v>442284</v>
      </c>
      <c r="K59" s="866">
        <v>234259</v>
      </c>
      <c r="L59" s="866">
        <v>41899</v>
      </c>
      <c r="M59" s="866">
        <v>158069</v>
      </c>
      <c r="N59" s="866"/>
      <c r="O59" s="866"/>
      <c r="P59" s="866">
        <v>8057</v>
      </c>
      <c r="Q59" s="866"/>
      <c r="R59" s="867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</row>
    <row r="60" spans="1:31" s="55" customFormat="1" ht="18" customHeight="1">
      <c r="A60" s="130">
        <v>53</v>
      </c>
      <c r="B60" s="1199"/>
      <c r="C60" s="1200"/>
      <c r="D60" s="1341" t="s">
        <v>627</v>
      </c>
      <c r="E60" s="1201"/>
      <c r="F60" s="1202"/>
      <c r="G60" s="158"/>
      <c r="H60" s="158">
        <v>13610</v>
      </c>
      <c r="I60" s="1203"/>
      <c r="J60" s="368"/>
      <c r="K60" s="364"/>
      <c r="L60" s="364"/>
      <c r="M60" s="364"/>
      <c r="N60" s="364"/>
      <c r="O60" s="364"/>
      <c r="P60" s="364"/>
      <c r="Q60" s="364"/>
      <c r="R60" s="36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</row>
    <row r="61" spans="1:31" s="886" customFormat="1" ht="18" customHeight="1">
      <c r="A61" s="130">
        <v>54</v>
      </c>
      <c r="B61" s="361"/>
      <c r="C61" s="1342"/>
      <c r="D61" s="1342"/>
      <c r="E61" s="1343" t="s">
        <v>293</v>
      </c>
      <c r="F61" s="1344"/>
      <c r="G61" s="1345"/>
      <c r="H61" s="1345"/>
      <c r="I61" s="1141"/>
      <c r="J61" s="1142">
        <f>SUM(K61:R61)</f>
        <v>0</v>
      </c>
      <c r="K61" s="1143"/>
      <c r="L61" s="1143"/>
      <c r="M61" s="1143"/>
      <c r="N61" s="1143"/>
      <c r="O61" s="1143"/>
      <c r="P61" s="1143"/>
      <c r="Q61" s="1143"/>
      <c r="R61" s="1144"/>
      <c r="S61" s="885"/>
      <c r="T61" s="885"/>
      <c r="U61" s="885"/>
      <c r="V61" s="885"/>
      <c r="W61" s="885"/>
      <c r="X61" s="885"/>
      <c r="Y61" s="885"/>
      <c r="Z61" s="885"/>
      <c r="AA61" s="885"/>
      <c r="AB61" s="885"/>
      <c r="AC61" s="885"/>
      <c r="AD61" s="885"/>
      <c r="AE61" s="885"/>
    </row>
    <row r="62" spans="1:31" s="51" customFormat="1" ht="45.75" customHeight="1">
      <c r="A62" s="130">
        <v>55</v>
      </c>
      <c r="B62" s="316"/>
      <c r="C62" s="696">
        <v>2</v>
      </c>
      <c r="D62" s="1653" t="s">
        <v>828</v>
      </c>
      <c r="E62" s="1654"/>
      <c r="F62" s="632"/>
      <c r="G62" s="121">
        <v>55925</v>
      </c>
      <c r="H62" s="121"/>
      <c r="I62" s="357"/>
      <c r="J62" s="368"/>
      <c r="K62" s="352"/>
      <c r="L62" s="352"/>
      <c r="M62" s="352"/>
      <c r="N62" s="364"/>
      <c r="O62" s="364"/>
      <c r="P62" s="364"/>
      <c r="Q62" s="364"/>
      <c r="R62" s="365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s="51" customFormat="1" ht="18" customHeight="1">
      <c r="A63" s="130">
        <v>56</v>
      </c>
      <c r="B63" s="316"/>
      <c r="C63" s="695">
        <v>3</v>
      </c>
      <c r="D63" s="1213" t="s">
        <v>665</v>
      </c>
      <c r="E63" s="1061"/>
      <c r="F63" s="466"/>
      <c r="G63" s="121"/>
      <c r="H63" s="121"/>
      <c r="I63" s="467">
        <v>8944</v>
      </c>
      <c r="J63" s="368"/>
      <c r="K63" s="352"/>
      <c r="L63" s="352"/>
      <c r="M63" s="352"/>
      <c r="N63" s="364"/>
      <c r="O63" s="364"/>
      <c r="P63" s="364"/>
      <c r="Q63" s="364"/>
      <c r="R63" s="365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s="886" customFormat="1" ht="18" customHeight="1">
      <c r="A64" s="130">
        <v>57</v>
      </c>
      <c r="B64" s="473"/>
      <c r="C64" s="1334"/>
      <c r="D64" s="1334"/>
      <c r="E64" s="1418" t="s">
        <v>293</v>
      </c>
      <c r="F64" s="1346"/>
      <c r="G64" s="1335"/>
      <c r="H64" s="1335"/>
      <c r="I64" s="864"/>
      <c r="J64" s="865">
        <f>SUM(K64:R64)</f>
        <v>8944</v>
      </c>
      <c r="K64" s="866">
        <v>4971</v>
      </c>
      <c r="L64" s="866"/>
      <c r="M64" s="866">
        <v>3973</v>
      </c>
      <c r="N64" s="866"/>
      <c r="O64" s="866"/>
      <c r="P64" s="866"/>
      <c r="Q64" s="866"/>
      <c r="R64" s="867"/>
      <c r="S64" s="885"/>
      <c r="T64" s="885"/>
      <c r="U64" s="885"/>
      <c r="V64" s="885"/>
      <c r="W64" s="885"/>
      <c r="X64" s="885"/>
      <c r="Y64" s="885"/>
      <c r="Z64" s="885"/>
      <c r="AA64" s="885"/>
      <c r="AB64" s="885"/>
      <c r="AC64" s="885"/>
      <c r="AD64" s="885"/>
      <c r="AE64" s="885"/>
    </row>
    <row r="65" spans="1:31" s="51" customFormat="1" ht="22.5" customHeight="1">
      <c r="A65" s="130">
        <v>58</v>
      </c>
      <c r="B65" s="312">
        <v>14</v>
      </c>
      <c r="C65" s="695"/>
      <c r="D65" s="349" t="s">
        <v>430</v>
      </c>
      <c r="E65" s="349"/>
      <c r="F65" s="463" t="s">
        <v>24</v>
      </c>
      <c r="G65" s="121">
        <v>141430</v>
      </c>
      <c r="H65" s="121">
        <v>129562</v>
      </c>
      <c r="I65" s="357">
        <v>147145</v>
      </c>
      <c r="J65" s="368"/>
      <c r="K65" s="121"/>
      <c r="L65" s="121"/>
      <c r="M65" s="121"/>
      <c r="N65" s="121"/>
      <c r="O65" s="121"/>
      <c r="P65" s="121"/>
      <c r="Q65" s="121"/>
      <c r="R65" s="135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s="869" customFormat="1" ht="18" customHeight="1">
      <c r="A66" s="130">
        <v>59</v>
      </c>
      <c r="B66" s="473"/>
      <c r="C66" s="1334"/>
      <c r="D66" s="1334"/>
      <c r="E66" s="863" t="s">
        <v>293</v>
      </c>
      <c r="F66" s="1335"/>
      <c r="G66" s="1335"/>
      <c r="H66" s="1335"/>
      <c r="I66" s="864"/>
      <c r="J66" s="865">
        <f>SUM(K66:R66)</f>
        <v>150771</v>
      </c>
      <c r="K66" s="866">
        <v>86745</v>
      </c>
      <c r="L66" s="866">
        <v>15026</v>
      </c>
      <c r="M66" s="866">
        <v>48000</v>
      </c>
      <c r="N66" s="866"/>
      <c r="O66" s="866"/>
      <c r="P66" s="866">
        <v>1000</v>
      </c>
      <c r="Q66" s="866"/>
      <c r="R66" s="867"/>
      <c r="S66" s="868"/>
      <c r="T66" s="868"/>
      <c r="U66" s="868"/>
      <c r="V66" s="868"/>
      <c r="W66" s="868"/>
      <c r="X66" s="868"/>
      <c r="Y66" s="868"/>
      <c r="Z66" s="868"/>
      <c r="AA66" s="868"/>
      <c r="AB66" s="868"/>
      <c r="AC66" s="868"/>
      <c r="AD66" s="868"/>
      <c r="AE66" s="868"/>
    </row>
    <row r="67" spans="1:31" s="56" customFormat="1" ht="18" customHeight="1">
      <c r="A67" s="130">
        <v>60</v>
      </c>
      <c r="B67" s="316"/>
      <c r="C67" s="695">
        <v>1</v>
      </c>
      <c r="D67" s="1061" t="s">
        <v>143</v>
      </c>
      <c r="E67" s="1061"/>
      <c r="F67" s="466"/>
      <c r="G67" s="321">
        <v>2124</v>
      </c>
      <c r="H67" s="321">
        <v>2455</v>
      </c>
      <c r="I67" s="467">
        <v>1064</v>
      </c>
      <c r="J67" s="368"/>
      <c r="K67" s="352"/>
      <c r="L67" s="352"/>
      <c r="M67" s="352"/>
      <c r="N67" s="364"/>
      <c r="O67" s="364"/>
      <c r="P67" s="364"/>
      <c r="Q67" s="364"/>
      <c r="R67" s="365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</row>
    <row r="68" spans="1:31" s="869" customFormat="1" ht="18" customHeight="1">
      <c r="A68" s="130">
        <v>61</v>
      </c>
      <c r="B68" s="473"/>
      <c r="C68" s="1334"/>
      <c r="D68" s="1334"/>
      <c r="E68" s="1418" t="s">
        <v>293</v>
      </c>
      <c r="F68" s="1346"/>
      <c r="G68" s="1335"/>
      <c r="H68" s="1335"/>
      <c r="I68" s="864"/>
      <c r="J68" s="865">
        <f>SUM(K68:R68)</f>
        <v>1054</v>
      </c>
      <c r="K68" s="866">
        <v>978</v>
      </c>
      <c r="L68" s="866">
        <v>76</v>
      </c>
      <c r="M68" s="866"/>
      <c r="N68" s="866"/>
      <c r="O68" s="866"/>
      <c r="P68" s="866"/>
      <c r="Q68" s="866"/>
      <c r="R68" s="867"/>
      <c r="S68" s="868"/>
      <c r="T68" s="868"/>
      <c r="U68" s="868"/>
      <c r="V68" s="868"/>
      <c r="W68" s="868"/>
      <c r="X68" s="868"/>
      <c r="Y68" s="868"/>
      <c r="Z68" s="868"/>
      <c r="AA68" s="868"/>
      <c r="AB68" s="868"/>
      <c r="AC68" s="868"/>
      <c r="AD68" s="868"/>
      <c r="AE68" s="868"/>
    </row>
    <row r="69" spans="1:31" s="56" customFormat="1" ht="33" customHeight="1">
      <c r="A69" s="130">
        <v>62</v>
      </c>
      <c r="B69" s="316"/>
      <c r="C69" s="696">
        <v>2</v>
      </c>
      <c r="D69" s="1653" t="s">
        <v>829</v>
      </c>
      <c r="E69" s="1663"/>
      <c r="F69" s="700"/>
      <c r="G69" s="121">
        <v>19384</v>
      </c>
      <c r="H69" s="121">
        <v>5725</v>
      </c>
      <c r="I69" s="357">
        <v>5352</v>
      </c>
      <c r="J69" s="368"/>
      <c r="K69" s="352"/>
      <c r="L69" s="352"/>
      <c r="M69" s="352"/>
      <c r="N69" s="364"/>
      <c r="O69" s="364"/>
      <c r="P69" s="364"/>
      <c r="Q69" s="364"/>
      <c r="R69" s="365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</row>
    <row r="70" spans="1:31" s="869" customFormat="1" ht="18" customHeight="1">
      <c r="A70" s="130">
        <v>63</v>
      </c>
      <c r="B70" s="473"/>
      <c r="C70" s="1334"/>
      <c r="D70" s="1334"/>
      <c r="E70" s="1418" t="s">
        <v>293</v>
      </c>
      <c r="F70" s="1346"/>
      <c r="G70" s="1335"/>
      <c r="H70" s="1335"/>
      <c r="I70" s="864"/>
      <c r="J70" s="865">
        <f>SUM(K70:R70)</f>
        <v>0</v>
      </c>
      <c r="K70" s="866"/>
      <c r="L70" s="866"/>
      <c r="M70" s="866"/>
      <c r="N70" s="866"/>
      <c r="O70" s="866"/>
      <c r="P70" s="866"/>
      <c r="Q70" s="866"/>
      <c r="R70" s="867"/>
      <c r="S70" s="868"/>
      <c r="T70" s="868"/>
      <c r="U70" s="868"/>
      <c r="V70" s="868"/>
      <c r="W70" s="868"/>
      <c r="X70" s="868"/>
      <c r="Y70" s="868"/>
      <c r="Z70" s="868"/>
      <c r="AA70" s="868"/>
      <c r="AB70" s="868"/>
      <c r="AC70" s="868"/>
      <c r="AD70" s="868"/>
      <c r="AE70" s="868"/>
    </row>
    <row r="71" spans="1:31" s="51" customFormat="1" ht="18" customHeight="1">
      <c r="A71" s="130">
        <v>64</v>
      </c>
      <c r="B71" s="316"/>
      <c r="C71" s="695">
        <v>3</v>
      </c>
      <c r="D71" s="1213" t="s">
        <v>665</v>
      </c>
      <c r="E71" s="1061"/>
      <c r="F71" s="466"/>
      <c r="G71" s="121"/>
      <c r="H71" s="121"/>
      <c r="I71" s="467">
        <v>2602</v>
      </c>
      <c r="J71" s="368"/>
      <c r="K71" s="352"/>
      <c r="L71" s="352"/>
      <c r="M71" s="352"/>
      <c r="N71" s="364"/>
      <c r="O71" s="364"/>
      <c r="P71" s="364"/>
      <c r="Q71" s="364"/>
      <c r="R71" s="365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s="886" customFormat="1" ht="18" customHeight="1">
      <c r="A72" s="130">
        <v>65</v>
      </c>
      <c r="B72" s="473"/>
      <c r="C72" s="1334"/>
      <c r="D72" s="1334"/>
      <c r="E72" s="1418" t="s">
        <v>293</v>
      </c>
      <c r="F72" s="1346"/>
      <c r="G72" s="1335"/>
      <c r="H72" s="1335"/>
      <c r="I72" s="864"/>
      <c r="J72" s="865">
        <f>SUM(K72:R72)</f>
        <v>6843</v>
      </c>
      <c r="K72" s="866">
        <v>3415</v>
      </c>
      <c r="L72" s="866">
        <v>529</v>
      </c>
      <c r="M72" s="866">
        <v>2899</v>
      </c>
      <c r="N72" s="866"/>
      <c r="O72" s="866"/>
      <c r="P72" s="866"/>
      <c r="Q72" s="866"/>
      <c r="R72" s="867"/>
      <c r="S72" s="885"/>
      <c r="T72" s="885"/>
      <c r="U72" s="885"/>
      <c r="V72" s="885"/>
      <c r="W72" s="885"/>
      <c r="X72" s="885"/>
      <c r="Y72" s="885"/>
      <c r="Z72" s="885"/>
      <c r="AA72" s="885"/>
      <c r="AB72" s="885"/>
      <c r="AC72" s="885"/>
      <c r="AD72" s="885"/>
      <c r="AE72" s="885"/>
    </row>
    <row r="73" spans="1:31" s="53" customFormat="1" ht="22.5" customHeight="1">
      <c r="A73" s="130">
        <v>66</v>
      </c>
      <c r="B73" s="312">
        <v>15</v>
      </c>
      <c r="C73" s="695"/>
      <c r="D73" s="349" t="s">
        <v>148</v>
      </c>
      <c r="E73" s="349"/>
      <c r="F73" s="463" t="s">
        <v>24</v>
      </c>
      <c r="G73" s="121">
        <v>851369</v>
      </c>
      <c r="H73" s="121">
        <v>742553</v>
      </c>
      <c r="I73" s="357">
        <v>969318</v>
      </c>
      <c r="J73" s="368"/>
      <c r="K73" s="121"/>
      <c r="L73" s="121"/>
      <c r="M73" s="121"/>
      <c r="N73" s="121"/>
      <c r="O73" s="121"/>
      <c r="P73" s="121"/>
      <c r="Q73" s="121"/>
      <c r="R73" s="135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</row>
    <row r="74" spans="1:31" s="869" customFormat="1" ht="18" customHeight="1" thickBot="1">
      <c r="A74" s="130">
        <v>67</v>
      </c>
      <c r="B74" s="473"/>
      <c r="C74" s="1336"/>
      <c r="D74" s="1336"/>
      <c r="E74" s="854" t="s">
        <v>293</v>
      </c>
      <c r="F74" s="1337"/>
      <c r="G74" s="1337"/>
      <c r="H74" s="1337"/>
      <c r="I74" s="873"/>
      <c r="J74" s="874">
        <f>SUM(K74:R74)</f>
        <v>747152</v>
      </c>
      <c r="K74" s="875">
        <v>465819</v>
      </c>
      <c r="L74" s="875">
        <v>62479</v>
      </c>
      <c r="M74" s="875">
        <v>215854</v>
      </c>
      <c r="N74" s="875"/>
      <c r="O74" s="875"/>
      <c r="P74" s="875">
        <v>3000</v>
      </c>
      <c r="Q74" s="875"/>
      <c r="R74" s="876"/>
      <c r="S74" s="868"/>
      <c r="T74" s="868"/>
      <c r="U74" s="868"/>
      <c r="V74" s="868"/>
      <c r="W74" s="868"/>
      <c r="X74" s="868"/>
      <c r="Y74" s="868"/>
      <c r="Z74" s="868"/>
      <c r="AA74" s="868"/>
      <c r="AB74" s="868"/>
      <c r="AC74" s="868"/>
      <c r="AD74" s="868"/>
      <c r="AE74" s="868"/>
    </row>
    <row r="75" spans="1:31" s="196" customFormat="1" ht="22.5" customHeight="1" thickTop="1">
      <c r="A75" s="130">
        <v>68</v>
      </c>
      <c r="B75" s="361"/>
      <c r="C75" s="1655" t="s">
        <v>501</v>
      </c>
      <c r="D75" s="1656"/>
      <c r="E75" s="1657"/>
      <c r="F75" s="737"/>
      <c r="G75" s="730">
        <f>SUM(G40:G74)</f>
        <v>2347852</v>
      </c>
      <c r="H75" s="730">
        <f>SUM(H40:H74)-H42-H48-H54-H60</f>
        <v>2182328</v>
      </c>
      <c r="I75" s="887">
        <f>SUM(I40:I74)</f>
        <v>2625981</v>
      </c>
      <c r="J75" s="738"/>
      <c r="K75" s="735"/>
      <c r="L75" s="735"/>
      <c r="M75" s="735"/>
      <c r="N75" s="735"/>
      <c r="O75" s="735"/>
      <c r="P75" s="735"/>
      <c r="Q75" s="735"/>
      <c r="R75" s="736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</row>
    <row r="76" spans="1:31" s="869" customFormat="1" ht="18" customHeight="1" thickBot="1">
      <c r="A76" s="130">
        <v>69</v>
      </c>
      <c r="B76" s="473"/>
      <c r="C76" s="1338"/>
      <c r="D76" s="1339"/>
      <c r="E76" s="1419" t="s">
        <v>293</v>
      </c>
      <c r="F76" s="1340"/>
      <c r="G76" s="1340"/>
      <c r="H76" s="1340"/>
      <c r="I76" s="880"/>
      <c r="J76" s="881">
        <f>SUM(K76:R76)</f>
        <v>2340076</v>
      </c>
      <c r="K76" s="882">
        <f aca="true" t="shared" si="2" ref="K76:R76">SUM(K41,K45,K47,K53,K57,K59,K66,K68,K70,K74,K51,K64,K72)</f>
        <v>1220525</v>
      </c>
      <c r="L76" s="882">
        <f t="shared" si="2"/>
        <v>191805</v>
      </c>
      <c r="M76" s="882">
        <f t="shared" si="2"/>
        <v>868585</v>
      </c>
      <c r="N76" s="882">
        <f t="shared" si="2"/>
        <v>0</v>
      </c>
      <c r="O76" s="882">
        <f t="shared" si="2"/>
        <v>0</v>
      </c>
      <c r="P76" s="882">
        <f t="shared" si="2"/>
        <v>59161</v>
      </c>
      <c r="Q76" s="882">
        <f t="shared" si="2"/>
        <v>0</v>
      </c>
      <c r="R76" s="883">
        <f t="shared" si="2"/>
        <v>0</v>
      </c>
      <c r="S76" s="868"/>
      <c r="T76" s="868"/>
      <c r="U76" s="868"/>
      <c r="V76" s="868"/>
      <c r="W76" s="868"/>
      <c r="X76" s="868"/>
      <c r="Y76" s="868"/>
      <c r="Z76" s="868"/>
      <c r="AA76" s="868"/>
      <c r="AB76" s="868"/>
      <c r="AC76" s="868"/>
      <c r="AD76" s="868"/>
      <c r="AE76" s="868"/>
    </row>
    <row r="77" spans="1:31" s="57" customFormat="1" ht="22.5" customHeight="1" thickTop="1">
      <c r="A77" s="130">
        <v>70</v>
      </c>
      <c r="B77" s="326">
        <v>16</v>
      </c>
      <c r="C77" s="697"/>
      <c r="D77" s="468" t="s">
        <v>260</v>
      </c>
      <c r="E77" s="468"/>
      <c r="F77" s="464" t="s">
        <v>23</v>
      </c>
      <c r="G77" s="338">
        <v>965302</v>
      </c>
      <c r="H77" s="338">
        <v>1025459</v>
      </c>
      <c r="I77" s="465">
        <v>986464</v>
      </c>
      <c r="J77" s="454"/>
      <c r="K77" s="338"/>
      <c r="L77" s="338"/>
      <c r="M77" s="338"/>
      <c r="N77" s="338"/>
      <c r="O77" s="338"/>
      <c r="P77" s="338"/>
      <c r="Q77" s="338"/>
      <c r="R77" s="363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</row>
    <row r="78" spans="1:31" s="811" customFormat="1" ht="18" customHeight="1" thickBot="1">
      <c r="A78" s="130">
        <v>71</v>
      </c>
      <c r="B78" s="1347"/>
      <c r="C78" s="1348"/>
      <c r="D78" s="1348"/>
      <c r="E78" s="889" t="s">
        <v>293</v>
      </c>
      <c r="F78" s="1349"/>
      <c r="G78" s="1349"/>
      <c r="H78" s="1349"/>
      <c r="I78" s="890"/>
      <c r="J78" s="891">
        <f>SUM(K78:R78)</f>
        <v>1199812</v>
      </c>
      <c r="K78" s="892">
        <v>189138</v>
      </c>
      <c r="L78" s="892">
        <v>34301</v>
      </c>
      <c r="M78" s="892">
        <v>973553</v>
      </c>
      <c r="N78" s="892"/>
      <c r="O78" s="892"/>
      <c r="P78" s="892">
        <v>2820</v>
      </c>
      <c r="Q78" s="892"/>
      <c r="R78" s="893"/>
      <c r="S78" s="884"/>
      <c r="T78" s="884"/>
      <c r="U78" s="884"/>
      <c r="V78" s="884"/>
      <c r="W78" s="884"/>
      <c r="X78" s="884"/>
      <c r="Y78" s="884"/>
      <c r="Z78" s="884"/>
      <c r="AA78" s="884"/>
      <c r="AB78" s="884"/>
      <c r="AC78" s="884"/>
      <c r="AD78" s="884"/>
      <c r="AE78" s="884"/>
    </row>
    <row r="79" spans="1:31" s="151" customFormat="1" ht="36" customHeight="1">
      <c r="A79" s="130">
        <v>72</v>
      </c>
      <c r="B79" s="1619" t="s">
        <v>149</v>
      </c>
      <c r="C79" s="1620"/>
      <c r="D79" s="1620"/>
      <c r="E79" s="1621"/>
      <c r="F79" s="469"/>
      <c r="G79" s="470">
        <f>SUM(G77,G75,G38,G28)</f>
        <v>6471307</v>
      </c>
      <c r="H79" s="470">
        <f>SUM(H77,H75,H38,H28)</f>
        <v>6363012</v>
      </c>
      <c r="I79" s="471">
        <f>SUM(I77,I75,I38,I28)</f>
        <v>7112180</v>
      </c>
      <c r="J79" s="894"/>
      <c r="K79" s="373"/>
      <c r="L79" s="373"/>
      <c r="M79" s="373"/>
      <c r="N79" s="373"/>
      <c r="O79" s="373"/>
      <c r="P79" s="373"/>
      <c r="Q79" s="373"/>
      <c r="R79" s="374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</row>
    <row r="80" spans="1:31" s="869" customFormat="1" ht="18" customHeight="1" thickBot="1">
      <c r="A80" s="130">
        <v>73</v>
      </c>
      <c r="B80" s="1347"/>
      <c r="C80" s="1348"/>
      <c r="D80" s="1348"/>
      <c r="E80" s="889" t="s">
        <v>293</v>
      </c>
      <c r="F80" s="1349"/>
      <c r="G80" s="1349"/>
      <c r="H80" s="1349"/>
      <c r="I80" s="890"/>
      <c r="J80" s="891">
        <f>SUM(K80:R80)</f>
        <v>6945818</v>
      </c>
      <c r="K80" s="892">
        <f aca="true" t="shared" si="3" ref="K80:R80">SUM(K78,K76,K39,K29)</f>
        <v>3749904</v>
      </c>
      <c r="L80" s="892">
        <f t="shared" si="3"/>
        <v>639752</v>
      </c>
      <c r="M80" s="892">
        <f t="shared" si="3"/>
        <v>2443959</v>
      </c>
      <c r="N80" s="892">
        <f t="shared" si="3"/>
        <v>0</v>
      </c>
      <c r="O80" s="892">
        <f t="shared" si="3"/>
        <v>0</v>
      </c>
      <c r="P80" s="892">
        <f t="shared" si="3"/>
        <v>112203</v>
      </c>
      <c r="Q80" s="892">
        <f t="shared" si="3"/>
        <v>0</v>
      </c>
      <c r="R80" s="893">
        <f t="shared" si="3"/>
        <v>0</v>
      </c>
      <c r="S80" s="868"/>
      <c r="T80" s="868"/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</row>
    <row r="81" spans="1:31" s="57" customFormat="1" ht="22.5" customHeight="1">
      <c r="A81" s="130">
        <v>74</v>
      </c>
      <c r="B81" s="308">
        <v>17</v>
      </c>
      <c r="C81" s="694"/>
      <c r="D81" s="699" t="s">
        <v>26</v>
      </c>
      <c r="E81" s="701"/>
      <c r="F81" s="309" t="s">
        <v>23</v>
      </c>
      <c r="G81" s="369"/>
      <c r="H81" s="369"/>
      <c r="I81" s="472"/>
      <c r="J81" s="375"/>
      <c r="K81" s="369"/>
      <c r="L81" s="369"/>
      <c r="M81" s="369"/>
      <c r="N81" s="369"/>
      <c r="O81" s="369"/>
      <c r="P81" s="369"/>
      <c r="Q81" s="369"/>
      <c r="R81" s="370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</row>
    <row r="82" spans="1:31" s="154" customFormat="1" ht="19.5" customHeight="1">
      <c r="A82" s="130">
        <v>75</v>
      </c>
      <c r="B82" s="312"/>
      <c r="C82" s="313">
        <v>1</v>
      </c>
      <c r="D82" s="702" t="s">
        <v>156</v>
      </c>
      <c r="E82" s="702"/>
      <c r="F82" s="463"/>
      <c r="G82" s="121">
        <v>1287824</v>
      </c>
      <c r="H82" s="121">
        <f>1326424-205560-2261</f>
        <v>1118603</v>
      </c>
      <c r="I82" s="357">
        <f>1449803-2261-13344-28984</f>
        <v>1405214</v>
      </c>
      <c r="J82" s="368"/>
      <c r="K82" s="121"/>
      <c r="L82" s="121"/>
      <c r="M82" s="121"/>
      <c r="N82" s="121"/>
      <c r="O82" s="121"/>
      <c r="P82" s="121"/>
      <c r="Q82" s="121"/>
      <c r="R82" s="135"/>
      <c r="S82" s="273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811" customFormat="1" ht="18" customHeight="1">
      <c r="A83" s="130">
        <v>76</v>
      </c>
      <c r="B83" s="473"/>
      <c r="C83" s="1350"/>
      <c r="D83" s="1334"/>
      <c r="E83" s="1420" t="s">
        <v>293</v>
      </c>
      <c r="F83" s="1351"/>
      <c r="G83" s="1335"/>
      <c r="H83" s="1335"/>
      <c r="I83" s="864"/>
      <c r="J83" s="865">
        <f>SUM(K83:R83)</f>
        <v>1380645</v>
      </c>
      <c r="K83" s="866">
        <v>1158703</v>
      </c>
      <c r="L83" s="866">
        <v>191446</v>
      </c>
      <c r="M83" s="866">
        <v>30496</v>
      </c>
      <c r="N83" s="866"/>
      <c r="O83" s="866"/>
      <c r="P83" s="866"/>
      <c r="Q83" s="866"/>
      <c r="R83" s="867"/>
      <c r="S83" s="884"/>
      <c r="T83" s="884"/>
      <c r="U83" s="884"/>
      <c r="V83" s="884"/>
      <c r="W83" s="884"/>
      <c r="X83" s="884"/>
      <c r="Y83" s="884"/>
      <c r="Z83" s="884"/>
      <c r="AA83" s="884"/>
      <c r="AB83" s="884"/>
      <c r="AC83" s="884"/>
      <c r="AD83" s="884"/>
      <c r="AE83" s="884"/>
    </row>
    <row r="84" spans="1:31" s="58" customFormat="1" ht="19.5" customHeight="1">
      <c r="A84" s="130">
        <v>77</v>
      </c>
      <c r="B84" s="312"/>
      <c r="C84" s="313">
        <v>2</v>
      </c>
      <c r="D84" s="702" t="s">
        <v>157</v>
      </c>
      <c r="E84" s="702"/>
      <c r="F84" s="463"/>
      <c r="G84" s="121">
        <v>129126</v>
      </c>
      <c r="H84" s="121">
        <v>185553</v>
      </c>
      <c r="I84" s="357">
        <v>281698</v>
      </c>
      <c r="J84" s="368"/>
      <c r="K84" s="121"/>
      <c r="L84" s="121"/>
      <c r="M84" s="121"/>
      <c r="N84" s="121"/>
      <c r="O84" s="121"/>
      <c r="P84" s="121"/>
      <c r="Q84" s="121"/>
      <c r="R84" s="13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</row>
    <row r="85" spans="1:31" s="811" customFormat="1" ht="18" customHeight="1">
      <c r="A85" s="130">
        <v>78</v>
      </c>
      <c r="B85" s="473"/>
      <c r="C85" s="1350"/>
      <c r="D85" s="1334"/>
      <c r="E85" s="1420" t="s">
        <v>293</v>
      </c>
      <c r="F85" s="1351"/>
      <c r="G85" s="1335"/>
      <c r="H85" s="1335"/>
      <c r="I85" s="864"/>
      <c r="J85" s="865">
        <f>SUM(K85:R85)</f>
        <v>204402</v>
      </c>
      <c r="K85" s="866">
        <v>3200</v>
      </c>
      <c r="L85" s="866">
        <v>1471</v>
      </c>
      <c r="M85" s="866">
        <v>185920</v>
      </c>
      <c r="N85" s="866"/>
      <c r="O85" s="866"/>
      <c r="P85" s="866">
        <v>13811</v>
      </c>
      <c r="Q85" s="866"/>
      <c r="R85" s="867"/>
      <c r="S85" s="884"/>
      <c r="T85" s="884"/>
      <c r="U85" s="884"/>
      <c r="V85" s="884"/>
      <c r="W85" s="884"/>
      <c r="X85" s="884"/>
      <c r="Y85" s="884"/>
      <c r="Z85" s="884"/>
      <c r="AA85" s="884"/>
      <c r="AB85" s="884"/>
      <c r="AC85" s="884"/>
      <c r="AD85" s="884"/>
      <c r="AE85" s="884"/>
    </row>
    <row r="86" spans="1:31" s="58" customFormat="1" ht="19.5" customHeight="1">
      <c r="A86" s="130">
        <v>79</v>
      </c>
      <c r="B86" s="312"/>
      <c r="C86" s="313">
        <v>3</v>
      </c>
      <c r="D86" s="702" t="s">
        <v>33</v>
      </c>
      <c r="E86" s="702"/>
      <c r="F86" s="463"/>
      <c r="G86" s="121">
        <v>96889</v>
      </c>
      <c r="H86" s="121">
        <v>91571</v>
      </c>
      <c r="I86" s="357">
        <v>117796</v>
      </c>
      <c r="J86" s="368"/>
      <c r="K86" s="121"/>
      <c r="L86" s="121"/>
      <c r="M86" s="121"/>
      <c r="N86" s="121"/>
      <c r="O86" s="121"/>
      <c r="P86" s="121"/>
      <c r="Q86" s="121"/>
      <c r="R86" s="13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</row>
    <row r="87" spans="1:31" s="811" customFormat="1" ht="18" customHeight="1">
      <c r="A87" s="130">
        <v>80</v>
      </c>
      <c r="B87" s="473"/>
      <c r="C87" s="1350"/>
      <c r="D87" s="1334"/>
      <c r="E87" s="1420" t="s">
        <v>293</v>
      </c>
      <c r="F87" s="1351"/>
      <c r="G87" s="1335"/>
      <c r="H87" s="1335"/>
      <c r="I87" s="864"/>
      <c r="J87" s="865">
        <f>SUM(K87:R87)</f>
        <v>101862</v>
      </c>
      <c r="K87" s="866"/>
      <c r="L87" s="866"/>
      <c r="M87" s="866">
        <v>81762</v>
      </c>
      <c r="N87" s="866"/>
      <c r="O87" s="866"/>
      <c r="P87" s="866">
        <v>20100</v>
      </c>
      <c r="Q87" s="866"/>
      <c r="R87" s="867"/>
      <c r="S87" s="884"/>
      <c r="T87" s="884"/>
      <c r="U87" s="884"/>
      <c r="V87" s="884"/>
      <c r="W87" s="884"/>
      <c r="X87" s="884"/>
      <c r="Y87" s="884"/>
      <c r="Z87" s="884"/>
      <c r="AA87" s="884"/>
      <c r="AB87" s="884"/>
      <c r="AC87" s="884"/>
      <c r="AD87" s="884"/>
      <c r="AE87" s="884"/>
    </row>
    <row r="88" spans="1:31" s="58" customFormat="1" ht="19.5" customHeight="1">
      <c r="A88" s="130">
        <v>81</v>
      </c>
      <c r="B88" s="312"/>
      <c r="C88" s="313">
        <v>4</v>
      </c>
      <c r="D88" s="702" t="s">
        <v>822</v>
      </c>
      <c r="E88" s="702"/>
      <c r="F88" s="463"/>
      <c r="G88" s="121">
        <v>2385</v>
      </c>
      <c r="H88" s="121">
        <v>7800</v>
      </c>
      <c r="I88" s="357">
        <v>13972</v>
      </c>
      <c r="J88" s="368"/>
      <c r="K88" s="121"/>
      <c r="L88" s="121"/>
      <c r="M88" s="121"/>
      <c r="N88" s="121"/>
      <c r="O88" s="121"/>
      <c r="P88" s="121"/>
      <c r="Q88" s="121"/>
      <c r="R88" s="13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</row>
    <row r="89" spans="1:31" s="811" customFormat="1" ht="18" customHeight="1">
      <c r="A89" s="130">
        <v>82</v>
      </c>
      <c r="B89" s="473"/>
      <c r="C89" s="1350"/>
      <c r="D89" s="1334"/>
      <c r="E89" s="1420" t="s">
        <v>293</v>
      </c>
      <c r="F89" s="1351"/>
      <c r="G89" s="1335"/>
      <c r="H89" s="1335"/>
      <c r="I89" s="864"/>
      <c r="J89" s="865">
        <f>SUM(K89:R89)</f>
        <v>7631</v>
      </c>
      <c r="K89" s="866"/>
      <c r="L89" s="866"/>
      <c r="M89" s="866">
        <v>7631</v>
      </c>
      <c r="N89" s="866"/>
      <c r="O89" s="866"/>
      <c r="P89" s="866"/>
      <c r="Q89" s="866"/>
      <c r="R89" s="867"/>
      <c r="S89" s="884"/>
      <c r="T89" s="884"/>
      <c r="U89" s="884"/>
      <c r="V89" s="884"/>
      <c r="W89" s="884"/>
      <c r="X89" s="884"/>
      <c r="Y89" s="884"/>
      <c r="Z89" s="884"/>
      <c r="AA89" s="884"/>
      <c r="AB89" s="884"/>
      <c r="AC89" s="884"/>
      <c r="AD89" s="884"/>
      <c r="AE89" s="884"/>
    </row>
    <row r="90" spans="1:31" s="58" customFormat="1" ht="30" customHeight="1">
      <c r="A90" s="130">
        <v>83</v>
      </c>
      <c r="B90" s="473"/>
      <c r="C90" s="317">
        <v>5</v>
      </c>
      <c r="D90" s="1653" t="s">
        <v>472</v>
      </c>
      <c r="E90" s="1654"/>
      <c r="F90" s="463"/>
      <c r="G90" s="318"/>
      <c r="H90" s="318">
        <v>3250</v>
      </c>
      <c r="I90" s="358">
        <v>3250</v>
      </c>
      <c r="J90" s="360"/>
      <c r="K90" s="356"/>
      <c r="L90" s="356"/>
      <c r="M90" s="371"/>
      <c r="N90" s="371"/>
      <c r="O90" s="371"/>
      <c r="P90" s="371"/>
      <c r="Q90" s="371"/>
      <c r="R90" s="372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</row>
    <row r="91" spans="1:31" s="869" customFormat="1" ht="18" customHeight="1">
      <c r="A91" s="130">
        <v>84</v>
      </c>
      <c r="B91" s="473"/>
      <c r="C91" s="1350"/>
      <c r="D91" s="1334"/>
      <c r="E91" s="1420" t="s">
        <v>293</v>
      </c>
      <c r="F91" s="1352"/>
      <c r="G91" s="1335"/>
      <c r="H91" s="1335"/>
      <c r="I91" s="864"/>
      <c r="J91" s="865">
        <f>SUM(K91:R91)</f>
        <v>3250</v>
      </c>
      <c r="K91" s="899">
        <v>2720</v>
      </c>
      <c r="L91" s="899">
        <v>530</v>
      </c>
      <c r="M91" s="899"/>
      <c r="N91" s="899"/>
      <c r="O91" s="899"/>
      <c r="P91" s="899"/>
      <c r="Q91" s="899"/>
      <c r="R91" s="900"/>
      <c r="S91" s="868"/>
      <c r="T91" s="868"/>
      <c r="U91" s="868"/>
      <c r="V91" s="868"/>
      <c r="W91" s="868"/>
      <c r="X91" s="868"/>
      <c r="Y91" s="868"/>
      <c r="Z91" s="868"/>
      <c r="AA91" s="868"/>
      <c r="AB91" s="868"/>
      <c r="AC91" s="868"/>
      <c r="AD91" s="868"/>
      <c r="AE91" s="868"/>
    </row>
    <row r="92" spans="1:31" s="58" customFormat="1" ht="35.25" customHeight="1">
      <c r="A92" s="130">
        <v>85</v>
      </c>
      <c r="B92" s="473"/>
      <c r="C92" s="317">
        <v>6</v>
      </c>
      <c r="D92" s="1653" t="s">
        <v>749</v>
      </c>
      <c r="E92" s="1654"/>
      <c r="F92" s="1445"/>
      <c r="G92" s="318"/>
      <c r="H92" s="318">
        <v>6000</v>
      </c>
      <c r="I92" s="358">
        <v>6000</v>
      </c>
      <c r="J92" s="360"/>
      <c r="K92" s="371"/>
      <c r="L92" s="371"/>
      <c r="M92" s="371"/>
      <c r="N92" s="371"/>
      <c r="O92" s="371"/>
      <c r="P92" s="371"/>
      <c r="Q92" s="371"/>
      <c r="R92" s="372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</row>
    <row r="93" spans="1:31" s="869" customFormat="1" ht="18" customHeight="1">
      <c r="A93" s="130">
        <v>86</v>
      </c>
      <c r="B93" s="473"/>
      <c r="C93" s="1350"/>
      <c r="D93" s="1334"/>
      <c r="E93" s="1420" t="s">
        <v>293</v>
      </c>
      <c r="F93" s="1352"/>
      <c r="G93" s="1335"/>
      <c r="H93" s="1335"/>
      <c r="I93" s="864"/>
      <c r="J93" s="865">
        <f>SUM(K93:R93)</f>
        <v>6000</v>
      </c>
      <c r="K93" s="899">
        <v>4918</v>
      </c>
      <c r="L93" s="899">
        <v>1082</v>
      </c>
      <c r="M93" s="899"/>
      <c r="N93" s="899"/>
      <c r="O93" s="899"/>
      <c r="P93" s="899"/>
      <c r="Q93" s="899"/>
      <c r="R93" s="900"/>
      <c r="S93" s="868"/>
      <c r="T93" s="868"/>
      <c r="U93" s="868"/>
      <c r="V93" s="868"/>
      <c r="W93" s="868"/>
      <c r="X93" s="868"/>
      <c r="Y93" s="868"/>
      <c r="Z93" s="868"/>
      <c r="AA93" s="868"/>
      <c r="AB93" s="868"/>
      <c r="AC93" s="868"/>
      <c r="AD93" s="868"/>
      <c r="AE93" s="868"/>
    </row>
    <row r="94" spans="1:31" s="48" customFormat="1" ht="30" customHeight="1">
      <c r="A94" s="130">
        <v>87</v>
      </c>
      <c r="B94" s="473"/>
      <c r="C94" s="317">
        <v>7</v>
      </c>
      <c r="D94" s="1661" t="s">
        <v>417</v>
      </c>
      <c r="E94" s="1662"/>
      <c r="F94" s="703"/>
      <c r="G94" s="318"/>
      <c r="H94" s="318">
        <v>5962</v>
      </c>
      <c r="I94" s="358">
        <v>5962</v>
      </c>
      <c r="J94" s="360"/>
      <c r="K94" s="371"/>
      <c r="L94" s="371"/>
      <c r="M94" s="371"/>
      <c r="N94" s="371"/>
      <c r="O94" s="371"/>
      <c r="P94" s="371"/>
      <c r="Q94" s="371"/>
      <c r="R94" s="372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</row>
    <row r="95" spans="1:31" s="808" customFormat="1" ht="18" customHeight="1">
      <c r="A95" s="130">
        <v>88</v>
      </c>
      <c r="B95" s="473"/>
      <c r="C95" s="1350"/>
      <c r="D95" s="1334"/>
      <c r="E95" s="1420" t="s">
        <v>293</v>
      </c>
      <c r="F95" s="1352"/>
      <c r="G95" s="1335"/>
      <c r="H95" s="1335"/>
      <c r="I95" s="864"/>
      <c r="J95" s="865">
        <f>SUM(K95:R95)</f>
        <v>5962</v>
      </c>
      <c r="K95" s="899">
        <v>4887</v>
      </c>
      <c r="L95" s="899">
        <v>1075</v>
      </c>
      <c r="M95" s="899"/>
      <c r="N95" s="899"/>
      <c r="O95" s="899"/>
      <c r="P95" s="899"/>
      <c r="Q95" s="899"/>
      <c r="R95" s="900"/>
      <c r="S95" s="901"/>
      <c r="T95" s="901"/>
      <c r="U95" s="901"/>
      <c r="V95" s="901"/>
      <c r="W95" s="901"/>
      <c r="X95" s="901"/>
      <c r="Y95" s="901"/>
      <c r="Z95" s="901"/>
      <c r="AA95" s="901"/>
      <c r="AB95" s="901"/>
      <c r="AC95" s="901"/>
      <c r="AD95" s="901"/>
      <c r="AE95" s="901"/>
    </row>
    <row r="96" spans="1:31" s="48" customFormat="1" ht="19.5" customHeight="1">
      <c r="A96" s="130">
        <v>89</v>
      </c>
      <c r="B96" s="473"/>
      <c r="C96" s="313">
        <v>8</v>
      </c>
      <c r="D96" s="702" t="s">
        <v>444</v>
      </c>
      <c r="E96" s="924"/>
      <c r="F96" s="333"/>
      <c r="G96" s="318"/>
      <c r="H96" s="318">
        <v>12000</v>
      </c>
      <c r="I96" s="358">
        <v>12000</v>
      </c>
      <c r="J96" s="360"/>
      <c r="K96" s="371"/>
      <c r="L96" s="371"/>
      <c r="M96" s="371"/>
      <c r="N96" s="371"/>
      <c r="O96" s="371"/>
      <c r="P96" s="371"/>
      <c r="Q96" s="371"/>
      <c r="R96" s="372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</row>
    <row r="97" spans="1:31" s="808" customFormat="1" ht="18" customHeight="1">
      <c r="A97" s="130">
        <v>90</v>
      </c>
      <c r="B97" s="473"/>
      <c r="C97" s="1350"/>
      <c r="D97" s="1334"/>
      <c r="E97" s="1420" t="s">
        <v>293</v>
      </c>
      <c r="F97" s="1352"/>
      <c r="G97" s="1335"/>
      <c r="H97" s="1335"/>
      <c r="I97" s="864"/>
      <c r="J97" s="865">
        <f>SUM(K97:R97)</f>
        <v>12000</v>
      </c>
      <c r="K97" s="899">
        <v>10042</v>
      </c>
      <c r="L97" s="899">
        <v>1958</v>
      </c>
      <c r="M97" s="899"/>
      <c r="N97" s="899"/>
      <c r="O97" s="899"/>
      <c r="P97" s="899"/>
      <c r="Q97" s="899"/>
      <c r="R97" s="900"/>
      <c r="S97" s="901"/>
      <c r="T97" s="901"/>
      <c r="U97" s="901"/>
      <c r="V97" s="901"/>
      <c r="W97" s="901"/>
      <c r="X97" s="901"/>
      <c r="Y97" s="901"/>
      <c r="Z97" s="901"/>
      <c r="AA97" s="901"/>
      <c r="AB97" s="901"/>
      <c r="AC97" s="901"/>
      <c r="AD97" s="901"/>
      <c r="AE97" s="901"/>
    </row>
    <row r="98" spans="1:31" s="48" customFormat="1" ht="19.5" customHeight="1">
      <c r="A98" s="130">
        <v>91</v>
      </c>
      <c r="B98" s="473"/>
      <c r="C98" s="313">
        <v>9</v>
      </c>
      <c r="D98" s="702" t="s">
        <v>468</v>
      </c>
      <c r="E98" s="1062"/>
      <c r="F98" s="703"/>
      <c r="G98" s="318">
        <v>1684</v>
      </c>
      <c r="H98" s="318">
        <v>327</v>
      </c>
      <c r="I98" s="358">
        <v>2313</v>
      </c>
      <c r="J98" s="360"/>
      <c r="K98" s="371"/>
      <c r="L98" s="371"/>
      <c r="M98" s="371"/>
      <c r="N98" s="371"/>
      <c r="O98" s="371"/>
      <c r="P98" s="371"/>
      <c r="Q98" s="371"/>
      <c r="R98" s="372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</row>
    <row r="99" spans="1:31" s="808" customFormat="1" ht="18" customHeight="1">
      <c r="A99" s="130">
        <v>92</v>
      </c>
      <c r="B99" s="473"/>
      <c r="C99" s="1350"/>
      <c r="D99" s="1334"/>
      <c r="E99" s="1420" t="s">
        <v>293</v>
      </c>
      <c r="F99" s="1352"/>
      <c r="G99" s="1335"/>
      <c r="H99" s="1335"/>
      <c r="I99" s="864"/>
      <c r="J99" s="865">
        <f>SUM(K99:R99)</f>
        <v>76</v>
      </c>
      <c r="K99" s="899"/>
      <c r="L99" s="899">
        <v>33</v>
      </c>
      <c r="M99" s="899">
        <v>43</v>
      </c>
      <c r="N99" s="899"/>
      <c r="O99" s="899"/>
      <c r="P99" s="899"/>
      <c r="Q99" s="899"/>
      <c r="R99" s="900"/>
      <c r="S99" s="901"/>
      <c r="T99" s="901"/>
      <c r="U99" s="901"/>
      <c r="V99" s="901"/>
      <c r="W99" s="901"/>
      <c r="X99" s="901"/>
      <c r="Y99" s="901"/>
      <c r="Z99" s="901"/>
      <c r="AA99" s="901"/>
      <c r="AB99" s="901"/>
      <c r="AC99" s="901"/>
      <c r="AD99" s="901"/>
      <c r="AE99" s="901"/>
    </row>
    <row r="100" spans="1:31" s="1140" customFormat="1" ht="19.5" customHeight="1">
      <c r="A100" s="130">
        <v>93</v>
      </c>
      <c r="B100" s="1135"/>
      <c r="C100" s="313">
        <v>10</v>
      </c>
      <c r="D100" s="702" t="s">
        <v>825</v>
      </c>
      <c r="E100" s="1134"/>
      <c r="F100" s="1136"/>
      <c r="G100" s="158">
        <f>10996</f>
        <v>10996</v>
      </c>
      <c r="H100" s="158">
        <v>2261</v>
      </c>
      <c r="I100" s="1137">
        <v>2261</v>
      </c>
      <c r="J100" s="368"/>
      <c r="K100" s="158"/>
      <c r="L100" s="158"/>
      <c r="M100" s="158"/>
      <c r="N100" s="158"/>
      <c r="O100" s="158"/>
      <c r="P100" s="158"/>
      <c r="Q100" s="158"/>
      <c r="R100" s="1138"/>
      <c r="S100" s="1063"/>
      <c r="T100" s="1139"/>
      <c r="U100" s="1139"/>
      <c r="V100" s="1139"/>
      <c r="W100" s="1139"/>
      <c r="X100" s="1139"/>
      <c r="Y100" s="1139"/>
      <c r="Z100" s="1139"/>
      <c r="AA100" s="1139"/>
      <c r="AB100" s="1139"/>
      <c r="AC100" s="1139"/>
      <c r="AD100" s="1139"/>
      <c r="AE100" s="1139"/>
    </row>
    <row r="101" spans="1:31" s="1146" customFormat="1" ht="18" customHeight="1">
      <c r="A101" s="130">
        <v>94</v>
      </c>
      <c r="B101" s="361"/>
      <c r="C101" s="1353"/>
      <c r="D101" s="1342"/>
      <c r="E101" s="1420" t="s">
        <v>293</v>
      </c>
      <c r="F101" s="1354"/>
      <c r="G101" s="1345"/>
      <c r="H101" s="1345"/>
      <c r="I101" s="1141"/>
      <c r="J101" s="1142">
        <f>SUM(K101:R101)</f>
        <v>0</v>
      </c>
      <c r="K101" s="1143"/>
      <c r="L101" s="1143"/>
      <c r="M101" s="1143"/>
      <c r="N101" s="1143"/>
      <c r="O101" s="1143"/>
      <c r="P101" s="1143"/>
      <c r="Q101" s="1143"/>
      <c r="R101" s="1144"/>
      <c r="S101" s="1145"/>
      <c r="T101" s="1145"/>
      <c r="U101" s="1145"/>
      <c r="V101" s="1145"/>
      <c r="W101" s="1145"/>
      <c r="X101" s="1145"/>
      <c r="Y101" s="1145"/>
      <c r="Z101" s="1145"/>
      <c r="AA101" s="1145"/>
      <c r="AB101" s="1145"/>
      <c r="AC101" s="1145"/>
      <c r="AD101" s="1145"/>
      <c r="AE101" s="1145"/>
    </row>
    <row r="102" spans="1:31" s="48" customFormat="1" ht="18" customHeight="1">
      <c r="A102" s="130">
        <v>95</v>
      </c>
      <c r="B102" s="473"/>
      <c r="C102" s="313">
        <v>11</v>
      </c>
      <c r="D102" s="702" t="s">
        <v>543</v>
      </c>
      <c r="E102" s="1062"/>
      <c r="F102" s="463"/>
      <c r="G102" s="318"/>
      <c r="H102" s="318">
        <v>205560</v>
      </c>
      <c r="I102" s="358">
        <v>13344</v>
      </c>
      <c r="J102" s="360"/>
      <c r="K102" s="371"/>
      <c r="L102" s="371"/>
      <c r="M102" s="371"/>
      <c r="N102" s="371"/>
      <c r="O102" s="371"/>
      <c r="P102" s="371"/>
      <c r="Q102" s="371"/>
      <c r="R102" s="372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</row>
    <row r="103" spans="1:31" s="48" customFormat="1" ht="18" customHeight="1">
      <c r="A103" s="130">
        <v>96</v>
      </c>
      <c r="B103" s="473"/>
      <c r="C103" s="313"/>
      <c r="D103" s="1334"/>
      <c r="E103" s="1420" t="s">
        <v>293</v>
      </c>
      <c r="F103" s="463"/>
      <c r="G103" s="318"/>
      <c r="H103" s="318"/>
      <c r="I103" s="358"/>
      <c r="J103" s="865">
        <f>SUM(K103:R103)</f>
        <v>3524</v>
      </c>
      <c r="K103" s="899">
        <v>2816</v>
      </c>
      <c r="L103" s="899">
        <v>708</v>
      </c>
      <c r="M103" s="371"/>
      <c r="N103" s="371"/>
      <c r="O103" s="371"/>
      <c r="P103" s="371"/>
      <c r="Q103" s="371"/>
      <c r="R103" s="372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</row>
    <row r="104" spans="1:31" s="48" customFormat="1" ht="18" customHeight="1">
      <c r="A104" s="130">
        <v>97</v>
      </c>
      <c r="B104" s="473"/>
      <c r="C104" s="313">
        <v>12</v>
      </c>
      <c r="D104" s="702" t="s">
        <v>824</v>
      </c>
      <c r="E104" s="1062"/>
      <c r="F104" s="463"/>
      <c r="G104" s="318"/>
      <c r="H104" s="318"/>
      <c r="I104" s="358">
        <v>28984</v>
      </c>
      <c r="J104" s="360"/>
      <c r="K104" s="899"/>
      <c r="L104" s="899"/>
      <c r="M104" s="371"/>
      <c r="N104" s="371"/>
      <c r="O104" s="371"/>
      <c r="P104" s="371"/>
      <c r="Q104" s="371"/>
      <c r="R104" s="372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</row>
    <row r="105" spans="1:31" s="48" customFormat="1" ht="18" customHeight="1">
      <c r="A105" s="130">
        <v>98</v>
      </c>
      <c r="B105" s="473"/>
      <c r="C105" s="313"/>
      <c r="D105" s="1334"/>
      <c r="E105" s="1420" t="s">
        <v>293</v>
      </c>
      <c r="F105" s="463"/>
      <c r="G105" s="318"/>
      <c r="H105" s="318"/>
      <c r="I105" s="358"/>
      <c r="J105" s="865">
        <f>SUM(K105:R105)</f>
        <v>2271</v>
      </c>
      <c r="K105" s="899">
        <v>2077</v>
      </c>
      <c r="L105" s="899">
        <v>194</v>
      </c>
      <c r="M105" s="371"/>
      <c r="N105" s="371"/>
      <c r="O105" s="371"/>
      <c r="P105" s="371"/>
      <c r="Q105" s="371"/>
      <c r="R105" s="372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</row>
    <row r="106" spans="1:31" s="48" customFormat="1" ht="18" customHeight="1">
      <c r="A106" s="130">
        <v>99</v>
      </c>
      <c r="B106" s="473"/>
      <c r="C106" s="313">
        <v>13</v>
      </c>
      <c r="D106" s="702" t="s">
        <v>815</v>
      </c>
      <c r="E106" s="1062"/>
      <c r="F106" s="463"/>
      <c r="G106" s="318"/>
      <c r="H106" s="318"/>
      <c r="I106" s="358"/>
      <c r="J106" s="360"/>
      <c r="K106" s="899"/>
      <c r="L106" s="899"/>
      <c r="M106" s="371"/>
      <c r="N106" s="371"/>
      <c r="O106" s="371"/>
      <c r="P106" s="371"/>
      <c r="Q106" s="371"/>
      <c r="R106" s="372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</row>
    <row r="107" spans="1:31" s="48" customFormat="1" ht="18" customHeight="1">
      <c r="A107" s="130">
        <v>100</v>
      </c>
      <c r="B107" s="473"/>
      <c r="C107" s="313"/>
      <c r="D107" s="1334"/>
      <c r="E107" s="1420" t="s">
        <v>293</v>
      </c>
      <c r="F107" s="463"/>
      <c r="G107" s="318"/>
      <c r="H107" s="318"/>
      <c r="I107" s="358"/>
      <c r="J107" s="865">
        <f>SUM(K107:R107)</f>
        <v>35000</v>
      </c>
      <c r="K107" s="899">
        <v>30303</v>
      </c>
      <c r="L107" s="899">
        <v>4697</v>
      </c>
      <c r="M107" s="371"/>
      <c r="N107" s="371"/>
      <c r="O107" s="371"/>
      <c r="P107" s="371"/>
      <c r="Q107" s="371"/>
      <c r="R107" s="372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</row>
    <row r="108" spans="1:31" s="48" customFormat="1" ht="18" customHeight="1">
      <c r="A108" s="130">
        <v>101</v>
      </c>
      <c r="B108" s="473"/>
      <c r="C108" s="313">
        <v>14</v>
      </c>
      <c r="D108" s="702" t="s">
        <v>778</v>
      </c>
      <c r="E108" s="702"/>
      <c r="F108" s="463"/>
      <c r="G108" s="318"/>
      <c r="H108" s="318"/>
      <c r="I108" s="358"/>
      <c r="J108" s="360"/>
      <c r="K108" s="371"/>
      <c r="L108" s="371"/>
      <c r="M108" s="371"/>
      <c r="N108" s="371"/>
      <c r="O108" s="371"/>
      <c r="P108" s="371"/>
      <c r="Q108" s="371"/>
      <c r="R108" s="372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</row>
    <row r="109" spans="1:31" s="48" customFormat="1" ht="18" customHeight="1">
      <c r="A109" s="130">
        <v>102</v>
      </c>
      <c r="B109" s="473"/>
      <c r="C109" s="313"/>
      <c r="D109" s="702"/>
      <c r="E109" s="1420" t="s">
        <v>293</v>
      </c>
      <c r="F109" s="463"/>
      <c r="G109" s="318"/>
      <c r="H109" s="318"/>
      <c r="I109" s="358"/>
      <c r="J109" s="865">
        <f>SUM(K109:R109)</f>
        <v>22650</v>
      </c>
      <c r="K109" s="899">
        <v>19277</v>
      </c>
      <c r="L109" s="899">
        <v>3373</v>
      </c>
      <c r="M109" s="371"/>
      <c r="N109" s="371"/>
      <c r="O109" s="371"/>
      <c r="P109" s="371"/>
      <c r="Q109" s="371"/>
      <c r="R109" s="372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</row>
    <row r="110" spans="1:31" s="48" customFormat="1" ht="18" customHeight="1">
      <c r="A110" s="130">
        <v>103</v>
      </c>
      <c r="B110" s="473"/>
      <c r="C110" s="313">
        <v>15</v>
      </c>
      <c r="D110" s="1664" t="s">
        <v>779</v>
      </c>
      <c r="E110" s="1665"/>
      <c r="F110" s="463"/>
      <c r="G110" s="318"/>
      <c r="H110" s="318">
        <v>22278</v>
      </c>
      <c r="I110" s="358"/>
      <c r="J110" s="360"/>
      <c r="K110" s="371"/>
      <c r="L110" s="371"/>
      <c r="M110" s="371"/>
      <c r="N110" s="371"/>
      <c r="O110" s="371"/>
      <c r="P110" s="371"/>
      <c r="Q110" s="371"/>
      <c r="R110" s="372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</row>
    <row r="111" spans="1:31" s="48" customFormat="1" ht="18" customHeight="1">
      <c r="A111" s="130">
        <v>104</v>
      </c>
      <c r="B111" s="473"/>
      <c r="C111" s="313"/>
      <c r="D111" s="702"/>
      <c r="E111" s="1420" t="s">
        <v>293</v>
      </c>
      <c r="F111" s="463"/>
      <c r="G111" s="318"/>
      <c r="H111" s="318"/>
      <c r="I111" s="358"/>
      <c r="J111" s="865">
        <f>SUM(K111:R111)</f>
        <v>39749</v>
      </c>
      <c r="K111" s="899">
        <v>34415</v>
      </c>
      <c r="L111" s="899">
        <v>5334</v>
      </c>
      <c r="M111" s="371"/>
      <c r="N111" s="371"/>
      <c r="O111" s="371"/>
      <c r="P111" s="371"/>
      <c r="Q111" s="371"/>
      <c r="R111" s="372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</row>
    <row r="112" spans="1:31" s="48" customFormat="1" ht="19.5" customHeight="1">
      <c r="A112" s="130">
        <v>105</v>
      </c>
      <c r="B112" s="473"/>
      <c r="C112" s="313">
        <v>16</v>
      </c>
      <c r="D112" s="702" t="s">
        <v>672</v>
      </c>
      <c r="E112" s="1062"/>
      <c r="F112" s="703"/>
      <c r="G112" s="318"/>
      <c r="H112" s="318"/>
      <c r="I112" s="358">
        <v>2500</v>
      </c>
      <c r="J112" s="360"/>
      <c r="K112" s="371"/>
      <c r="L112" s="371"/>
      <c r="M112" s="371"/>
      <c r="N112" s="371"/>
      <c r="O112" s="371"/>
      <c r="P112" s="371"/>
      <c r="Q112" s="371"/>
      <c r="R112" s="372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</row>
    <row r="113" spans="1:31" s="808" customFormat="1" ht="18" customHeight="1">
      <c r="A113" s="130">
        <v>106</v>
      </c>
      <c r="B113" s="473"/>
      <c r="C113" s="1350"/>
      <c r="D113" s="1334"/>
      <c r="E113" s="1420" t="s">
        <v>293</v>
      </c>
      <c r="F113" s="1352"/>
      <c r="G113" s="1335"/>
      <c r="H113" s="1335"/>
      <c r="I113" s="864"/>
      <c r="J113" s="865">
        <f>SUM(K113:R113)</f>
        <v>282</v>
      </c>
      <c r="K113" s="899"/>
      <c r="L113" s="899"/>
      <c r="M113" s="899">
        <v>187</v>
      </c>
      <c r="N113" s="899"/>
      <c r="O113" s="899"/>
      <c r="P113" s="899">
        <v>95</v>
      </c>
      <c r="Q113" s="899"/>
      <c r="R113" s="900"/>
      <c r="S113" s="901"/>
      <c r="T113" s="901"/>
      <c r="U113" s="901"/>
      <c r="V113" s="901"/>
      <c r="W113" s="901"/>
      <c r="X113" s="901"/>
      <c r="Y113" s="901"/>
      <c r="Z113" s="901"/>
      <c r="AA113" s="901"/>
      <c r="AB113" s="901"/>
      <c r="AC113" s="901"/>
      <c r="AD113" s="901"/>
      <c r="AE113" s="901"/>
    </row>
    <row r="114" spans="1:31" s="48" customFormat="1" ht="19.5" customHeight="1">
      <c r="A114" s="130">
        <v>107</v>
      </c>
      <c r="B114" s="473"/>
      <c r="C114" s="313">
        <v>17</v>
      </c>
      <c r="D114" s="702" t="s">
        <v>44</v>
      </c>
      <c r="E114" s="1062"/>
      <c r="F114" s="703"/>
      <c r="G114" s="318"/>
      <c r="H114" s="318"/>
      <c r="I114" s="358">
        <v>32</v>
      </c>
      <c r="J114" s="360"/>
      <c r="K114" s="371"/>
      <c r="L114" s="371"/>
      <c r="M114" s="371"/>
      <c r="N114" s="371"/>
      <c r="O114" s="371"/>
      <c r="P114" s="371"/>
      <c r="Q114" s="371"/>
      <c r="R114" s="372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</row>
    <row r="115" spans="1:31" s="808" customFormat="1" ht="18" customHeight="1">
      <c r="A115" s="130">
        <v>108</v>
      </c>
      <c r="B115" s="473"/>
      <c r="C115" s="1350"/>
      <c r="D115" s="1334"/>
      <c r="E115" s="1420" t="s">
        <v>293</v>
      </c>
      <c r="F115" s="1352"/>
      <c r="G115" s="1335"/>
      <c r="H115" s="1335"/>
      <c r="I115" s="864"/>
      <c r="J115" s="865">
        <f>SUM(K115:R115)</f>
        <v>0</v>
      </c>
      <c r="K115" s="899"/>
      <c r="L115" s="899"/>
      <c r="M115" s="899"/>
      <c r="N115" s="899"/>
      <c r="O115" s="899"/>
      <c r="P115" s="899"/>
      <c r="Q115" s="899"/>
      <c r="R115" s="900"/>
      <c r="S115" s="901"/>
      <c r="T115" s="901"/>
      <c r="U115" s="901"/>
      <c r="V115" s="901"/>
      <c r="W115" s="901"/>
      <c r="X115" s="901"/>
      <c r="Y115" s="901"/>
      <c r="Z115" s="901"/>
      <c r="AA115" s="901"/>
      <c r="AB115" s="901"/>
      <c r="AC115" s="901"/>
      <c r="AD115" s="901"/>
      <c r="AE115" s="901"/>
    </row>
    <row r="116" spans="1:31" s="48" customFormat="1" ht="19.5" customHeight="1">
      <c r="A116" s="130">
        <v>109</v>
      </c>
      <c r="B116" s="473"/>
      <c r="C116" s="313">
        <v>18</v>
      </c>
      <c r="D116" s="702" t="s">
        <v>522</v>
      </c>
      <c r="E116" s="1062"/>
      <c r="F116" s="703"/>
      <c r="G116" s="318"/>
      <c r="H116" s="318"/>
      <c r="I116" s="358">
        <v>3100</v>
      </c>
      <c r="J116" s="360"/>
      <c r="K116" s="371"/>
      <c r="L116" s="371"/>
      <c r="M116" s="371"/>
      <c r="N116" s="371"/>
      <c r="O116" s="371"/>
      <c r="P116" s="371"/>
      <c r="Q116" s="371"/>
      <c r="R116" s="372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</row>
    <row r="117" spans="1:31" s="808" customFormat="1" ht="18" customHeight="1">
      <c r="A117" s="130">
        <v>110</v>
      </c>
      <c r="B117" s="473"/>
      <c r="C117" s="1350"/>
      <c r="D117" s="1334"/>
      <c r="E117" s="1420" t="s">
        <v>293</v>
      </c>
      <c r="F117" s="1352"/>
      <c r="G117" s="1335"/>
      <c r="H117" s="1335"/>
      <c r="I117" s="864"/>
      <c r="J117" s="865">
        <f>SUM(K117:R117)</f>
        <v>625</v>
      </c>
      <c r="K117" s="899">
        <v>508</v>
      </c>
      <c r="L117" s="899">
        <v>117</v>
      </c>
      <c r="M117" s="899"/>
      <c r="N117" s="899"/>
      <c r="O117" s="899"/>
      <c r="P117" s="899"/>
      <c r="Q117" s="899"/>
      <c r="R117" s="900"/>
      <c r="S117" s="901"/>
      <c r="T117" s="901"/>
      <c r="U117" s="901"/>
      <c r="V117" s="901"/>
      <c r="W117" s="901"/>
      <c r="X117" s="901"/>
      <c r="Y117" s="901"/>
      <c r="Z117" s="901"/>
      <c r="AA117" s="901"/>
      <c r="AB117" s="901"/>
      <c r="AC117" s="901"/>
      <c r="AD117" s="901"/>
      <c r="AE117" s="901"/>
    </row>
    <row r="118" spans="1:31" s="48" customFormat="1" ht="19.5" customHeight="1">
      <c r="A118" s="130">
        <v>111</v>
      </c>
      <c r="B118" s="473"/>
      <c r="C118" s="313">
        <v>19</v>
      </c>
      <c r="D118" s="702" t="s">
        <v>673</v>
      </c>
      <c r="E118" s="1062"/>
      <c r="F118" s="703"/>
      <c r="G118" s="318"/>
      <c r="H118" s="318"/>
      <c r="I118" s="358">
        <v>47060</v>
      </c>
      <c r="J118" s="360"/>
      <c r="K118" s="371"/>
      <c r="L118" s="371"/>
      <c r="M118" s="371"/>
      <c r="N118" s="371"/>
      <c r="O118" s="371"/>
      <c r="P118" s="371"/>
      <c r="Q118" s="371"/>
      <c r="R118" s="372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</row>
    <row r="119" spans="1:31" s="808" customFormat="1" ht="18" customHeight="1">
      <c r="A119" s="130">
        <v>112</v>
      </c>
      <c r="B119" s="473"/>
      <c r="C119" s="1350"/>
      <c r="D119" s="1334"/>
      <c r="E119" s="1420" t="s">
        <v>293</v>
      </c>
      <c r="F119" s="1352"/>
      <c r="G119" s="1335"/>
      <c r="H119" s="1335"/>
      <c r="I119" s="864"/>
      <c r="J119" s="865">
        <f>SUM(K119:R119)</f>
        <v>63255</v>
      </c>
      <c r="K119" s="899">
        <v>53727</v>
      </c>
      <c r="L119" s="899">
        <v>8328</v>
      </c>
      <c r="M119" s="899">
        <v>1200</v>
      </c>
      <c r="N119" s="899"/>
      <c r="O119" s="899"/>
      <c r="P119" s="899"/>
      <c r="Q119" s="899"/>
      <c r="R119" s="900"/>
      <c r="S119" s="901"/>
      <c r="T119" s="901"/>
      <c r="U119" s="901"/>
      <c r="V119" s="901"/>
      <c r="W119" s="901"/>
      <c r="X119" s="901"/>
      <c r="Y119" s="901"/>
      <c r="Z119" s="901"/>
      <c r="AA119" s="901"/>
      <c r="AB119" s="901"/>
      <c r="AC119" s="901"/>
      <c r="AD119" s="901"/>
      <c r="AE119" s="901"/>
    </row>
    <row r="120" spans="1:31" s="58" customFormat="1" ht="30" customHeight="1">
      <c r="A120" s="130">
        <v>113</v>
      </c>
      <c r="B120" s="473"/>
      <c r="C120" s="317">
        <v>20</v>
      </c>
      <c r="D120" s="1653" t="s">
        <v>471</v>
      </c>
      <c r="E120" s="1654"/>
      <c r="F120" s="463"/>
      <c r="G120" s="318"/>
      <c r="H120" s="318">
        <v>13852</v>
      </c>
      <c r="I120" s="358"/>
      <c r="J120" s="360"/>
      <c r="K120" s="356"/>
      <c r="L120" s="356"/>
      <c r="M120" s="371"/>
      <c r="N120" s="371"/>
      <c r="O120" s="371"/>
      <c r="P120" s="371"/>
      <c r="Q120" s="371"/>
      <c r="R120" s="372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</row>
    <row r="121" spans="1:31" s="48" customFormat="1" ht="19.5" customHeight="1">
      <c r="A121" s="130">
        <v>114</v>
      </c>
      <c r="B121" s="473"/>
      <c r="C121" s="313">
        <v>21</v>
      </c>
      <c r="D121" s="702" t="s">
        <v>400</v>
      </c>
      <c r="E121" s="702"/>
      <c r="F121" s="463"/>
      <c r="G121" s="318">
        <v>3536</v>
      </c>
      <c r="H121" s="318"/>
      <c r="I121" s="358"/>
      <c r="J121" s="360"/>
      <c r="K121" s="371"/>
      <c r="L121" s="371"/>
      <c r="M121" s="371"/>
      <c r="N121" s="371"/>
      <c r="O121" s="371"/>
      <c r="P121" s="371"/>
      <c r="Q121" s="371"/>
      <c r="R121" s="372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</row>
    <row r="122" spans="1:31" s="48" customFormat="1" ht="30" customHeight="1">
      <c r="A122" s="130">
        <v>115</v>
      </c>
      <c r="B122" s="473"/>
      <c r="C122" s="317">
        <v>22</v>
      </c>
      <c r="D122" s="1661" t="s">
        <v>401</v>
      </c>
      <c r="E122" s="1662"/>
      <c r="F122" s="703"/>
      <c r="G122" s="318">
        <v>2506</v>
      </c>
      <c r="H122" s="318"/>
      <c r="I122" s="358"/>
      <c r="J122" s="360"/>
      <c r="K122" s="371"/>
      <c r="L122" s="371"/>
      <c r="M122" s="371"/>
      <c r="N122" s="371"/>
      <c r="O122" s="371"/>
      <c r="P122" s="371"/>
      <c r="Q122" s="371"/>
      <c r="R122" s="372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</row>
    <row r="123" spans="1:31" s="48" customFormat="1" ht="19.5" customHeight="1">
      <c r="A123" s="130">
        <v>116</v>
      </c>
      <c r="B123" s="473"/>
      <c r="C123" s="317">
        <v>23</v>
      </c>
      <c r="D123" s="702" t="s">
        <v>418</v>
      </c>
      <c r="E123" s="1306"/>
      <c r="F123" s="333"/>
      <c r="G123" s="318"/>
      <c r="H123" s="318">
        <v>482</v>
      </c>
      <c r="I123" s="358"/>
      <c r="J123" s="360"/>
      <c r="K123" s="371"/>
      <c r="L123" s="371"/>
      <c r="M123" s="371"/>
      <c r="N123" s="371"/>
      <c r="O123" s="371"/>
      <c r="P123" s="371"/>
      <c r="Q123" s="371"/>
      <c r="R123" s="372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</row>
    <row r="124" spans="1:31" s="48" customFormat="1" ht="19.5" customHeight="1">
      <c r="A124" s="130">
        <v>117</v>
      </c>
      <c r="B124" s="473"/>
      <c r="C124" s="313">
        <v>24</v>
      </c>
      <c r="D124" s="702" t="s">
        <v>433</v>
      </c>
      <c r="E124" s="924"/>
      <c r="F124" s="333"/>
      <c r="G124" s="318">
        <v>1541</v>
      </c>
      <c r="H124" s="318"/>
      <c r="I124" s="358"/>
      <c r="J124" s="360"/>
      <c r="K124" s="371"/>
      <c r="L124" s="371"/>
      <c r="M124" s="371"/>
      <c r="N124" s="371"/>
      <c r="O124" s="371"/>
      <c r="P124" s="371"/>
      <c r="Q124" s="371"/>
      <c r="R124" s="372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</row>
    <row r="125" spans="1:31" s="48" customFormat="1" ht="30" customHeight="1">
      <c r="A125" s="130">
        <v>118</v>
      </c>
      <c r="B125" s="473"/>
      <c r="C125" s="317">
        <v>25</v>
      </c>
      <c r="D125" s="1661" t="s">
        <v>434</v>
      </c>
      <c r="E125" s="1662"/>
      <c r="F125" s="333"/>
      <c r="G125" s="318">
        <v>13</v>
      </c>
      <c r="H125" s="318">
        <v>62</v>
      </c>
      <c r="I125" s="358"/>
      <c r="J125" s="360"/>
      <c r="K125" s="371"/>
      <c r="L125" s="371"/>
      <c r="M125" s="371"/>
      <c r="N125" s="371"/>
      <c r="O125" s="371"/>
      <c r="P125" s="371"/>
      <c r="Q125" s="371"/>
      <c r="R125" s="372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</row>
    <row r="126" spans="1:31" s="48" customFormat="1" ht="19.5" customHeight="1">
      <c r="A126" s="130">
        <v>119</v>
      </c>
      <c r="B126" s="473"/>
      <c r="C126" s="317">
        <v>26</v>
      </c>
      <c r="D126" s="702" t="s">
        <v>495</v>
      </c>
      <c r="E126" s="924"/>
      <c r="F126" s="333"/>
      <c r="G126" s="318">
        <v>14715</v>
      </c>
      <c r="H126" s="318"/>
      <c r="I126" s="358"/>
      <c r="J126" s="360"/>
      <c r="K126" s="371"/>
      <c r="L126" s="371"/>
      <c r="M126" s="371"/>
      <c r="N126" s="371"/>
      <c r="O126" s="371"/>
      <c r="P126" s="371"/>
      <c r="Q126" s="371"/>
      <c r="R126" s="372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</row>
    <row r="127" spans="1:31" s="48" customFormat="1" ht="19.5" customHeight="1">
      <c r="A127" s="130">
        <v>120</v>
      </c>
      <c r="B127" s="473"/>
      <c r="C127" s="313">
        <v>27</v>
      </c>
      <c r="D127" s="702" t="s">
        <v>489</v>
      </c>
      <c r="E127" s="924"/>
      <c r="F127" s="333"/>
      <c r="G127" s="318">
        <v>16537</v>
      </c>
      <c r="H127" s="318"/>
      <c r="I127" s="358"/>
      <c r="J127" s="360"/>
      <c r="K127" s="371"/>
      <c r="L127" s="371"/>
      <c r="M127" s="371"/>
      <c r="N127" s="371"/>
      <c r="O127" s="371"/>
      <c r="P127" s="371"/>
      <c r="Q127" s="371"/>
      <c r="R127" s="372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</row>
    <row r="128" spans="1:31" s="48" customFormat="1" ht="18" customHeight="1">
      <c r="A128" s="130">
        <v>121</v>
      </c>
      <c r="B128" s="473"/>
      <c r="C128" s="317">
        <v>29</v>
      </c>
      <c r="D128" s="702" t="s">
        <v>502</v>
      </c>
      <c r="E128" s="702"/>
      <c r="F128" s="463"/>
      <c r="G128" s="318">
        <v>329</v>
      </c>
      <c r="H128" s="318"/>
      <c r="I128" s="358"/>
      <c r="J128" s="360"/>
      <c r="K128" s="371"/>
      <c r="L128" s="371"/>
      <c r="M128" s="371"/>
      <c r="N128" s="371"/>
      <c r="O128" s="371"/>
      <c r="P128" s="371"/>
      <c r="Q128" s="371"/>
      <c r="R128" s="372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</row>
    <row r="129" spans="1:31" s="48" customFormat="1" ht="30" customHeight="1">
      <c r="A129" s="130">
        <v>122</v>
      </c>
      <c r="B129" s="473"/>
      <c r="C129" s="313">
        <v>30</v>
      </c>
      <c r="D129" s="1653" t="s">
        <v>435</v>
      </c>
      <c r="E129" s="1654"/>
      <c r="F129" s="463"/>
      <c r="G129" s="318">
        <v>11</v>
      </c>
      <c r="H129" s="318"/>
      <c r="I129" s="358"/>
      <c r="J129" s="360"/>
      <c r="K129" s="371"/>
      <c r="L129" s="371"/>
      <c r="M129" s="371"/>
      <c r="N129" s="371"/>
      <c r="O129" s="371"/>
      <c r="P129" s="371"/>
      <c r="Q129" s="371"/>
      <c r="R129" s="372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</row>
    <row r="130" spans="1:31" s="48" customFormat="1" ht="18" customHeight="1">
      <c r="A130" s="130">
        <v>123</v>
      </c>
      <c r="B130" s="473"/>
      <c r="C130" s="317">
        <v>31</v>
      </c>
      <c r="D130" s="702" t="s">
        <v>496</v>
      </c>
      <c r="E130" s="702"/>
      <c r="F130" s="463"/>
      <c r="G130" s="318">
        <v>14897</v>
      </c>
      <c r="H130" s="318"/>
      <c r="I130" s="358">
        <v>16</v>
      </c>
      <c r="J130" s="360"/>
      <c r="K130" s="371"/>
      <c r="L130" s="371"/>
      <c r="M130" s="371"/>
      <c r="N130" s="371"/>
      <c r="O130" s="371"/>
      <c r="P130" s="371"/>
      <c r="Q130" s="371"/>
      <c r="R130" s="372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</row>
    <row r="131" spans="1:31" s="48" customFormat="1" ht="19.5" customHeight="1" thickBot="1">
      <c r="A131" s="130">
        <v>124</v>
      </c>
      <c r="B131" s="473"/>
      <c r="C131" s="313">
        <v>32</v>
      </c>
      <c r="D131" s="702" t="s">
        <v>518</v>
      </c>
      <c r="E131" s="1062"/>
      <c r="F131" s="703"/>
      <c r="G131" s="318"/>
      <c r="H131" s="318"/>
      <c r="I131" s="358">
        <v>250</v>
      </c>
      <c r="J131" s="360"/>
      <c r="K131" s="371"/>
      <c r="L131" s="371"/>
      <c r="M131" s="371"/>
      <c r="N131" s="371"/>
      <c r="O131" s="371"/>
      <c r="P131" s="371"/>
      <c r="Q131" s="371"/>
      <c r="R131" s="372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</row>
    <row r="132" spans="1:31" s="57" customFormat="1" ht="22.5" customHeight="1" thickTop="1">
      <c r="A132" s="130">
        <v>125</v>
      </c>
      <c r="B132" s="455"/>
      <c r="C132" s="1655" t="s">
        <v>483</v>
      </c>
      <c r="D132" s="1656"/>
      <c r="E132" s="1657"/>
      <c r="F132" s="895"/>
      <c r="G132" s="730">
        <f>SUM(G81:G131)</f>
        <v>1582989</v>
      </c>
      <c r="H132" s="730">
        <f>SUM(H81:H131)</f>
        <v>1675561</v>
      </c>
      <c r="I132" s="730">
        <f>SUM(I81:I131)</f>
        <v>1945752</v>
      </c>
      <c r="J132" s="733"/>
      <c r="K132" s="735"/>
      <c r="L132" s="735"/>
      <c r="M132" s="735"/>
      <c r="N132" s="735"/>
      <c r="O132" s="735"/>
      <c r="P132" s="735"/>
      <c r="Q132" s="735"/>
      <c r="R132" s="736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</row>
    <row r="133" spans="1:31" s="808" customFormat="1" ht="18" customHeight="1" thickBot="1">
      <c r="A133" s="130">
        <v>126</v>
      </c>
      <c r="B133" s="801"/>
      <c r="C133" s="844"/>
      <c r="D133" s="888"/>
      <c r="E133" s="902" t="s">
        <v>293</v>
      </c>
      <c r="F133" s="903"/>
      <c r="G133" s="847"/>
      <c r="H133" s="847"/>
      <c r="I133" s="890"/>
      <c r="J133" s="891">
        <f>SUM(K133:R133)</f>
        <v>1889184</v>
      </c>
      <c r="K133" s="904">
        <f>SUM(K83,K85,K87,K89,K91,K93,K95,K97,K99,K113,K115,K117,K119)+K111+K109+K107+K105+K103</f>
        <v>1327593</v>
      </c>
      <c r="L133" s="904">
        <f aca="true" t="shared" si="4" ref="L133:R133">SUM(L83,L85,L87,L89,L91,L93,L95,L97,L99,L113,L115,L117,L119)+L111+L109+L107+L105+L103</f>
        <v>220346</v>
      </c>
      <c r="M133" s="904">
        <f t="shared" si="4"/>
        <v>307239</v>
      </c>
      <c r="N133" s="904">
        <f t="shared" si="4"/>
        <v>0</v>
      </c>
      <c r="O133" s="904">
        <f t="shared" si="4"/>
        <v>0</v>
      </c>
      <c r="P133" s="904">
        <f t="shared" si="4"/>
        <v>34006</v>
      </c>
      <c r="Q133" s="904">
        <f t="shared" si="4"/>
        <v>0</v>
      </c>
      <c r="R133" s="904">
        <f t="shared" si="4"/>
        <v>0</v>
      </c>
      <c r="S133" s="901"/>
      <c r="T133" s="901"/>
      <c r="U133" s="901"/>
      <c r="V133" s="901"/>
      <c r="W133" s="901"/>
      <c r="X133" s="901"/>
      <c r="Y133" s="901"/>
      <c r="Z133" s="901"/>
      <c r="AA133" s="901"/>
      <c r="AB133" s="901"/>
      <c r="AC133" s="901"/>
      <c r="AD133" s="901"/>
      <c r="AE133" s="901"/>
    </row>
    <row r="134" spans="1:31" s="57" customFormat="1" ht="36" customHeight="1">
      <c r="A134" s="130">
        <v>127</v>
      </c>
      <c r="B134" s="1616" t="s">
        <v>13</v>
      </c>
      <c r="C134" s="1617"/>
      <c r="D134" s="1617"/>
      <c r="E134" s="1618"/>
      <c r="F134" s="896"/>
      <c r="G134" s="852">
        <f>SUM(G132,G79)</f>
        <v>8054296</v>
      </c>
      <c r="H134" s="852">
        <f>SUM(H132,H79)</f>
        <v>8038573</v>
      </c>
      <c r="I134" s="852">
        <f>SUM(I132,I79)</f>
        <v>9057932</v>
      </c>
      <c r="J134" s="897"/>
      <c r="K134" s="852"/>
      <c r="L134" s="852"/>
      <c r="M134" s="852"/>
      <c r="N134" s="852"/>
      <c r="O134" s="852"/>
      <c r="P134" s="852"/>
      <c r="Q134" s="852"/>
      <c r="R134" s="898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</row>
    <row r="135" spans="1:31" s="808" customFormat="1" ht="18" customHeight="1" thickBot="1">
      <c r="A135" s="130">
        <v>128</v>
      </c>
      <c r="B135" s="843"/>
      <c r="C135" s="844"/>
      <c r="D135" s="888"/>
      <c r="E135" s="902" t="s">
        <v>293</v>
      </c>
      <c r="F135" s="903"/>
      <c r="G135" s="847"/>
      <c r="H135" s="847"/>
      <c r="I135" s="890"/>
      <c r="J135" s="891">
        <f>SUM(K135:R135)</f>
        <v>8835002</v>
      </c>
      <c r="K135" s="904">
        <f aca="true" t="shared" si="5" ref="K135:R135">SUM(K133,K80)</f>
        <v>5077497</v>
      </c>
      <c r="L135" s="904">
        <f t="shared" si="5"/>
        <v>860098</v>
      </c>
      <c r="M135" s="904">
        <f t="shared" si="5"/>
        <v>2751198</v>
      </c>
      <c r="N135" s="904">
        <f t="shared" si="5"/>
        <v>0</v>
      </c>
      <c r="O135" s="904">
        <f t="shared" si="5"/>
        <v>0</v>
      </c>
      <c r="P135" s="904">
        <f t="shared" si="5"/>
        <v>146209</v>
      </c>
      <c r="Q135" s="904">
        <f t="shared" si="5"/>
        <v>0</v>
      </c>
      <c r="R135" s="905">
        <f t="shared" si="5"/>
        <v>0</v>
      </c>
      <c r="S135" s="901"/>
      <c r="T135" s="901"/>
      <c r="U135" s="901"/>
      <c r="V135" s="901"/>
      <c r="W135" s="901"/>
      <c r="X135" s="901"/>
      <c r="Y135" s="901"/>
      <c r="Z135" s="901"/>
      <c r="AA135" s="901"/>
      <c r="AB135" s="901"/>
      <c r="AC135" s="901"/>
      <c r="AD135" s="901"/>
      <c r="AE135" s="901"/>
    </row>
    <row r="136" spans="1:31" s="55" customFormat="1" ht="15" customHeight="1">
      <c r="A136" s="130">
        <v>129</v>
      </c>
      <c r="B136" s="1658" t="s">
        <v>158</v>
      </c>
      <c r="C136" s="1659"/>
      <c r="D136" s="1659"/>
      <c r="E136" s="1660"/>
      <c r="F136" s="475"/>
      <c r="G136" s="373"/>
      <c r="H136" s="373"/>
      <c r="I136" s="476"/>
      <c r="J136" s="377"/>
      <c r="K136" s="373"/>
      <c r="L136" s="373"/>
      <c r="M136" s="373"/>
      <c r="N136" s="373"/>
      <c r="O136" s="373"/>
      <c r="P136" s="373"/>
      <c r="Q136" s="373"/>
      <c r="R136" s="374"/>
      <c r="S136" s="277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1:31" s="55" customFormat="1" ht="15" customHeight="1">
      <c r="A137" s="130">
        <v>130</v>
      </c>
      <c r="B137" s="1647" t="s">
        <v>159</v>
      </c>
      <c r="C137" s="1648"/>
      <c r="D137" s="1648"/>
      <c r="E137" s="1649"/>
      <c r="F137" s="1649"/>
      <c r="G137" s="356">
        <f>SUM(G40:G62,G38,G28,G77)</f>
        <v>5457000</v>
      </c>
      <c r="H137" s="356">
        <f>SUM(H40:H62,H38,H28,H77)-H42-H48-H54-H60</f>
        <v>5482717</v>
      </c>
      <c r="I137" s="474">
        <f>SUM(I40:I62,I38,I28,I77)+I63</f>
        <v>5986699</v>
      </c>
      <c r="J137" s="376"/>
      <c r="K137" s="318"/>
      <c r="L137" s="318"/>
      <c r="M137" s="318"/>
      <c r="N137" s="318"/>
      <c r="O137" s="318"/>
      <c r="P137" s="318"/>
      <c r="Q137" s="318"/>
      <c r="R137" s="331"/>
      <c r="S137" s="277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</row>
    <row r="138" spans="1:31" s="869" customFormat="1" ht="15" customHeight="1">
      <c r="A138" s="130">
        <v>131</v>
      </c>
      <c r="B138" s="906"/>
      <c r="C138" s="907"/>
      <c r="D138" s="907"/>
      <c r="E138" s="863" t="s">
        <v>293</v>
      </c>
      <c r="F138" s="908"/>
      <c r="G138" s="909"/>
      <c r="H138" s="909"/>
      <c r="I138" s="925"/>
      <c r="J138" s="899">
        <f>SUM(K138:R138)</f>
        <v>6039998</v>
      </c>
      <c r="K138" s="899">
        <f aca="true" t="shared" si="6" ref="K138:R138">SUM(K29,K39,K41,K45,K47,K53,K57,K59,K62,K78,)+K64+K51</f>
        <v>3192947</v>
      </c>
      <c r="L138" s="899">
        <f t="shared" si="6"/>
        <v>561642</v>
      </c>
      <c r="M138" s="899">
        <f t="shared" si="6"/>
        <v>2177206</v>
      </c>
      <c r="N138" s="899">
        <f t="shared" si="6"/>
        <v>0</v>
      </c>
      <c r="O138" s="899">
        <f t="shared" si="6"/>
        <v>0</v>
      </c>
      <c r="P138" s="899">
        <f t="shared" si="6"/>
        <v>108203</v>
      </c>
      <c r="Q138" s="899">
        <f t="shared" si="6"/>
        <v>0</v>
      </c>
      <c r="R138" s="899">
        <f t="shared" si="6"/>
        <v>0</v>
      </c>
      <c r="S138" s="870"/>
      <c r="T138" s="868"/>
      <c r="U138" s="868"/>
      <c r="V138" s="868"/>
      <c r="W138" s="868"/>
      <c r="X138" s="868"/>
      <c r="Y138" s="868"/>
      <c r="Z138" s="868"/>
      <c r="AA138" s="868"/>
      <c r="AB138" s="868"/>
      <c r="AC138" s="868"/>
      <c r="AD138" s="868"/>
      <c r="AE138" s="868"/>
    </row>
    <row r="139" spans="1:31" s="55" customFormat="1" ht="15" customHeight="1">
      <c r="A139" s="130">
        <v>132</v>
      </c>
      <c r="B139" s="1647" t="s">
        <v>158</v>
      </c>
      <c r="C139" s="1648"/>
      <c r="D139" s="1648"/>
      <c r="E139" s="1649"/>
      <c r="F139" s="477"/>
      <c r="G139" s="356"/>
      <c r="H139" s="356"/>
      <c r="I139" s="474"/>
      <c r="J139" s="378"/>
      <c r="K139" s="356"/>
      <c r="L139" s="356"/>
      <c r="M139" s="356"/>
      <c r="N139" s="356"/>
      <c r="O139" s="356"/>
      <c r="P139" s="356"/>
      <c r="Q139" s="356"/>
      <c r="R139" s="366"/>
      <c r="S139" s="277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</row>
    <row r="140" spans="1:31" s="55" customFormat="1" ht="15" customHeight="1">
      <c r="A140" s="130">
        <v>133</v>
      </c>
      <c r="B140" s="1647" t="s">
        <v>160</v>
      </c>
      <c r="C140" s="1648"/>
      <c r="D140" s="1648"/>
      <c r="E140" s="1649"/>
      <c r="F140" s="1649"/>
      <c r="G140" s="356">
        <f>SUM(G65:G74)</f>
        <v>1014307</v>
      </c>
      <c r="H140" s="356">
        <f>SUM(H65:H74)</f>
        <v>880295</v>
      </c>
      <c r="I140" s="474">
        <f>SUM(I65:I74)</f>
        <v>1125481</v>
      </c>
      <c r="J140" s="378"/>
      <c r="K140" s="356"/>
      <c r="L140" s="356"/>
      <c r="M140" s="356"/>
      <c r="N140" s="356"/>
      <c r="O140" s="356"/>
      <c r="P140" s="356"/>
      <c r="Q140" s="356"/>
      <c r="R140" s="366"/>
      <c r="S140" s="277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</row>
    <row r="141" spans="1:31" s="869" customFormat="1" ht="15" customHeight="1">
      <c r="A141" s="130">
        <v>134</v>
      </c>
      <c r="B141" s="906"/>
      <c r="C141" s="907"/>
      <c r="D141" s="907"/>
      <c r="E141" s="863" t="s">
        <v>293</v>
      </c>
      <c r="F141" s="908"/>
      <c r="G141" s="909"/>
      <c r="H141" s="909"/>
      <c r="I141" s="910"/>
      <c r="J141" s="911">
        <f>SUM(K141:R141)</f>
        <v>905820</v>
      </c>
      <c r="K141" s="899">
        <f aca="true" t="shared" si="7" ref="K141:R141">SUM(K66,K68,K74)+K70+K72</f>
        <v>556957</v>
      </c>
      <c r="L141" s="899">
        <f t="shared" si="7"/>
        <v>78110</v>
      </c>
      <c r="M141" s="899">
        <f t="shared" si="7"/>
        <v>266753</v>
      </c>
      <c r="N141" s="899">
        <f t="shared" si="7"/>
        <v>0</v>
      </c>
      <c r="O141" s="899">
        <f t="shared" si="7"/>
        <v>0</v>
      </c>
      <c r="P141" s="899">
        <f t="shared" si="7"/>
        <v>4000</v>
      </c>
      <c r="Q141" s="899">
        <f t="shared" si="7"/>
        <v>0</v>
      </c>
      <c r="R141" s="899">
        <f t="shared" si="7"/>
        <v>0</v>
      </c>
      <c r="S141" s="870"/>
      <c r="T141" s="868"/>
      <c r="U141" s="868"/>
      <c r="V141" s="868"/>
      <c r="W141" s="868"/>
      <c r="X141" s="868"/>
      <c r="Y141" s="868"/>
      <c r="Z141" s="868"/>
      <c r="AA141" s="868"/>
      <c r="AB141" s="868"/>
      <c r="AC141" s="868"/>
      <c r="AD141" s="868"/>
      <c r="AE141" s="868"/>
    </row>
    <row r="142" spans="1:31" s="55" customFormat="1" ht="15" customHeight="1">
      <c r="A142" s="130">
        <v>135</v>
      </c>
      <c r="B142" s="1647" t="s">
        <v>158</v>
      </c>
      <c r="C142" s="1648"/>
      <c r="D142" s="1648"/>
      <c r="E142" s="1649"/>
      <c r="F142" s="477"/>
      <c r="G142" s="356"/>
      <c r="H142" s="356"/>
      <c r="I142" s="474"/>
      <c r="J142" s="378"/>
      <c r="K142" s="371"/>
      <c r="L142" s="371"/>
      <c r="M142" s="371"/>
      <c r="N142" s="371"/>
      <c r="O142" s="371"/>
      <c r="P142" s="371"/>
      <c r="Q142" s="371"/>
      <c r="R142" s="372"/>
      <c r="S142" s="277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</row>
    <row r="143" spans="1:31" s="55" customFormat="1" ht="15" customHeight="1">
      <c r="A143" s="130">
        <v>136</v>
      </c>
      <c r="B143" s="1650" t="s">
        <v>161</v>
      </c>
      <c r="C143" s="1651"/>
      <c r="D143" s="1651"/>
      <c r="E143" s="1652"/>
      <c r="F143" s="1652"/>
      <c r="G143" s="354">
        <f>SUM(G132)</f>
        <v>1582989</v>
      </c>
      <c r="H143" s="354">
        <f>SUM(H132)</f>
        <v>1675561</v>
      </c>
      <c r="I143" s="478">
        <f>SUM(I132)</f>
        <v>1945752</v>
      </c>
      <c r="J143" s="378"/>
      <c r="K143" s="356"/>
      <c r="L143" s="356"/>
      <c r="M143" s="356"/>
      <c r="N143" s="356"/>
      <c r="O143" s="356"/>
      <c r="P143" s="356"/>
      <c r="Q143" s="356"/>
      <c r="R143" s="366"/>
      <c r="S143" s="277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</row>
    <row r="144" spans="1:31" s="918" customFormat="1" ht="15" customHeight="1" thickBot="1">
      <c r="A144" s="130">
        <v>137</v>
      </c>
      <c r="B144" s="912"/>
      <c r="C144" s="913"/>
      <c r="D144" s="913"/>
      <c r="E144" s="889" t="s">
        <v>293</v>
      </c>
      <c r="F144" s="914"/>
      <c r="G144" s="915"/>
      <c r="H144" s="915"/>
      <c r="I144" s="916"/>
      <c r="J144" s="917">
        <f>SUM(K144:R144)</f>
        <v>1889184</v>
      </c>
      <c r="K144" s="904">
        <f>K133</f>
        <v>1327593</v>
      </c>
      <c r="L144" s="904">
        <f aca="true" t="shared" si="8" ref="L144:R144">L133</f>
        <v>220346</v>
      </c>
      <c r="M144" s="904">
        <f t="shared" si="8"/>
        <v>307239</v>
      </c>
      <c r="N144" s="904">
        <f t="shared" si="8"/>
        <v>0</v>
      </c>
      <c r="O144" s="904">
        <f t="shared" si="8"/>
        <v>0</v>
      </c>
      <c r="P144" s="904">
        <f t="shared" si="8"/>
        <v>34006</v>
      </c>
      <c r="Q144" s="904">
        <f t="shared" si="8"/>
        <v>0</v>
      </c>
      <c r="R144" s="905">
        <f t="shared" si="8"/>
        <v>0</v>
      </c>
      <c r="S144" s="884"/>
      <c r="T144" s="884"/>
      <c r="U144" s="884"/>
      <c r="V144" s="884"/>
      <c r="W144" s="884"/>
      <c r="X144" s="884"/>
      <c r="Y144" s="884"/>
      <c r="Z144" s="884"/>
      <c r="AA144" s="884"/>
      <c r="AB144" s="884"/>
      <c r="AC144" s="884"/>
      <c r="AD144" s="884"/>
      <c r="AE144" s="884"/>
    </row>
    <row r="145" spans="1:31" s="921" customFormat="1" ht="18" customHeight="1">
      <c r="A145" s="919"/>
      <c r="B145" s="923" t="s">
        <v>27</v>
      </c>
      <c r="C145" s="923"/>
      <c r="D145" s="923"/>
      <c r="E145" s="920"/>
      <c r="F145" s="556"/>
      <c r="G145" s="557"/>
      <c r="H145" s="557"/>
      <c r="I145" s="557"/>
      <c r="J145" s="558"/>
      <c r="K145" s="557"/>
      <c r="L145" s="557"/>
      <c r="M145" s="557"/>
      <c r="N145" s="557"/>
      <c r="O145" s="557"/>
      <c r="P145" s="557"/>
      <c r="Q145" s="557"/>
      <c r="R145" s="557"/>
      <c r="S145" s="1063"/>
      <c r="T145" s="1063"/>
      <c r="U145" s="1063"/>
      <c r="V145" s="1063"/>
      <c r="W145" s="1063"/>
      <c r="X145" s="1063"/>
      <c r="Y145" s="1063"/>
      <c r="Z145" s="1063"/>
      <c r="AA145" s="1063"/>
      <c r="AB145" s="1063"/>
      <c r="AC145" s="1063"/>
      <c r="AD145" s="1063"/>
      <c r="AE145" s="1063"/>
    </row>
    <row r="146" spans="1:31" s="154" customFormat="1" ht="18" customHeight="1">
      <c r="A146" s="919"/>
      <c r="B146" s="922" t="s">
        <v>28</v>
      </c>
      <c r="C146" s="922"/>
      <c r="D146" s="922"/>
      <c r="E146" s="54"/>
      <c r="F146" s="54"/>
      <c r="G146" s="54"/>
      <c r="H146" s="54"/>
      <c r="I146" s="54"/>
      <c r="J146" s="54"/>
      <c r="K146" s="115"/>
      <c r="L146" s="115"/>
      <c r="M146" s="115"/>
      <c r="N146" s="115"/>
      <c r="O146" s="115"/>
      <c r="P146" s="115"/>
      <c r="Q146" s="115"/>
      <c r="R146" s="115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</row>
    <row r="147" spans="1:31" s="53" customFormat="1" ht="18" customHeight="1">
      <c r="A147" s="919"/>
      <c r="B147" s="922" t="s">
        <v>29</v>
      </c>
      <c r="C147" s="922"/>
      <c r="D147" s="922"/>
      <c r="E147" s="54"/>
      <c r="F147" s="461"/>
      <c r="G147" s="115"/>
      <c r="H147" s="115"/>
      <c r="I147" s="115"/>
      <c r="J147" s="653"/>
      <c r="K147" s="115"/>
      <c r="L147" s="115"/>
      <c r="M147" s="115"/>
      <c r="N147" s="115"/>
      <c r="O147" s="115"/>
      <c r="P147" s="115"/>
      <c r="Q147" s="115"/>
      <c r="R147" s="115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</row>
    <row r="148" spans="7:18" ht="15">
      <c r="G148" s="273">
        <f>+G134-G137-G140-G143</f>
        <v>0</v>
      </c>
      <c r="H148" s="273">
        <f>+H134-H137-H140-H143</f>
        <v>0</v>
      </c>
      <c r="I148" s="273">
        <f>+I134-I137-I140-I143</f>
        <v>0</v>
      </c>
      <c r="J148" s="156">
        <f>+J135-J138-J141-J144</f>
        <v>0</v>
      </c>
      <c r="K148" s="156">
        <f>+K135-K138-K141-K144</f>
        <v>0</v>
      </c>
      <c r="L148" s="156">
        <f aca="true" t="shared" si="9" ref="L148:R148">+L135-L138-L141-L144</f>
        <v>0</v>
      </c>
      <c r="M148" s="156">
        <f t="shared" si="9"/>
        <v>0</v>
      </c>
      <c r="N148" s="156">
        <f t="shared" si="9"/>
        <v>0</v>
      </c>
      <c r="O148" s="156">
        <f t="shared" si="9"/>
        <v>0</v>
      </c>
      <c r="P148" s="156">
        <f t="shared" si="9"/>
        <v>0</v>
      </c>
      <c r="Q148" s="156">
        <f t="shared" si="9"/>
        <v>0</v>
      </c>
      <c r="R148" s="156">
        <f t="shared" si="9"/>
        <v>0</v>
      </c>
    </row>
    <row r="149" spans="7:10" ht="15">
      <c r="G149" s="273">
        <f>+G134-'2.Onki'!G7</f>
        <v>0</v>
      </c>
      <c r="H149" s="273">
        <f>+H134-'2.Onki'!H7</f>
        <v>0</v>
      </c>
      <c r="J149" s="156">
        <f>+J135-'2.Onki'!J7</f>
        <v>0</v>
      </c>
    </row>
  </sheetData>
  <sheetProtection/>
  <mergeCells count="38">
    <mergeCell ref="D26:E26"/>
    <mergeCell ref="B1:G1"/>
    <mergeCell ref="B2:R2"/>
    <mergeCell ref="B3:R3"/>
    <mergeCell ref="Q4:R4"/>
    <mergeCell ref="D5:E5"/>
    <mergeCell ref="B6:B7"/>
    <mergeCell ref="C6:C7"/>
    <mergeCell ref="K6:O6"/>
    <mergeCell ref="P6:R6"/>
    <mergeCell ref="D6:E7"/>
    <mergeCell ref="F6:F7"/>
    <mergeCell ref="G6:G7"/>
    <mergeCell ref="H6:H7"/>
    <mergeCell ref="I6:I7"/>
    <mergeCell ref="J6:J7"/>
    <mergeCell ref="D125:E125"/>
    <mergeCell ref="C28:E28"/>
    <mergeCell ref="C38:E38"/>
    <mergeCell ref="D62:E62"/>
    <mergeCell ref="D69:E69"/>
    <mergeCell ref="C75:E75"/>
    <mergeCell ref="B79:E79"/>
    <mergeCell ref="D120:E120"/>
    <mergeCell ref="D90:E90"/>
    <mergeCell ref="D122:E122"/>
    <mergeCell ref="D94:E94"/>
    <mergeCell ref="D110:E110"/>
    <mergeCell ref="D92:E92"/>
    <mergeCell ref="B139:E139"/>
    <mergeCell ref="B140:F140"/>
    <mergeCell ref="B142:E142"/>
    <mergeCell ref="B143:F143"/>
    <mergeCell ref="D129:E129"/>
    <mergeCell ref="C132:E132"/>
    <mergeCell ref="B134:E134"/>
    <mergeCell ref="B136:E136"/>
    <mergeCell ref="B137:F13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0"/>
  <sheetViews>
    <sheetView view="pageBreakPreview" zoomScaleSheetLayoutView="100" zoomScalePageLayoutView="0" workbookViewId="0" topLeftCell="A1">
      <pane ySplit="7" topLeftCell="A92" activePane="bottomLeft" state="frozen"/>
      <selection pane="topLeft" activeCell="B1" sqref="B1:F1"/>
      <selection pane="bottomLeft" activeCell="B3" sqref="B3:I3"/>
    </sheetView>
  </sheetViews>
  <sheetFormatPr defaultColWidth="9.00390625" defaultRowHeight="12.75"/>
  <cols>
    <col min="1" max="1" width="3.75390625" style="947" customWidth="1"/>
    <col min="2" max="2" width="5.75390625" style="936" customWidth="1"/>
    <col min="3" max="3" width="5.75390625" style="937" customWidth="1"/>
    <col min="4" max="4" width="59.75390625" style="938" customWidth="1"/>
    <col min="5" max="5" width="6.75390625" style="939" customWidth="1"/>
    <col min="6" max="7" width="13.75390625" style="985" customWidth="1"/>
    <col min="8" max="8" width="13.75390625" style="940" customWidth="1"/>
    <col min="9" max="9" width="15.75390625" style="940" customWidth="1"/>
    <col min="10" max="16384" width="9.125" style="942" customWidth="1"/>
  </cols>
  <sheetData>
    <row r="1" spans="1:247" s="934" customFormat="1" ht="18" customHeight="1">
      <c r="A1" s="1066"/>
      <c r="B1" s="1686" t="s">
        <v>645</v>
      </c>
      <c r="C1" s="1686"/>
      <c r="D1" s="1686"/>
      <c r="E1" s="1067"/>
      <c r="F1" s="1068"/>
      <c r="G1" s="1068"/>
      <c r="H1" s="1069"/>
      <c r="I1" s="933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  <c r="AJ1" s="1070"/>
      <c r="AK1" s="1070"/>
      <c r="AL1" s="1070"/>
      <c r="AM1" s="1070"/>
      <c r="AN1" s="1070"/>
      <c r="AO1" s="1070"/>
      <c r="AP1" s="1070"/>
      <c r="AQ1" s="1070"/>
      <c r="AR1" s="1070"/>
      <c r="AS1" s="1070"/>
      <c r="AT1" s="1070"/>
      <c r="AU1" s="1070"/>
      <c r="AV1" s="1070"/>
      <c r="AW1" s="1070"/>
      <c r="AX1" s="1070"/>
      <c r="AY1" s="1070"/>
      <c r="AZ1" s="1070"/>
      <c r="BA1" s="1070"/>
      <c r="BB1" s="1070"/>
      <c r="BC1" s="1070"/>
      <c r="BD1" s="1070"/>
      <c r="BE1" s="1070"/>
      <c r="BF1" s="1070"/>
      <c r="BG1" s="1070"/>
      <c r="BH1" s="1070"/>
      <c r="BI1" s="1070"/>
      <c r="BJ1" s="1070"/>
      <c r="BK1" s="1070"/>
      <c r="BL1" s="1070"/>
      <c r="BM1" s="1070"/>
      <c r="BN1" s="1070"/>
      <c r="BO1" s="1070"/>
      <c r="BP1" s="1070"/>
      <c r="BQ1" s="1070"/>
      <c r="BR1" s="1070"/>
      <c r="BS1" s="1070"/>
      <c r="BT1" s="1070"/>
      <c r="BU1" s="1070"/>
      <c r="BV1" s="1070"/>
      <c r="BW1" s="1070"/>
      <c r="BX1" s="1070"/>
      <c r="BY1" s="1070"/>
      <c r="BZ1" s="1070"/>
      <c r="CA1" s="1070"/>
      <c r="CB1" s="1070"/>
      <c r="CC1" s="1070"/>
      <c r="CD1" s="1070"/>
      <c r="CE1" s="1070"/>
      <c r="CF1" s="1070"/>
      <c r="CG1" s="1070"/>
      <c r="CH1" s="1070"/>
      <c r="CI1" s="1070"/>
      <c r="CJ1" s="1070"/>
      <c r="CK1" s="1070"/>
      <c r="CL1" s="1070"/>
      <c r="CM1" s="1070"/>
      <c r="CN1" s="1070"/>
      <c r="CO1" s="1070"/>
      <c r="CP1" s="1070"/>
      <c r="CQ1" s="1070"/>
      <c r="CR1" s="1070"/>
      <c r="CS1" s="1070"/>
      <c r="CT1" s="1070"/>
      <c r="CU1" s="1070"/>
      <c r="CV1" s="1070"/>
      <c r="CW1" s="1070"/>
      <c r="CX1" s="1070"/>
      <c r="CY1" s="1070"/>
      <c r="CZ1" s="1070"/>
      <c r="DA1" s="1070"/>
      <c r="DB1" s="1070"/>
      <c r="DC1" s="1070"/>
      <c r="DD1" s="1070"/>
      <c r="DE1" s="1070"/>
      <c r="DF1" s="1070"/>
      <c r="DG1" s="1070"/>
      <c r="DH1" s="1070"/>
      <c r="DI1" s="1070"/>
      <c r="DJ1" s="1070"/>
      <c r="DK1" s="1070"/>
      <c r="DL1" s="1070"/>
      <c r="DM1" s="1070"/>
      <c r="DN1" s="1070"/>
      <c r="DO1" s="1070"/>
      <c r="DP1" s="1070"/>
      <c r="DQ1" s="1070"/>
      <c r="DR1" s="1070"/>
      <c r="DS1" s="1070"/>
      <c r="DT1" s="1070"/>
      <c r="DU1" s="1070"/>
      <c r="DV1" s="1070"/>
      <c r="DW1" s="1070"/>
      <c r="DX1" s="1070"/>
      <c r="DY1" s="1070"/>
      <c r="DZ1" s="1070"/>
      <c r="EA1" s="1070"/>
      <c r="EB1" s="1070"/>
      <c r="EC1" s="1070"/>
      <c r="ED1" s="1070"/>
      <c r="EE1" s="1070"/>
      <c r="EF1" s="1070"/>
      <c r="EG1" s="1070"/>
      <c r="EH1" s="1070"/>
      <c r="EI1" s="1070"/>
      <c r="EJ1" s="1070"/>
      <c r="EK1" s="1070"/>
      <c r="EL1" s="1070"/>
      <c r="EM1" s="1070"/>
      <c r="EN1" s="1070"/>
      <c r="EO1" s="1070"/>
      <c r="EP1" s="1070"/>
      <c r="EQ1" s="1070"/>
      <c r="ER1" s="1070"/>
      <c r="ES1" s="1070"/>
      <c r="ET1" s="1070"/>
      <c r="EU1" s="1070"/>
      <c r="EV1" s="1070"/>
      <c r="EW1" s="1070"/>
      <c r="EX1" s="1070"/>
      <c r="EY1" s="1070"/>
      <c r="EZ1" s="1070"/>
      <c r="FA1" s="1070"/>
      <c r="FB1" s="1070"/>
      <c r="FC1" s="1070"/>
      <c r="FD1" s="1070"/>
      <c r="FE1" s="1070"/>
      <c r="FF1" s="1070"/>
      <c r="FG1" s="1070"/>
      <c r="FH1" s="1070"/>
      <c r="FI1" s="1070"/>
      <c r="FJ1" s="1070"/>
      <c r="FK1" s="1070"/>
      <c r="FL1" s="1070"/>
      <c r="FM1" s="1070"/>
      <c r="FN1" s="1070"/>
      <c r="FO1" s="1070"/>
      <c r="FP1" s="1070"/>
      <c r="FQ1" s="1070"/>
      <c r="FR1" s="1070"/>
      <c r="FS1" s="1070"/>
      <c r="FT1" s="1070"/>
      <c r="FU1" s="1070"/>
      <c r="FV1" s="1070"/>
      <c r="FW1" s="1070"/>
      <c r="FX1" s="1070"/>
      <c r="FY1" s="1070"/>
      <c r="FZ1" s="1070"/>
      <c r="GA1" s="1070"/>
      <c r="GB1" s="1070"/>
      <c r="GC1" s="1070"/>
      <c r="GD1" s="1070"/>
      <c r="GE1" s="1070"/>
      <c r="GF1" s="1070"/>
      <c r="GG1" s="1070"/>
      <c r="GH1" s="1070"/>
      <c r="GI1" s="1070"/>
      <c r="GJ1" s="1070"/>
      <c r="GK1" s="1070"/>
      <c r="GL1" s="1070"/>
      <c r="GM1" s="1070"/>
      <c r="GN1" s="1070"/>
      <c r="GO1" s="1070"/>
      <c r="GP1" s="1070"/>
      <c r="GQ1" s="1070"/>
      <c r="GR1" s="1070"/>
      <c r="GS1" s="1070"/>
      <c r="GT1" s="1070"/>
      <c r="GU1" s="1070"/>
      <c r="GV1" s="1070"/>
      <c r="GW1" s="1070"/>
      <c r="GX1" s="1070"/>
      <c r="GY1" s="1070"/>
      <c r="GZ1" s="1070"/>
      <c r="HA1" s="1070"/>
      <c r="HB1" s="1070"/>
      <c r="HC1" s="1070"/>
      <c r="HD1" s="1070"/>
      <c r="HE1" s="1070"/>
      <c r="HF1" s="1070"/>
      <c r="HG1" s="1070"/>
      <c r="HH1" s="1070"/>
      <c r="HI1" s="1070"/>
      <c r="HJ1" s="1070"/>
      <c r="HK1" s="1070"/>
      <c r="HL1" s="1070"/>
      <c r="HM1" s="1070"/>
      <c r="HN1" s="1070"/>
      <c r="HO1" s="1070"/>
      <c r="HP1" s="1070"/>
      <c r="HQ1" s="1070"/>
      <c r="HR1" s="1070"/>
      <c r="HS1" s="1070"/>
      <c r="HT1" s="1070"/>
      <c r="HU1" s="1070"/>
      <c r="HV1" s="1070"/>
      <c r="HW1" s="1070"/>
      <c r="HX1" s="1070"/>
      <c r="HY1" s="1070"/>
      <c r="HZ1" s="1070"/>
      <c r="IA1" s="1070"/>
      <c r="IB1" s="1070"/>
      <c r="IC1" s="1070"/>
      <c r="ID1" s="1070"/>
      <c r="IE1" s="1070"/>
      <c r="IF1" s="1070"/>
      <c r="IG1" s="1070"/>
      <c r="IH1" s="1070"/>
      <c r="II1" s="1070"/>
      <c r="IJ1" s="1070"/>
      <c r="IK1" s="1070"/>
      <c r="IL1" s="1070"/>
      <c r="IM1" s="1070"/>
    </row>
    <row r="2" spans="1:9" s="934" customFormat="1" ht="24.75" customHeight="1">
      <c r="A2" s="935"/>
      <c r="B2" s="1687" t="s">
        <v>133</v>
      </c>
      <c r="C2" s="1687"/>
      <c r="D2" s="1687"/>
      <c r="E2" s="1687"/>
      <c r="F2" s="1687"/>
      <c r="G2" s="1687"/>
      <c r="H2" s="1687"/>
      <c r="I2" s="1687"/>
    </row>
    <row r="3" spans="1:9" s="934" customFormat="1" ht="24.75" customHeight="1">
      <c r="A3" s="935"/>
      <c r="B3" s="1688" t="s">
        <v>669</v>
      </c>
      <c r="C3" s="1688"/>
      <c r="D3" s="1688"/>
      <c r="E3" s="1688"/>
      <c r="F3" s="1688"/>
      <c r="G3" s="1688"/>
      <c r="H3" s="1688"/>
      <c r="I3" s="1688"/>
    </row>
    <row r="4" spans="1:9" ht="18" customHeight="1">
      <c r="A4" s="936"/>
      <c r="I4" s="941" t="s">
        <v>0</v>
      </c>
    </row>
    <row r="5" spans="1:247" s="946" customFormat="1" ht="18" customHeight="1" thickBot="1">
      <c r="A5" s="943"/>
      <c r="B5" s="944" t="s">
        <v>1</v>
      </c>
      <c r="C5" s="945" t="s">
        <v>3</v>
      </c>
      <c r="D5" s="945" t="s">
        <v>2</v>
      </c>
      <c r="E5" s="945" t="s">
        <v>4</v>
      </c>
      <c r="F5" s="945" t="s">
        <v>5</v>
      </c>
      <c r="G5" s="945" t="s">
        <v>15</v>
      </c>
      <c r="H5" s="945" t="s">
        <v>16</v>
      </c>
      <c r="I5" s="945" t="s">
        <v>17</v>
      </c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N5" s="943"/>
      <c r="AO5" s="943"/>
      <c r="AP5" s="943"/>
      <c r="AQ5" s="943"/>
      <c r="AR5" s="943"/>
      <c r="AS5" s="943"/>
      <c r="AT5" s="943"/>
      <c r="AU5" s="943"/>
      <c r="AV5" s="943"/>
      <c r="AW5" s="943"/>
      <c r="AX5" s="943"/>
      <c r="AY5" s="943"/>
      <c r="AZ5" s="943"/>
      <c r="BA5" s="943"/>
      <c r="BB5" s="943"/>
      <c r="BC5" s="943"/>
      <c r="BD5" s="943"/>
      <c r="BE5" s="943"/>
      <c r="BF5" s="943"/>
      <c r="BG5" s="943"/>
      <c r="BH5" s="943"/>
      <c r="BI5" s="943"/>
      <c r="BJ5" s="943"/>
      <c r="BK5" s="943"/>
      <c r="BL5" s="943"/>
      <c r="BM5" s="943"/>
      <c r="BN5" s="943"/>
      <c r="BO5" s="943"/>
      <c r="BP5" s="943"/>
      <c r="BQ5" s="943"/>
      <c r="BR5" s="943"/>
      <c r="BS5" s="943"/>
      <c r="BT5" s="943"/>
      <c r="BU5" s="943"/>
      <c r="BV5" s="943"/>
      <c r="BW5" s="943"/>
      <c r="BX5" s="943"/>
      <c r="BY5" s="943"/>
      <c r="BZ5" s="943"/>
      <c r="CA5" s="943"/>
      <c r="CB5" s="943"/>
      <c r="CC5" s="943"/>
      <c r="CD5" s="943"/>
      <c r="CE5" s="943"/>
      <c r="CF5" s="943"/>
      <c r="CG5" s="943"/>
      <c r="CH5" s="943"/>
      <c r="CI5" s="943"/>
      <c r="CJ5" s="943"/>
      <c r="CK5" s="943"/>
      <c r="CL5" s="943"/>
      <c r="CM5" s="943"/>
      <c r="CN5" s="943"/>
      <c r="CO5" s="943"/>
      <c r="CP5" s="943"/>
      <c r="CQ5" s="943"/>
      <c r="CR5" s="943"/>
      <c r="CS5" s="943"/>
      <c r="CT5" s="943"/>
      <c r="CU5" s="943"/>
      <c r="CV5" s="943"/>
      <c r="CW5" s="943"/>
      <c r="CX5" s="943"/>
      <c r="CY5" s="943"/>
      <c r="CZ5" s="943"/>
      <c r="DA5" s="943"/>
      <c r="DB5" s="943"/>
      <c r="DC5" s="943"/>
      <c r="DD5" s="943"/>
      <c r="DE5" s="943"/>
      <c r="DF5" s="943"/>
      <c r="DG5" s="943"/>
      <c r="DH5" s="943"/>
      <c r="DI5" s="943"/>
      <c r="DJ5" s="943"/>
      <c r="DK5" s="943"/>
      <c r="DL5" s="943"/>
      <c r="DM5" s="943"/>
      <c r="DN5" s="943"/>
      <c r="DO5" s="943"/>
      <c r="DP5" s="943"/>
      <c r="DQ5" s="943"/>
      <c r="DR5" s="943"/>
      <c r="DS5" s="943"/>
      <c r="DT5" s="943"/>
      <c r="DU5" s="943"/>
      <c r="DV5" s="943"/>
      <c r="DW5" s="943"/>
      <c r="DX5" s="943"/>
      <c r="DY5" s="943"/>
      <c r="DZ5" s="943"/>
      <c r="EA5" s="943"/>
      <c r="EB5" s="943"/>
      <c r="EC5" s="943"/>
      <c r="ED5" s="943"/>
      <c r="EE5" s="943"/>
      <c r="EF5" s="943"/>
      <c r="EG5" s="943"/>
      <c r="EH5" s="943"/>
      <c r="EI5" s="943"/>
      <c r="EJ5" s="943"/>
      <c r="EK5" s="943"/>
      <c r="EL5" s="943"/>
      <c r="EM5" s="943"/>
      <c r="EN5" s="943"/>
      <c r="EO5" s="943"/>
      <c r="EP5" s="943"/>
      <c r="EQ5" s="943"/>
      <c r="ER5" s="943"/>
      <c r="ES5" s="943"/>
      <c r="ET5" s="943"/>
      <c r="EU5" s="943"/>
      <c r="EV5" s="943"/>
      <c r="EW5" s="943"/>
      <c r="EX5" s="943"/>
      <c r="EY5" s="943"/>
      <c r="EZ5" s="943"/>
      <c r="FA5" s="943"/>
      <c r="FB5" s="943"/>
      <c r="FC5" s="943"/>
      <c r="FD5" s="943"/>
      <c r="FE5" s="943"/>
      <c r="FF5" s="943"/>
      <c r="FG5" s="943"/>
      <c r="FH5" s="943"/>
      <c r="FI5" s="943"/>
      <c r="FJ5" s="943"/>
      <c r="FK5" s="943"/>
      <c r="FL5" s="943"/>
      <c r="FM5" s="943"/>
      <c r="FN5" s="943"/>
      <c r="FO5" s="943"/>
      <c r="FP5" s="943"/>
      <c r="FQ5" s="943"/>
      <c r="FR5" s="943"/>
      <c r="FS5" s="943"/>
      <c r="FT5" s="943"/>
      <c r="FU5" s="943"/>
      <c r="FV5" s="943"/>
      <c r="FW5" s="943"/>
      <c r="FX5" s="943"/>
      <c r="FY5" s="943"/>
      <c r="FZ5" s="943"/>
      <c r="GA5" s="943"/>
      <c r="GB5" s="943"/>
      <c r="GC5" s="943"/>
      <c r="GD5" s="943"/>
      <c r="GE5" s="943"/>
      <c r="GF5" s="943"/>
      <c r="GG5" s="943"/>
      <c r="GH5" s="943"/>
      <c r="GI5" s="943"/>
      <c r="GJ5" s="943"/>
      <c r="GK5" s="943"/>
      <c r="GL5" s="943"/>
      <c r="GM5" s="943"/>
      <c r="GN5" s="943"/>
      <c r="GO5" s="943"/>
      <c r="GP5" s="943"/>
      <c r="GQ5" s="943"/>
      <c r="GR5" s="943"/>
      <c r="GS5" s="943"/>
      <c r="GT5" s="943"/>
      <c r="GU5" s="943"/>
      <c r="GV5" s="943"/>
      <c r="GW5" s="943"/>
      <c r="GX5" s="943"/>
      <c r="GY5" s="943"/>
      <c r="GZ5" s="943"/>
      <c r="HA5" s="943"/>
      <c r="HB5" s="943"/>
      <c r="HC5" s="943"/>
      <c r="HD5" s="943"/>
      <c r="HE5" s="943"/>
      <c r="HF5" s="943"/>
      <c r="HG5" s="943"/>
      <c r="HH5" s="943"/>
      <c r="HI5" s="943"/>
      <c r="HJ5" s="943"/>
      <c r="HK5" s="943"/>
      <c r="HL5" s="943"/>
      <c r="HM5" s="943"/>
      <c r="HN5" s="943"/>
      <c r="HO5" s="943"/>
      <c r="HP5" s="943"/>
      <c r="HQ5" s="943"/>
      <c r="HR5" s="943"/>
      <c r="HS5" s="943"/>
      <c r="HT5" s="943"/>
      <c r="HU5" s="943"/>
      <c r="HV5" s="943"/>
      <c r="HW5" s="943"/>
      <c r="HX5" s="943"/>
      <c r="HY5" s="943"/>
      <c r="HZ5" s="943"/>
      <c r="IA5" s="943"/>
      <c r="IB5" s="943"/>
      <c r="IC5" s="943"/>
      <c r="ID5" s="943"/>
      <c r="IE5" s="943"/>
      <c r="IF5" s="943"/>
      <c r="IG5" s="943"/>
      <c r="IH5" s="943"/>
      <c r="II5" s="943"/>
      <c r="IJ5" s="943"/>
      <c r="IK5" s="943"/>
      <c r="IL5" s="943"/>
      <c r="IM5" s="943"/>
    </row>
    <row r="6" spans="2:9" ht="30" customHeight="1">
      <c r="B6" s="1689" t="s">
        <v>18</v>
      </c>
      <c r="C6" s="1691" t="s">
        <v>19</v>
      </c>
      <c r="D6" s="1693" t="s">
        <v>6</v>
      </c>
      <c r="E6" s="1695" t="s">
        <v>286</v>
      </c>
      <c r="F6" s="1697" t="s">
        <v>667</v>
      </c>
      <c r="G6" s="1697" t="s">
        <v>661</v>
      </c>
      <c r="H6" s="1697" t="s">
        <v>662</v>
      </c>
      <c r="I6" s="1699" t="s">
        <v>668</v>
      </c>
    </row>
    <row r="7" spans="2:9" ht="60.75" customHeight="1" thickBot="1">
      <c r="B7" s="1690"/>
      <c r="C7" s="1692"/>
      <c r="D7" s="1694"/>
      <c r="E7" s="1696"/>
      <c r="F7" s="1698"/>
      <c r="G7" s="1698"/>
      <c r="H7" s="1698"/>
      <c r="I7" s="1700"/>
    </row>
    <row r="8" spans="1:9" s="1224" customFormat="1" ht="22.5" customHeight="1">
      <c r="A8" s="1215">
        <v>1</v>
      </c>
      <c r="B8" s="1216">
        <v>1</v>
      </c>
      <c r="C8" s="1217" t="s">
        <v>296</v>
      </c>
      <c r="D8" s="1218"/>
      <c r="E8" s="1219" t="s">
        <v>23</v>
      </c>
      <c r="F8" s="1220">
        <v>3100</v>
      </c>
      <c r="G8" s="1221">
        <v>510</v>
      </c>
      <c r="H8" s="1222">
        <f>502+658</f>
        <v>1160</v>
      </c>
      <c r="I8" s="1223"/>
    </row>
    <row r="9" spans="1:9" s="1232" customFormat="1" ht="30">
      <c r="A9" s="1225">
        <v>2</v>
      </c>
      <c r="B9" s="1216"/>
      <c r="C9" s="1226">
        <v>1</v>
      </c>
      <c r="D9" s="1227" t="s">
        <v>826</v>
      </c>
      <c r="E9" s="1219"/>
      <c r="F9" s="1228"/>
      <c r="G9" s="1229"/>
      <c r="H9" s="1230"/>
      <c r="I9" s="1231">
        <f>30+65+77+90+903</f>
        <v>1165</v>
      </c>
    </row>
    <row r="10" spans="1:9" s="1232" customFormat="1" ht="18" customHeight="1">
      <c r="A10" s="1215">
        <v>3</v>
      </c>
      <c r="B10" s="1216"/>
      <c r="C10" s="1233">
        <v>2</v>
      </c>
      <c r="D10" s="1234" t="s">
        <v>682</v>
      </c>
      <c r="E10" s="1219"/>
      <c r="F10" s="1228"/>
      <c r="G10" s="1229"/>
      <c r="H10" s="1230"/>
      <c r="I10" s="1231">
        <v>400</v>
      </c>
    </row>
    <row r="11" spans="1:9" s="1232" customFormat="1" ht="18" customHeight="1">
      <c r="A11" s="1215">
        <v>4</v>
      </c>
      <c r="B11" s="1216"/>
      <c r="C11" s="1233">
        <v>3</v>
      </c>
      <c r="D11" s="1234" t="s">
        <v>683</v>
      </c>
      <c r="E11" s="1219"/>
      <c r="F11" s="1228"/>
      <c r="G11" s="1229"/>
      <c r="H11" s="1230"/>
      <c r="I11" s="1231">
        <v>500</v>
      </c>
    </row>
    <row r="12" spans="1:9" s="1232" customFormat="1" ht="18" customHeight="1">
      <c r="A12" s="1225">
        <v>5</v>
      </c>
      <c r="B12" s="1216"/>
      <c r="C12" s="1233">
        <v>4</v>
      </c>
      <c r="D12" s="1234" t="s">
        <v>684</v>
      </c>
      <c r="E12" s="1219"/>
      <c r="F12" s="1228"/>
      <c r="G12" s="1229"/>
      <c r="H12" s="1230"/>
      <c r="I12" s="1231">
        <v>250</v>
      </c>
    </row>
    <row r="13" spans="1:9" s="1232" customFormat="1" ht="18" customHeight="1">
      <c r="A13" s="1215">
        <v>6</v>
      </c>
      <c r="B13" s="1216"/>
      <c r="C13" s="1233">
        <v>5</v>
      </c>
      <c r="D13" s="1234" t="s">
        <v>685</v>
      </c>
      <c r="E13" s="1219"/>
      <c r="F13" s="1228"/>
      <c r="G13" s="1229"/>
      <c r="H13" s="1230"/>
      <c r="I13" s="1231">
        <v>500</v>
      </c>
    </row>
    <row r="14" spans="1:9" s="1232" customFormat="1" ht="18" customHeight="1">
      <c r="A14" s="1215">
        <v>7</v>
      </c>
      <c r="B14" s="1216"/>
      <c r="C14" s="1233">
        <v>6</v>
      </c>
      <c r="D14" s="1234" t="s">
        <v>686</v>
      </c>
      <c r="E14" s="1219"/>
      <c r="F14" s="1228"/>
      <c r="G14" s="1229"/>
      <c r="H14" s="1230"/>
      <c r="I14" s="1231">
        <v>600</v>
      </c>
    </row>
    <row r="15" spans="1:9" s="1232" customFormat="1" ht="18" customHeight="1">
      <c r="A15" s="1225">
        <v>8</v>
      </c>
      <c r="B15" s="1216"/>
      <c r="C15" s="1233">
        <v>7</v>
      </c>
      <c r="D15" s="1234" t="s">
        <v>687</v>
      </c>
      <c r="E15" s="1219"/>
      <c r="F15" s="1228"/>
      <c r="G15" s="1229"/>
      <c r="H15" s="1230"/>
      <c r="I15" s="1231">
        <v>200</v>
      </c>
    </row>
    <row r="16" spans="1:9" s="1232" customFormat="1" ht="18" customHeight="1">
      <c r="A16" s="1215">
        <v>9</v>
      </c>
      <c r="B16" s="1216"/>
      <c r="C16" s="1235" t="s">
        <v>402</v>
      </c>
      <c r="D16" s="1236"/>
      <c r="E16" s="1219"/>
      <c r="F16" s="1228">
        <v>1294</v>
      </c>
      <c r="G16" s="1229">
        <v>200</v>
      </c>
      <c r="H16" s="1230">
        <v>300</v>
      </c>
      <c r="I16" s="1231"/>
    </row>
    <row r="17" spans="1:9" s="1232" customFormat="1" ht="18" customHeight="1">
      <c r="A17" s="1215">
        <v>10</v>
      </c>
      <c r="B17" s="1216"/>
      <c r="C17" s="1233">
        <v>8</v>
      </c>
      <c r="D17" s="1227" t="s">
        <v>688</v>
      </c>
      <c r="E17" s="1219"/>
      <c r="F17" s="1228"/>
      <c r="G17" s="1229"/>
      <c r="H17" s="1230"/>
      <c r="I17" s="1231">
        <f>300+77</f>
        <v>377</v>
      </c>
    </row>
    <row r="18" spans="1:9" s="1232" customFormat="1" ht="18" customHeight="1">
      <c r="A18" s="1225">
        <v>11</v>
      </c>
      <c r="B18" s="1216"/>
      <c r="C18" s="1233">
        <v>9</v>
      </c>
      <c r="D18" s="1234" t="s">
        <v>682</v>
      </c>
      <c r="E18" s="1219"/>
      <c r="F18" s="1228"/>
      <c r="G18" s="1229"/>
      <c r="H18" s="1230"/>
      <c r="I18" s="1231">
        <v>200</v>
      </c>
    </row>
    <row r="19" spans="1:9" s="1232" customFormat="1" ht="18" customHeight="1">
      <c r="A19" s="1215">
        <v>12</v>
      </c>
      <c r="B19" s="1216"/>
      <c r="C19" s="1233">
        <v>10</v>
      </c>
      <c r="D19" s="1234" t="s">
        <v>689</v>
      </c>
      <c r="E19" s="1219"/>
      <c r="F19" s="1228"/>
      <c r="G19" s="1229"/>
      <c r="H19" s="1230"/>
      <c r="I19" s="1231">
        <v>600</v>
      </c>
    </row>
    <row r="20" spans="1:9" s="1232" customFormat="1" ht="18" customHeight="1">
      <c r="A20" s="1215">
        <v>13</v>
      </c>
      <c r="B20" s="1216"/>
      <c r="C20" s="1233">
        <v>11</v>
      </c>
      <c r="D20" s="1234" t="s">
        <v>690</v>
      </c>
      <c r="E20" s="1219"/>
      <c r="F20" s="1228"/>
      <c r="G20" s="1229"/>
      <c r="H20" s="1230"/>
      <c r="I20" s="1231">
        <f>200+120</f>
        <v>320</v>
      </c>
    </row>
    <row r="21" spans="1:9" s="1224" customFormat="1" ht="22.5" customHeight="1">
      <c r="A21" s="1225">
        <v>14</v>
      </c>
      <c r="B21" s="1216">
        <v>2</v>
      </c>
      <c r="C21" s="1237" t="s">
        <v>295</v>
      </c>
      <c r="D21" s="1218"/>
      <c r="E21" s="1219" t="s">
        <v>23</v>
      </c>
      <c r="F21" s="1220">
        <v>3496</v>
      </c>
      <c r="G21" s="1221">
        <v>700</v>
      </c>
      <c r="H21" s="1222">
        <f>1125+4198+3592</f>
        <v>8915</v>
      </c>
      <c r="I21" s="1223"/>
    </row>
    <row r="22" spans="1:9" s="1232" customFormat="1" ht="60">
      <c r="A22" s="1215">
        <v>15</v>
      </c>
      <c r="B22" s="1216"/>
      <c r="C22" s="1226">
        <v>1</v>
      </c>
      <c r="D22" s="1227" t="s">
        <v>691</v>
      </c>
      <c r="E22" s="1219"/>
      <c r="F22" s="1228"/>
      <c r="G22" s="1229"/>
      <c r="H22" s="1230"/>
      <c r="I22" s="1231">
        <f>950+700+100+200+100+150</f>
        <v>2200</v>
      </c>
    </row>
    <row r="23" spans="1:9" s="1232" customFormat="1" ht="18" customHeight="1">
      <c r="A23" s="1215">
        <v>16</v>
      </c>
      <c r="B23" s="1216"/>
      <c r="C23" s="1233">
        <v>2</v>
      </c>
      <c r="D23" s="1234" t="s">
        <v>682</v>
      </c>
      <c r="E23" s="1219"/>
      <c r="F23" s="1228"/>
      <c r="G23" s="1229"/>
      <c r="H23" s="1230"/>
      <c r="I23" s="1231">
        <f>200+660</f>
        <v>860</v>
      </c>
    </row>
    <row r="24" spans="1:9" s="1232" customFormat="1" ht="18" customHeight="1">
      <c r="A24" s="1225">
        <v>17</v>
      </c>
      <c r="B24" s="1216"/>
      <c r="C24" s="1233">
        <v>3</v>
      </c>
      <c r="D24" s="1234" t="s">
        <v>692</v>
      </c>
      <c r="E24" s="1219"/>
      <c r="F24" s="1228"/>
      <c r="G24" s="1229"/>
      <c r="H24" s="1230"/>
      <c r="I24" s="1231">
        <f>150+300</f>
        <v>450</v>
      </c>
    </row>
    <row r="25" spans="1:9" s="1232" customFormat="1" ht="18" customHeight="1">
      <c r="A25" s="1215">
        <v>18</v>
      </c>
      <c r="B25" s="1216"/>
      <c r="C25" s="1235" t="s">
        <v>403</v>
      </c>
      <c r="D25" s="1236"/>
      <c r="E25" s="1219"/>
      <c r="F25" s="1228">
        <v>1094</v>
      </c>
      <c r="G25" s="1229"/>
      <c r="H25" s="1230">
        <f>2756+1816+300+280</f>
        <v>5152</v>
      </c>
      <c r="I25" s="1231"/>
    </row>
    <row r="26" spans="1:9" s="1232" customFormat="1" ht="30">
      <c r="A26" s="1215">
        <v>19</v>
      </c>
      <c r="B26" s="1216"/>
      <c r="C26" s="1226">
        <v>4</v>
      </c>
      <c r="D26" s="1227" t="s">
        <v>693</v>
      </c>
      <c r="E26" s="1219"/>
      <c r="F26" s="1228"/>
      <c r="G26" s="1229"/>
      <c r="H26" s="1230"/>
      <c r="I26" s="1231">
        <v>950</v>
      </c>
    </row>
    <row r="27" spans="1:9" s="1232" customFormat="1" ht="18" customHeight="1">
      <c r="A27" s="1225">
        <v>20</v>
      </c>
      <c r="B27" s="1216"/>
      <c r="C27" s="1233">
        <v>5</v>
      </c>
      <c r="D27" s="1234" t="s">
        <v>694</v>
      </c>
      <c r="E27" s="1219"/>
      <c r="F27" s="1228"/>
      <c r="G27" s="1229"/>
      <c r="H27" s="1230"/>
      <c r="I27" s="1231">
        <v>200</v>
      </c>
    </row>
    <row r="28" spans="1:9" s="1232" customFormat="1" ht="18" customHeight="1">
      <c r="A28" s="1215">
        <v>21</v>
      </c>
      <c r="B28" s="1216"/>
      <c r="C28" s="1233">
        <v>6</v>
      </c>
      <c r="D28" s="1234" t="s">
        <v>692</v>
      </c>
      <c r="E28" s="1219"/>
      <c r="F28" s="1228"/>
      <c r="G28" s="1229"/>
      <c r="H28" s="1230"/>
      <c r="I28" s="1231">
        <v>150</v>
      </c>
    </row>
    <row r="29" spans="1:9" s="1224" customFormat="1" ht="22.5" customHeight="1">
      <c r="A29" s="1215">
        <v>22</v>
      </c>
      <c r="B29" s="1216">
        <v>3</v>
      </c>
      <c r="C29" s="1237" t="s">
        <v>256</v>
      </c>
      <c r="D29" s="1218"/>
      <c r="E29" s="1219" t="s">
        <v>23</v>
      </c>
      <c r="F29" s="1220">
        <v>6208</v>
      </c>
      <c r="G29" s="1221"/>
      <c r="H29" s="1222">
        <f>1193+220</f>
        <v>1413</v>
      </c>
      <c r="I29" s="1223"/>
    </row>
    <row r="30" spans="1:9" s="1232" customFormat="1" ht="18" customHeight="1">
      <c r="A30" s="1225">
        <v>23</v>
      </c>
      <c r="B30" s="1216"/>
      <c r="C30" s="1233">
        <v>1</v>
      </c>
      <c r="D30" s="1227" t="s">
        <v>695</v>
      </c>
      <c r="E30" s="1219"/>
      <c r="F30" s="1228"/>
      <c r="G30" s="1229"/>
      <c r="H30" s="1230"/>
      <c r="I30" s="1231">
        <v>493</v>
      </c>
    </row>
    <row r="31" spans="1:9" s="1232" customFormat="1" ht="18" customHeight="1">
      <c r="A31" s="1215">
        <v>24</v>
      </c>
      <c r="B31" s="1216"/>
      <c r="C31" s="1233">
        <v>2</v>
      </c>
      <c r="D31" s="1227" t="s">
        <v>696</v>
      </c>
      <c r="E31" s="1219"/>
      <c r="F31" s="1228"/>
      <c r="G31" s="1229"/>
      <c r="H31" s="1230"/>
      <c r="I31" s="1231">
        <v>1500</v>
      </c>
    </row>
    <row r="32" spans="1:9" s="1232" customFormat="1" ht="18" customHeight="1">
      <c r="A32" s="1215">
        <v>25</v>
      </c>
      <c r="B32" s="1216"/>
      <c r="C32" s="1233">
        <v>3</v>
      </c>
      <c r="D32" s="1234" t="s">
        <v>697</v>
      </c>
      <c r="E32" s="1219"/>
      <c r="F32" s="1228"/>
      <c r="G32" s="1229"/>
      <c r="H32" s="1230"/>
      <c r="I32" s="1231">
        <v>800</v>
      </c>
    </row>
    <row r="33" spans="1:9" s="1232" customFormat="1" ht="18" customHeight="1">
      <c r="A33" s="1225">
        <v>26</v>
      </c>
      <c r="B33" s="1216"/>
      <c r="C33" s="1233">
        <v>4</v>
      </c>
      <c r="D33" s="1234" t="s">
        <v>698</v>
      </c>
      <c r="E33" s="1219"/>
      <c r="F33" s="1228"/>
      <c r="G33" s="1229"/>
      <c r="H33" s="1230"/>
      <c r="I33" s="1231">
        <v>700</v>
      </c>
    </row>
    <row r="34" spans="1:9" s="1232" customFormat="1" ht="18" customHeight="1">
      <c r="A34" s="1215">
        <v>27</v>
      </c>
      <c r="B34" s="1216"/>
      <c r="C34" s="1235" t="s">
        <v>506</v>
      </c>
      <c r="D34" s="1236"/>
      <c r="E34" s="1219"/>
      <c r="F34" s="1228">
        <v>3386</v>
      </c>
      <c r="G34" s="1229"/>
      <c r="H34" s="1230">
        <v>348</v>
      </c>
      <c r="I34" s="1231"/>
    </row>
    <row r="35" spans="1:9" s="1224" customFormat="1" ht="22.5" customHeight="1">
      <c r="A35" s="1215">
        <v>28</v>
      </c>
      <c r="B35" s="1216">
        <v>4</v>
      </c>
      <c r="C35" s="1237" t="s">
        <v>257</v>
      </c>
      <c r="D35" s="1218"/>
      <c r="E35" s="1219" t="s">
        <v>23</v>
      </c>
      <c r="F35" s="1220">
        <v>1347</v>
      </c>
      <c r="G35" s="1221"/>
      <c r="H35" s="1222">
        <f>1170</f>
        <v>1170</v>
      </c>
      <c r="I35" s="1223"/>
    </row>
    <row r="36" spans="1:9" s="1232" customFormat="1" ht="30" customHeight="1">
      <c r="A36" s="1225">
        <v>29</v>
      </c>
      <c r="B36" s="1216"/>
      <c r="C36" s="1226">
        <v>1</v>
      </c>
      <c r="D36" s="1227" t="s">
        <v>699</v>
      </c>
      <c r="E36" s="1219"/>
      <c r="F36" s="1228"/>
      <c r="G36" s="1229"/>
      <c r="H36" s="1230"/>
      <c r="I36" s="1231">
        <f>66+800+55+50+1070</f>
        <v>2041</v>
      </c>
    </row>
    <row r="37" spans="1:9" s="1232" customFormat="1" ht="18" customHeight="1">
      <c r="A37" s="1215">
        <v>30</v>
      </c>
      <c r="B37" s="1216"/>
      <c r="C37" s="1233">
        <v>2</v>
      </c>
      <c r="D37" s="1234" t="s">
        <v>700</v>
      </c>
      <c r="E37" s="1219"/>
      <c r="F37" s="1228"/>
      <c r="G37" s="1229"/>
      <c r="H37" s="1230"/>
      <c r="I37" s="1231">
        <v>800</v>
      </c>
    </row>
    <row r="38" spans="1:9" s="1232" customFormat="1" ht="18" customHeight="1">
      <c r="A38" s="1215">
        <v>31</v>
      </c>
      <c r="B38" s="1216"/>
      <c r="C38" s="1238" t="s">
        <v>404</v>
      </c>
      <c r="D38" s="1227"/>
      <c r="E38" s="1219"/>
      <c r="F38" s="1228">
        <v>2216</v>
      </c>
      <c r="G38" s="1229"/>
      <c r="H38" s="1230"/>
      <c r="I38" s="1231"/>
    </row>
    <row r="39" spans="1:9" s="1232" customFormat="1" ht="30">
      <c r="A39" s="1225">
        <v>32</v>
      </c>
      <c r="B39" s="1216"/>
      <c r="C39" s="1226">
        <v>3</v>
      </c>
      <c r="D39" s="1227" t="s">
        <v>701</v>
      </c>
      <c r="E39" s="1219"/>
      <c r="F39" s="1228"/>
      <c r="G39" s="1229"/>
      <c r="H39" s="1230"/>
      <c r="I39" s="1231">
        <f>50+20+40+20+60+15+25</f>
        <v>230</v>
      </c>
    </row>
    <row r="40" spans="1:9" s="1232" customFormat="1" ht="18" customHeight="1">
      <c r="A40" s="1215">
        <v>33</v>
      </c>
      <c r="B40" s="1216"/>
      <c r="C40" s="1233">
        <v>4</v>
      </c>
      <c r="D40" s="1234" t="s">
        <v>702</v>
      </c>
      <c r="E40" s="1219"/>
      <c r="F40" s="1228"/>
      <c r="G40" s="1229"/>
      <c r="H40" s="1230"/>
      <c r="I40" s="1231">
        <v>190</v>
      </c>
    </row>
    <row r="41" spans="1:9" s="1224" customFormat="1" ht="22.5" customHeight="1">
      <c r="A41" s="1215">
        <v>34</v>
      </c>
      <c r="B41" s="1216">
        <v>5</v>
      </c>
      <c r="C41" s="1237" t="s">
        <v>258</v>
      </c>
      <c r="D41" s="1218"/>
      <c r="E41" s="1219" t="s">
        <v>23</v>
      </c>
      <c r="F41" s="1220">
        <v>6273</v>
      </c>
      <c r="G41" s="1221"/>
      <c r="H41" s="1222">
        <f>200+800</f>
        <v>1000</v>
      </c>
      <c r="I41" s="1223"/>
    </row>
    <row r="42" spans="1:9" s="1232" customFormat="1" ht="18" customHeight="1">
      <c r="A42" s="1225">
        <v>35</v>
      </c>
      <c r="B42" s="1216"/>
      <c r="C42" s="1233">
        <v>1</v>
      </c>
      <c r="D42" s="1227" t="s">
        <v>703</v>
      </c>
      <c r="E42" s="1219"/>
      <c r="F42" s="1228"/>
      <c r="G42" s="1229"/>
      <c r="H42" s="1230"/>
      <c r="I42" s="1231">
        <v>494</v>
      </c>
    </row>
    <row r="43" spans="1:9" s="1232" customFormat="1" ht="18" customHeight="1">
      <c r="A43" s="1215">
        <v>36</v>
      </c>
      <c r="B43" s="1216"/>
      <c r="C43" s="1233">
        <v>2</v>
      </c>
      <c r="D43" s="1227" t="s">
        <v>704</v>
      </c>
      <c r="E43" s="1219"/>
      <c r="F43" s="1228"/>
      <c r="G43" s="1229"/>
      <c r="H43" s="1230"/>
      <c r="I43" s="1231">
        <v>3500</v>
      </c>
    </row>
    <row r="44" spans="1:9" s="1232" customFormat="1" ht="18" customHeight="1">
      <c r="A44" s="1215">
        <v>37</v>
      </c>
      <c r="B44" s="1216"/>
      <c r="C44" s="1238" t="s">
        <v>405</v>
      </c>
      <c r="D44" s="1227"/>
      <c r="E44" s="1219"/>
      <c r="F44" s="1228">
        <v>6233</v>
      </c>
      <c r="G44" s="1229"/>
      <c r="H44" s="1230">
        <f>200+400</f>
        <v>600</v>
      </c>
      <c r="I44" s="1231"/>
    </row>
    <row r="45" spans="1:9" s="1232" customFormat="1" ht="18" customHeight="1">
      <c r="A45" s="1225">
        <v>38</v>
      </c>
      <c r="B45" s="1216"/>
      <c r="C45" s="1233">
        <v>3</v>
      </c>
      <c r="D45" s="1227" t="s">
        <v>705</v>
      </c>
      <c r="E45" s="1219"/>
      <c r="F45" s="1228"/>
      <c r="G45" s="1229"/>
      <c r="H45" s="1230"/>
      <c r="I45" s="1231">
        <v>3500</v>
      </c>
    </row>
    <row r="46" spans="1:9" s="1224" customFormat="1" ht="22.5" customHeight="1">
      <c r="A46" s="1215">
        <v>39</v>
      </c>
      <c r="B46" s="1216">
        <v>6</v>
      </c>
      <c r="C46" s="1237" t="s">
        <v>259</v>
      </c>
      <c r="D46" s="1218"/>
      <c r="E46" s="1219" t="s">
        <v>23</v>
      </c>
      <c r="F46" s="1220">
        <v>6174</v>
      </c>
      <c r="G46" s="1221"/>
      <c r="H46" s="1222">
        <f>1625+500+2300</f>
        <v>4425</v>
      </c>
      <c r="I46" s="1223"/>
    </row>
    <row r="47" spans="1:9" s="1232" customFormat="1" ht="30" customHeight="1">
      <c r="A47" s="1215">
        <v>40</v>
      </c>
      <c r="B47" s="1216"/>
      <c r="C47" s="1226">
        <v>1</v>
      </c>
      <c r="D47" s="1227" t="s">
        <v>706</v>
      </c>
      <c r="E47" s="1219"/>
      <c r="F47" s="1228"/>
      <c r="G47" s="1229"/>
      <c r="H47" s="1230"/>
      <c r="I47" s="1231">
        <f>100+100+165+125+80+200+209</f>
        <v>979</v>
      </c>
    </row>
    <row r="48" spans="1:9" s="1232" customFormat="1" ht="18" customHeight="1">
      <c r="A48" s="1225">
        <v>41</v>
      </c>
      <c r="B48" s="1216"/>
      <c r="C48" s="1233">
        <v>2</v>
      </c>
      <c r="D48" s="1234" t="s">
        <v>707</v>
      </c>
      <c r="E48" s="1219"/>
      <c r="F48" s="1228"/>
      <c r="G48" s="1229"/>
      <c r="H48" s="1230"/>
      <c r="I48" s="1231">
        <v>700</v>
      </c>
    </row>
    <row r="49" spans="1:9" s="1232" customFormat="1" ht="18" customHeight="1">
      <c r="A49" s="1215">
        <v>42</v>
      </c>
      <c r="B49" s="1216"/>
      <c r="C49" s="1233">
        <v>3</v>
      </c>
      <c r="D49" s="1234" t="s">
        <v>708</v>
      </c>
      <c r="E49" s="1219"/>
      <c r="F49" s="1228"/>
      <c r="G49" s="1229"/>
      <c r="H49" s="1230"/>
      <c r="I49" s="1231">
        <v>890</v>
      </c>
    </row>
    <row r="50" spans="1:9" s="1232" customFormat="1" ht="18" customHeight="1">
      <c r="A50" s="1215">
        <v>43</v>
      </c>
      <c r="B50" s="1216"/>
      <c r="C50" s="1233">
        <v>4</v>
      </c>
      <c r="D50" s="1234" t="s">
        <v>709</v>
      </c>
      <c r="E50" s="1219"/>
      <c r="F50" s="1228"/>
      <c r="G50" s="1229"/>
      <c r="H50" s="1230"/>
      <c r="I50" s="1231">
        <f>1000+270</f>
        <v>1270</v>
      </c>
    </row>
    <row r="51" spans="1:9" s="1232" customFormat="1" ht="18" customHeight="1">
      <c r="A51" s="1225">
        <v>44</v>
      </c>
      <c r="B51" s="1216"/>
      <c r="C51" s="1233">
        <v>5</v>
      </c>
      <c r="D51" s="1234" t="s">
        <v>710</v>
      </c>
      <c r="E51" s="1219"/>
      <c r="F51" s="1228"/>
      <c r="G51" s="1229"/>
      <c r="H51" s="1230"/>
      <c r="I51" s="1231">
        <v>1140</v>
      </c>
    </row>
    <row r="52" spans="1:9" s="1232" customFormat="1" ht="18" customHeight="1">
      <c r="A52" s="1215">
        <v>45</v>
      </c>
      <c r="B52" s="1216"/>
      <c r="C52" s="1233">
        <v>6</v>
      </c>
      <c r="D52" s="1234" t="s">
        <v>711</v>
      </c>
      <c r="E52" s="1219"/>
      <c r="F52" s="1228"/>
      <c r="G52" s="1229"/>
      <c r="H52" s="1230"/>
      <c r="I52" s="1231">
        <f>1500+500+540</f>
        <v>2540</v>
      </c>
    </row>
    <row r="53" spans="1:9" s="1232" customFormat="1" ht="18" customHeight="1">
      <c r="A53" s="1215">
        <v>46</v>
      </c>
      <c r="B53" s="1216"/>
      <c r="C53" s="1238" t="s">
        <v>406</v>
      </c>
      <c r="D53" s="1227"/>
      <c r="E53" s="1219"/>
      <c r="F53" s="1228">
        <v>324</v>
      </c>
      <c r="G53" s="1229"/>
      <c r="H53" s="1230">
        <v>546</v>
      </c>
      <c r="I53" s="1231"/>
    </row>
    <row r="54" spans="1:9" s="1232" customFormat="1" ht="45">
      <c r="A54" s="1225">
        <v>47</v>
      </c>
      <c r="B54" s="1216"/>
      <c r="C54" s="1226">
        <v>7</v>
      </c>
      <c r="D54" s="1227" t="s">
        <v>712</v>
      </c>
      <c r="E54" s="1219"/>
      <c r="F54" s="1228"/>
      <c r="G54" s="1229"/>
      <c r="H54" s="1230"/>
      <c r="I54" s="1231">
        <f>60+40+35+150+250+210+80+80+66+261</f>
        <v>1232</v>
      </c>
    </row>
    <row r="55" spans="1:9" s="1232" customFormat="1" ht="18" customHeight="1">
      <c r="A55" s="1215">
        <v>48</v>
      </c>
      <c r="B55" s="1216"/>
      <c r="C55" s="1233">
        <v>8</v>
      </c>
      <c r="D55" s="1234" t="s">
        <v>692</v>
      </c>
      <c r="E55" s="1219"/>
      <c r="F55" s="1228"/>
      <c r="G55" s="1229"/>
      <c r="H55" s="1230"/>
      <c r="I55" s="1231">
        <v>700</v>
      </c>
    </row>
    <row r="56" spans="1:9" s="1232" customFormat="1" ht="18" customHeight="1">
      <c r="A56" s="1215">
        <v>49</v>
      </c>
      <c r="B56" s="1216"/>
      <c r="C56" s="1233">
        <v>9</v>
      </c>
      <c r="D56" s="1234" t="s">
        <v>713</v>
      </c>
      <c r="E56" s="1219"/>
      <c r="F56" s="1228"/>
      <c r="G56" s="1229"/>
      <c r="H56" s="1230"/>
      <c r="I56" s="1231">
        <v>2032</v>
      </c>
    </row>
    <row r="57" spans="1:9" s="1232" customFormat="1" ht="18" customHeight="1">
      <c r="A57" s="1225">
        <v>50</v>
      </c>
      <c r="B57" s="1216"/>
      <c r="C57" s="1233">
        <v>10</v>
      </c>
      <c r="D57" s="1234" t="s">
        <v>710</v>
      </c>
      <c r="E57" s="1219"/>
      <c r="F57" s="1228"/>
      <c r="G57" s="1229"/>
      <c r="H57" s="1230"/>
      <c r="I57" s="1231">
        <v>380</v>
      </c>
    </row>
    <row r="58" spans="1:9" s="1232" customFormat="1" ht="18" customHeight="1">
      <c r="A58" s="1215">
        <v>51</v>
      </c>
      <c r="B58" s="1216"/>
      <c r="C58" s="1233">
        <v>11</v>
      </c>
      <c r="D58" s="1234" t="s">
        <v>714</v>
      </c>
      <c r="E58" s="1219"/>
      <c r="F58" s="1228"/>
      <c r="G58" s="1229"/>
      <c r="H58" s="1230"/>
      <c r="I58" s="1231">
        <v>1270</v>
      </c>
    </row>
    <row r="59" spans="1:9" s="1224" customFormat="1" ht="22.5" customHeight="1">
      <c r="A59" s="1215">
        <v>52</v>
      </c>
      <c r="B59" s="1216">
        <v>7</v>
      </c>
      <c r="C59" s="1217" t="s">
        <v>344</v>
      </c>
      <c r="D59" s="1218"/>
      <c r="E59" s="1219" t="s">
        <v>23</v>
      </c>
      <c r="F59" s="1239"/>
      <c r="G59" s="1221"/>
      <c r="H59" s="1240"/>
      <c r="I59" s="1223"/>
    </row>
    <row r="60" spans="1:9" s="1232" customFormat="1" ht="18" customHeight="1">
      <c r="A60" s="1225">
        <v>53</v>
      </c>
      <c r="B60" s="1216"/>
      <c r="C60" s="1238" t="s">
        <v>443</v>
      </c>
      <c r="D60" s="1241"/>
      <c r="E60" s="1219"/>
      <c r="F60" s="1228">
        <v>1129</v>
      </c>
      <c r="G60" s="1229">
        <f>120+300</f>
        <v>420</v>
      </c>
      <c r="H60" s="1230">
        <f>150+300</f>
        <v>450</v>
      </c>
      <c r="I60" s="1231"/>
    </row>
    <row r="61" spans="1:9" s="1232" customFormat="1" ht="18" customHeight="1">
      <c r="A61" s="1215">
        <v>54</v>
      </c>
      <c r="B61" s="1216"/>
      <c r="C61" s="1233">
        <v>1</v>
      </c>
      <c r="D61" s="1227" t="s">
        <v>715</v>
      </c>
      <c r="E61" s="1219"/>
      <c r="F61" s="1228"/>
      <c r="G61" s="1229"/>
      <c r="H61" s="1230"/>
      <c r="I61" s="1231">
        <v>300</v>
      </c>
    </row>
    <row r="62" spans="1:9" s="1232" customFormat="1" ht="18" customHeight="1">
      <c r="A62" s="1215">
        <v>55</v>
      </c>
      <c r="B62" s="1216"/>
      <c r="C62" s="1238" t="s">
        <v>407</v>
      </c>
      <c r="D62" s="1241"/>
      <c r="E62" s="1219"/>
      <c r="F62" s="1228">
        <v>1450</v>
      </c>
      <c r="G62" s="1229">
        <v>190</v>
      </c>
      <c r="H62" s="1230">
        <f>260</f>
        <v>260</v>
      </c>
      <c r="I62" s="1231"/>
    </row>
    <row r="63" spans="1:9" s="1232" customFormat="1" ht="18" customHeight="1">
      <c r="A63" s="1225">
        <v>56</v>
      </c>
      <c r="B63" s="1216"/>
      <c r="C63" s="1233">
        <v>2</v>
      </c>
      <c r="D63" s="1227" t="s">
        <v>716</v>
      </c>
      <c r="E63" s="1219"/>
      <c r="F63" s="1228"/>
      <c r="G63" s="1229"/>
      <c r="H63" s="1230"/>
      <c r="I63" s="1231">
        <v>300</v>
      </c>
    </row>
    <row r="64" spans="1:9" s="1232" customFormat="1" ht="18" customHeight="1">
      <c r="A64" s="1215">
        <v>57</v>
      </c>
      <c r="B64" s="1216"/>
      <c r="C64" s="1238" t="s">
        <v>408</v>
      </c>
      <c r="D64" s="1241"/>
      <c r="E64" s="1219"/>
      <c r="F64" s="1228">
        <v>2493</v>
      </c>
      <c r="G64" s="1229">
        <v>260</v>
      </c>
      <c r="H64" s="1230">
        <v>360</v>
      </c>
      <c r="I64" s="1231"/>
    </row>
    <row r="65" spans="1:9" s="1232" customFormat="1" ht="18" customHeight="1">
      <c r="A65" s="1215">
        <v>58</v>
      </c>
      <c r="B65" s="1216"/>
      <c r="C65" s="1233">
        <v>3</v>
      </c>
      <c r="D65" s="1227" t="s">
        <v>717</v>
      </c>
      <c r="E65" s="1219"/>
      <c r="F65" s="1228"/>
      <c r="G65" s="1229"/>
      <c r="H65" s="1230"/>
      <c r="I65" s="1231">
        <v>330</v>
      </c>
    </row>
    <row r="66" spans="1:9" s="1232" customFormat="1" ht="18" customHeight="1">
      <c r="A66" s="1225">
        <v>59</v>
      </c>
      <c r="B66" s="1216"/>
      <c r="C66" s="1238" t="s">
        <v>410</v>
      </c>
      <c r="D66" s="1227"/>
      <c r="E66" s="1219"/>
      <c r="F66" s="1228">
        <v>3057</v>
      </c>
      <c r="G66" s="1229">
        <v>340</v>
      </c>
      <c r="H66" s="1230">
        <v>420</v>
      </c>
      <c r="I66" s="1231"/>
    </row>
    <row r="67" spans="1:9" s="1232" customFormat="1" ht="30">
      <c r="A67" s="1215">
        <v>60</v>
      </c>
      <c r="B67" s="1216"/>
      <c r="C67" s="1226">
        <v>4</v>
      </c>
      <c r="D67" s="1227" t="s">
        <v>718</v>
      </c>
      <c r="E67" s="1219"/>
      <c r="F67" s="1228"/>
      <c r="G67" s="1229"/>
      <c r="H67" s="1230"/>
      <c r="I67" s="1231">
        <f>150+300+500+80+498</f>
        <v>1528</v>
      </c>
    </row>
    <row r="68" spans="1:9" s="1232" customFormat="1" ht="18" customHeight="1">
      <c r="A68" s="1215">
        <v>61</v>
      </c>
      <c r="B68" s="1216"/>
      <c r="C68" s="1238" t="s">
        <v>409</v>
      </c>
      <c r="D68" s="1241"/>
      <c r="E68" s="1219"/>
      <c r="F68" s="1228">
        <v>1244</v>
      </c>
      <c r="G68" s="1229">
        <v>220</v>
      </c>
      <c r="H68" s="1230">
        <v>290</v>
      </c>
      <c r="I68" s="1231"/>
    </row>
    <row r="69" spans="1:9" s="1232" customFormat="1" ht="18" customHeight="1">
      <c r="A69" s="1225">
        <v>62</v>
      </c>
      <c r="B69" s="1216"/>
      <c r="C69" s="1233">
        <v>5</v>
      </c>
      <c r="D69" s="1227" t="s">
        <v>568</v>
      </c>
      <c r="E69" s="1219"/>
      <c r="F69" s="1228"/>
      <c r="G69" s="1229"/>
      <c r="H69" s="1230"/>
      <c r="I69" s="1231">
        <v>300</v>
      </c>
    </row>
    <row r="70" spans="1:9" s="1232" customFormat="1" ht="18" customHeight="1">
      <c r="A70" s="1215">
        <v>63</v>
      </c>
      <c r="B70" s="1216"/>
      <c r="C70" s="1238" t="s">
        <v>569</v>
      </c>
      <c r="D70" s="1241"/>
      <c r="E70" s="1219"/>
      <c r="F70" s="1228">
        <v>193</v>
      </c>
      <c r="G70" s="1229"/>
      <c r="H70" s="1230"/>
      <c r="I70" s="1231"/>
    </row>
    <row r="71" spans="1:9" s="1232" customFormat="1" ht="18" customHeight="1">
      <c r="A71" s="1215">
        <v>64</v>
      </c>
      <c r="B71" s="1216"/>
      <c r="C71" s="1238" t="s">
        <v>376</v>
      </c>
      <c r="D71" s="1227"/>
      <c r="E71" s="1219"/>
      <c r="F71" s="1228">
        <v>15436</v>
      </c>
      <c r="G71" s="1221">
        <v>200</v>
      </c>
      <c r="H71" s="1222">
        <f>1148+52</f>
        <v>1200</v>
      </c>
      <c r="I71" s="1223"/>
    </row>
    <row r="72" spans="1:9" s="1232" customFormat="1" ht="18" customHeight="1">
      <c r="A72" s="1225">
        <v>65</v>
      </c>
      <c r="B72" s="1216"/>
      <c r="C72" s="1242" t="s">
        <v>570</v>
      </c>
      <c r="D72" s="1227"/>
      <c r="E72" s="1219"/>
      <c r="F72" s="1228"/>
      <c r="G72" s="1221"/>
      <c r="H72" s="1222"/>
      <c r="I72" s="1223"/>
    </row>
    <row r="73" spans="1:9" s="1232" customFormat="1" ht="18" customHeight="1">
      <c r="A73" s="1215">
        <v>66</v>
      </c>
      <c r="B73" s="1216"/>
      <c r="C73" s="1233">
        <v>6</v>
      </c>
      <c r="D73" s="1227" t="s">
        <v>719</v>
      </c>
      <c r="E73" s="1219"/>
      <c r="F73" s="1228"/>
      <c r="G73" s="1229"/>
      <c r="H73" s="1230"/>
      <c r="I73" s="1231">
        <f>290+80+40</f>
        <v>410</v>
      </c>
    </row>
    <row r="74" spans="1:9" s="1232" customFormat="1" ht="18" customHeight="1">
      <c r="A74" s="1215">
        <v>67</v>
      </c>
      <c r="B74" s="1216"/>
      <c r="C74" s="1233">
        <v>7</v>
      </c>
      <c r="D74" s="1227" t="s">
        <v>720</v>
      </c>
      <c r="E74" s="1219"/>
      <c r="F74" s="1228"/>
      <c r="G74" s="1229"/>
      <c r="H74" s="1230"/>
      <c r="I74" s="1231">
        <f>200+80</f>
        <v>280</v>
      </c>
    </row>
    <row r="75" spans="1:9" s="1224" customFormat="1" ht="22.5" customHeight="1">
      <c r="A75" s="1225">
        <v>68</v>
      </c>
      <c r="B75" s="1216">
        <v>8</v>
      </c>
      <c r="C75" s="1237" t="s">
        <v>116</v>
      </c>
      <c r="D75" s="1218"/>
      <c r="E75" s="1219" t="s">
        <v>23</v>
      </c>
      <c r="F75" s="1220">
        <v>2004</v>
      </c>
      <c r="G75" s="1221"/>
      <c r="H75" s="1222">
        <f>59+600</f>
        <v>659</v>
      </c>
      <c r="I75" s="1223"/>
    </row>
    <row r="76" spans="1:9" s="1232" customFormat="1" ht="18" customHeight="1">
      <c r="A76" s="1215">
        <v>69</v>
      </c>
      <c r="B76" s="1216"/>
      <c r="C76" s="1233">
        <v>1</v>
      </c>
      <c r="D76" s="1227" t="s">
        <v>721</v>
      </c>
      <c r="E76" s="1219"/>
      <c r="F76" s="1228"/>
      <c r="G76" s="1229"/>
      <c r="H76" s="1230"/>
      <c r="I76" s="1231">
        <v>341</v>
      </c>
    </row>
    <row r="77" spans="1:9" s="1224" customFormat="1" ht="22.5" customHeight="1">
      <c r="A77" s="1215">
        <v>70</v>
      </c>
      <c r="B77" s="1216">
        <v>9</v>
      </c>
      <c r="C77" s="1237" t="s">
        <v>436</v>
      </c>
      <c r="D77" s="1218"/>
      <c r="E77" s="1219" t="s">
        <v>23</v>
      </c>
      <c r="F77" s="1220">
        <v>5998</v>
      </c>
      <c r="G77" s="1221">
        <f>500+300+200+150</f>
        <v>1150</v>
      </c>
      <c r="H77" s="1222">
        <f>500+300+200+150+1400+700</f>
        <v>3250</v>
      </c>
      <c r="I77" s="1223"/>
    </row>
    <row r="78" spans="1:9" s="1232" customFormat="1" ht="60">
      <c r="A78" s="1225">
        <v>71</v>
      </c>
      <c r="B78" s="1216"/>
      <c r="C78" s="1226">
        <v>1</v>
      </c>
      <c r="D78" s="1227" t="s">
        <v>722</v>
      </c>
      <c r="E78" s="1219"/>
      <c r="F78" s="1228"/>
      <c r="G78" s="1229"/>
      <c r="H78" s="1230"/>
      <c r="I78" s="1231">
        <v>1500</v>
      </c>
    </row>
    <row r="79" spans="1:9" s="1232" customFormat="1" ht="75">
      <c r="A79" s="1215">
        <v>72</v>
      </c>
      <c r="B79" s="1216"/>
      <c r="C79" s="1226">
        <v>2</v>
      </c>
      <c r="D79" s="1227" t="s">
        <v>723</v>
      </c>
      <c r="E79" s="1219"/>
      <c r="F79" s="1228"/>
      <c r="G79" s="1229"/>
      <c r="H79" s="1230"/>
      <c r="I79" s="1231">
        <v>1000</v>
      </c>
    </row>
    <row r="80" spans="1:9" s="1232" customFormat="1" ht="60">
      <c r="A80" s="1215">
        <v>73</v>
      </c>
      <c r="B80" s="1216"/>
      <c r="C80" s="1226">
        <v>3</v>
      </c>
      <c r="D80" s="1227" t="s">
        <v>724</v>
      </c>
      <c r="E80" s="1219"/>
      <c r="F80" s="1228"/>
      <c r="G80" s="1229"/>
      <c r="H80" s="1230"/>
      <c r="I80" s="1231">
        <v>1000</v>
      </c>
    </row>
    <row r="81" spans="1:9" s="1232" customFormat="1" ht="18" customHeight="1">
      <c r="A81" s="1225">
        <v>74</v>
      </c>
      <c r="B81" s="1216"/>
      <c r="C81" s="1233">
        <v>4</v>
      </c>
      <c r="D81" s="1227" t="s">
        <v>725</v>
      </c>
      <c r="E81" s="1219"/>
      <c r="F81" s="1228"/>
      <c r="G81" s="1229"/>
      <c r="H81" s="1230"/>
      <c r="I81" s="1231">
        <f>1400+350+50+30+3800</f>
        <v>5630</v>
      </c>
    </row>
    <row r="82" spans="1:9" s="1224" customFormat="1" ht="22.5" customHeight="1">
      <c r="A82" s="1215">
        <v>75</v>
      </c>
      <c r="B82" s="1216">
        <v>10</v>
      </c>
      <c r="C82" s="1217" t="s">
        <v>438</v>
      </c>
      <c r="D82" s="1218"/>
      <c r="E82" s="1219" t="s">
        <v>23</v>
      </c>
      <c r="F82" s="1220">
        <v>4955</v>
      </c>
      <c r="G82" s="1221"/>
      <c r="H82" s="1222">
        <f>1268+1000+3485</f>
        <v>5753</v>
      </c>
      <c r="I82" s="1223"/>
    </row>
    <row r="83" spans="1:9" s="1232" customFormat="1" ht="18" customHeight="1">
      <c r="A83" s="1215">
        <v>76</v>
      </c>
      <c r="B83" s="1216"/>
      <c r="C83" s="1233">
        <v>1</v>
      </c>
      <c r="D83" s="1227" t="s">
        <v>695</v>
      </c>
      <c r="E83" s="1219"/>
      <c r="F83" s="1228"/>
      <c r="G83" s="1229"/>
      <c r="H83" s="1230"/>
      <c r="I83" s="1231">
        <v>3000</v>
      </c>
    </row>
    <row r="84" spans="1:9" s="1248" customFormat="1" ht="30" customHeight="1">
      <c r="A84" s="1225">
        <v>77</v>
      </c>
      <c r="B84" s="1243"/>
      <c r="C84" s="1226">
        <v>2</v>
      </c>
      <c r="D84" s="1244" t="s">
        <v>571</v>
      </c>
      <c r="E84" s="1245"/>
      <c r="F84" s="1246"/>
      <c r="G84" s="1247">
        <v>4050</v>
      </c>
      <c r="H84" s="1247">
        <v>4050</v>
      </c>
      <c r="I84" s="1231">
        <v>4050</v>
      </c>
    </row>
    <row r="85" spans="1:9" s="1224" customFormat="1" ht="22.5" customHeight="1">
      <c r="A85" s="1215">
        <v>78</v>
      </c>
      <c r="B85" s="1216">
        <v>11</v>
      </c>
      <c r="C85" s="1237" t="s">
        <v>429</v>
      </c>
      <c r="D85" s="1218"/>
      <c r="E85" s="1219" t="s">
        <v>23</v>
      </c>
      <c r="F85" s="1220">
        <v>8894</v>
      </c>
      <c r="G85" s="1221"/>
      <c r="H85" s="1222">
        <f>794+643+173+127+345</f>
        <v>2082</v>
      </c>
      <c r="I85" s="1223"/>
    </row>
    <row r="86" spans="1:9" s="1232" customFormat="1" ht="18" customHeight="1">
      <c r="A86" s="1215">
        <v>79</v>
      </c>
      <c r="B86" s="1216"/>
      <c r="C86" s="1233">
        <v>1</v>
      </c>
      <c r="D86" s="1227" t="s">
        <v>721</v>
      </c>
      <c r="E86" s="1219"/>
      <c r="F86" s="1228"/>
      <c r="G86" s="1229"/>
      <c r="H86" s="1230"/>
      <c r="I86" s="1231">
        <v>600</v>
      </c>
    </row>
    <row r="87" spans="1:9" s="1232" customFormat="1" ht="18" customHeight="1">
      <c r="A87" s="1225">
        <v>80</v>
      </c>
      <c r="B87" s="1216"/>
      <c r="C87" s="1233">
        <v>2</v>
      </c>
      <c r="D87" s="1227" t="s">
        <v>726</v>
      </c>
      <c r="E87" s="1219"/>
      <c r="F87" s="1228"/>
      <c r="G87" s="1229"/>
      <c r="H87" s="1230"/>
      <c r="I87" s="1231">
        <v>600</v>
      </c>
    </row>
    <row r="88" spans="1:9" s="1232" customFormat="1" ht="18" customHeight="1">
      <c r="A88" s="1215">
        <v>81</v>
      </c>
      <c r="B88" s="1216"/>
      <c r="C88" s="1233">
        <v>3</v>
      </c>
      <c r="D88" s="1227" t="s">
        <v>727</v>
      </c>
      <c r="E88" s="1219"/>
      <c r="F88" s="1228"/>
      <c r="G88" s="1229"/>
      <c r="H88" s="1230"/>
      <c r="I88" s="1231">
        <v>2000</v>
      </c>
    </row>
    <row r="89" spans="1:9" s="1232" customFormat="1" ht="18" customHeight="1">
      <c r="A89" s="1215">
        <v>82</v>
      </c>
      <c r="B89" s="1216"/>
      <c r="C89" s="1233">
        <v>4</v>
      </c>
      <c r="D89" s="1234" t="s">
        <v>820</v>
      </c>
      <c r="E89" s="1219"/>
      <c r="F89" s="1228"/>
      <c r="G89" s="1229"/>
      <c r="H89" s="1230"/>
      <c r="I89" s="1231">
        <v>5000</v>
      </c>
    </row>
    <row r="90" spans="1:9" s="1224" customFormat="1" ht="22.5" customHeight="1">
      <c r="A90" s="1225">
        <v>83</v>
      </c>
      <c r="B90" s="1216">
        <v>12</v>
      </c>
      <c r="C90" s="1237" t="s">
        <v>25</v>
      </c>
      <c r="D90" s="1218"/>
      <c r="E90" s="1219" t="s">
        <v>23</v>
      </c>
      <c r="F90" s="1220">
        <v>4783</v>
      </c>
      <c r="G90" s="1221"/>
      <c r="H90" s="1222">
        <f>15082+1290+777+425</f>
        <v>17574</v>
      </c>
      <c r="I90" s="1223"/>
    </row>
    <row r="91" spans="1:9" s="1232" customFormat="1" ht="30">
      <c r="A91" s="1215">
        <v>84</v>
      </c>
      <c r="B91" s="1216"/>
      <c r="C91" s="1226">
        <v>1</v>
      </c>
      <c r="D91" s="1227" t="s">
        <v>728</v>
      </c>
      <c r="E91" s="1219"/>
      <c r="F91" s="1220"/>
      <c r="G91" s="1247"/>
      <c r="H91" s="1230"/>
      <c r="I91" s="1231">
        <v>11550</v>
      </c>
    </row>
    <row r="92" spans="1:9" s="1232" customFormat="1" ht="30">
      <c r="A92" s="1215">
        <v>85</v>
      </c>
      <c r="B92" s="1216"/>
      <c r="C92" s="1226">
        <v>2</v>
      </c>
      <c r="D92" s="1227" t="s">
        <v>377</v>
      </c>
      <c r="E92" s="1219"/>
      <c r="F92" s="1220">
        <v>20716</v>
      </c>
      <c r="G92" s="1247">
        <v>16000</v>
      </c>
      <c r="H92" s="1222">
        <v>66716</v>
      </c>
      <c r="I92" s="1231">
        <v>16000</v>
      </c>
    </row>
    <row r="93" spans="1:9" s="1232" customFormat="1" ht="18" customHeight="1">
      <c r="A93" s="1225">
        <v>86</v>
      </c>
      <c r="B93" s="1216"/>
      <c r="C93" s="1233">
        <v>3</v>
      </c>
      <c r="D93" s="1227" t="s">
        <v>695</v>
      </c>
      <c r="E93" s="1219"/>
      <c r="F93" s="1220"/>
      <c r="G93" s="1247"/>
      <c r="H93" s="1230"/>
      <c r="I93" s="1231">
        <v>987</v>
      </c>
    </row>
    <row r="94" spans="1:9" s="1232" customFormat="1" ht="18" customHeight="1">
      <c r="A94" s="1215">
        <v>87</v>
      </c>
      <c r="B94" s="1216"/>
      <c r="C94" s="1233">
        <v>4</v>
      </c>
      <c r="D94" s="1227" t="s">
        <v>729</v>
      </c>
      <c r="E94" s="1219"/>
      <c r="F94" s="1220"/>
      <c r="G94" s="1247"/>
      <c r="H94" s="1230"/>
      <c r="I94" s="1231">
        <v>717</v>
      </c>
    </row>
    <row r="95" spans="1:9" s="1232" customFormat="1" ht="18" customHeight="1">
      <c r="A95" s="1215">
        <v>88</v>
      </c>
      <c r="B95" s="1216"/>
      <c r="C95" s="1233">
        <v>5</v>
      </c>
      <c r="D95" s="1227" t="s">
        <v>730</v>
      </c>
      <c r="E95" s="1219"/>
      <c r="F95" s="1220"/>
      <c r="G95" s="1247"/>
      <c r="H95" s="1230"/>
      <c r="I95" s="1231">
        <v>200</v>
      </c>
    </row>
    <row r="96" spans="1:9" s="1232" customFormat="1" ht="30">
      <c r="A96" s="1225">
        <v>89</v>
      </c>
      <c r="B96" s="1216"/>
      <c r="C96" s="1226">
        <v>6</v>
      </c>
      <c r="D96" s="1227" t="s">
        <v>571</v>
      </c>
      <c r="E96" s="1219"/>
      <c r="F96" s="1228"/>
      <c r="G96" s="1221">
        <v>2400</v>
      </c>
      <c r="H96" s="1222">
        <v>2400</v>
      </c>
      <c r="I96" s="1231">
        <v>2400</v>
      </c>
    </row>
    <row r="97" spans="1:9" s="1224" customFormat="1" ht="22.5" customHeight="1">
      <c r="A97" s="1215">
        <v>90</v>
      </c>
      <c r="B97" s="1216">
        <v>13</v>
      </c>
      <c r="C97" s="1237" t="s">
        <v>32</v>
      </c>
      <c r="D97" s="1218"/>
      <c r="E97" s="1219" t="s">
        <v>23</v>
      </c>
      <c r="F97" s="1220">
        <v>50840</v>
      </c>
      <c r="G97" s="1221">
        <f>700+500</f>
        <v>1200</v>
      </c>
      <c r="H97" s="1222">
        <v>8779</v>
      </c>
      <c r="I97" s="1223"/>
    </row>
    <row r="98" spans="1:9" s="1232" customFormat="1" ht="18" customHeight="1">
      <c r="A98" s="1215">
        <v>91</v>
      </c>
      <c r="B98" s="1216"/>
      <c r="C98" s="1233">
        <v>1</v>
      </c>
      <c r="D98" s="1227" t="s">
        <v>695</v>
      </c>
      <c r="E98" s="1219"/>
      <c r="F98" s="1228"/>
      <c r="G98" s="1229"/>
      <c r="H98" s="1230"/>
      <c r="I98" s="1231">
        <v>2500</v>
      </c>
    </row>
    <row r="99" spans="1:9" s="1232" customFormat="1" ht="18" customHeight="1">
      <c r="A99" s="1225">
        <v>92</v>
      </c>
      <c r="B99" s="1216"/>
      <c r="C99" s="1233">
        <v>2</v>
      </c>
      <c r="D99" s="1227" t="s">
        <v>731</v>
      </c>
      <c r="E99" s="1219"/>
      <c r="F99" s="1228"/>
      <c r="G99" s="1229"/>
      <c r="H99" s="1230"/>
      <c r="I99" s="1231">
        <v>1557</v>
      </c>
    </row>
    <row r="100" spans="1:9" s="1232" customFormat="1" ht="18" customHeight="1">
      <c r="A100" s="1215">
        <v>93</v>
      </c>
      <c r="B100" s="1216"/>
      <c r="C100" s="1233">
        <v>3</v>
      </c>
      <c r="D100" s="1234" t="s">
        <v>732</v>
      </c>
      <c r="E100" s="1219"/>
      <c r="F100" s="1228"/>
      <c r="G100" s="1229"/>
      <c r="H100" s="1230"/>
      <c r="I100" s="1231">
        <v>3000</v>
      </c>
    </row>
    <row r="101" spans="1:9" s="1232" customFormat="1" ht="18" customHeight="1">
      <c r="A101" s="1215">
        <v>94</v>
      </c>
      <c r="B101" s="1216"/>
      <c r="C101" s="1233">
        <v>4</v>
      </c>
      <c r="D101" s="1234" t="s">
        <v>733</v>
      </c>
      <c r="E101" s="1219"/>
      <c r="F101" s="1228"/>
      <c r="G101" s="1229"/>
      <c r="H101" s="1230"/>
      <c r="I101" s="1231">
        <v>200</v>
      </c>
    </row>
    <row r="102" spans="1:9" s="1232" customFormat="1" ht="18" customHeight="1">
      <c r="A102" s="1225">
        <v>95</v>
      </c>
      <c r="B102" s="1216"/>
      <c r="C102" s="1233">
        <v>5</v>
      </c>
      <c r="D102" s="1234" t="s">
        <v>734</v>
      </c>
      <c r="E102" s="1219"/>
      <c r="F102" s="1228"/>
      <c r="G102" s="1229"/>
      <c r="H102" s="1230"/>
      <c r="I102" s="1231">
        <v>600</v>
      </c>
    </row>
    <row r="103" spans="1:9" s="1232" customFormat="1" ht="18" customHeight="1">
      <c r="A103" s="1215">
        <v>96</v>
      </c>
      <c r="B103" s="1216"/>
      <c r="C103" s="1233">
        <v>6</v>
      </c>
      <c r="D103" s="1234" t="s">
        <v>735</v>
      </c>
      <c r="E103" s="1219"/>
      <c r="F103" s="1228"/>
      <c r="G103" s="1229"/>
      <c r="H103" s="1230"/>
      <c r="I103" s="1231">
        <v>200</v>
      </c>
    </row>
    <row r="104" spans="1:9" s="1232" customFormat="1" ht="45" customHeight="1">
      <c r="A104" s="1215">
        <v>97</v>
      </c>
      <c r="B104" s="1216"/>
      <c r="C104" s="1226">
        <v>7</v>
      </c>
      <c r="D104" s="1249" t="s">
        <v>572</v>
      </c>
      <c r="E104" s="1219"/>
      <c r="F104" s="1250">
        <v>54424</v>
      </c>
      <c r="G104" s="1229"/>
      <c r="H104" s="1230"/>
      <c r="I104" s="1231"/>
    </row>
    <row r="105" spans="1:9" s="1224" customFormat="1" ht="22.5" customHeight="1">
      <c r="A105" s="1225">
        <v>98</v>
      </c>
      <c r="B105" s="1216">
        <v>14</v>
      </c>
      <c r="C105" s="1237" t="s">
        <v>430</v>
      </c>
      <c r="D105" s="1218"/>
      <c r="E105" s="1219" t="s">
        <v>24</v>
      </c>
      <c r="F105" s="1220">
        <v>2197</v>
      </c>
      <c r="G105" s="1221"/>
      <c r="H105" s="1222">
        <f>2847+187+27+112+24</f>
        <v>3197</v>
      </c>
      <c r="I105" s="1223"/>
    </row>
    <row r="106" spans="1:9" s="1232" customFormat="1" ht="18" customHeight="1">
      <c r="A106" s="1215">
        <v>99</v>
      </c>
      <c r="B106" s="1216"/>
      <c r="C106" s="1233">
        <v>1</v>
      </c>
      <c r="D106" s="1227" t="s">
        <v>695</v>
      </c>
      <c r="E106" s="1219"/>
      <c r="F106" s="1228"/>
      <c r="G106" s="1229"/>
      <c r="H106" s="1230"/>
      <c r="I106" s="1231">
        <v>1000</v>
      </c>
    </row>
    <row r="107" spans="1:9" s="1232" customFormat="1" ht="30">
      <c r="A107" s="1215">
        <v>100</v>
      </c>
      <c r="B107" s="1216"/>
      <c r="C107" s="1226">
        <v>2</v>
      </c>
      <c r="D107" s="1234" t="s">
        <v>573</v>
      </c>
      <c r="E107" s="1219"/>
      <c r="F107" s="1250">
        <v>835</v>
      </c>
      <c r="G107" s="1247">
        <v>2831</v>
      </c>
      <c r="H107" s="1230">
        <v>869</v>
      </c>
      <c r="I107" s="1231">
        <v>0</v>
      </c>
    </row>
    <row r="108" spans="1:9" s="1224" customFormat="1" ht="22.5" customHeight="1">
      <c r="A108" s="1225">
        <v>101</v>
      </c>
      <c r="B108" s="1216">
        <v>15</v>
      </c>
      <c r="C108" s="1237" t="s">
        <v>148</v>
      </c>
      <c r="D108" s="1218"/>
      <c r="E108" s="1219" t="s">
        <v>24</v>
      </c>
      <c r="F108" s="1220">
        <v>22457</v>
      </c>
      <c r="G108" s="1221">
        <v>2000</v>
      </c>
      <c r="H108" s="1222">
        <v>28194</v>
      </c>
      <c r="I108" s="1223"/>
    </row>
    <row r="109" spans="1:9" s="1232" customFormat="1" ht="18" customHeight="1">
      <c r="A109" s="1215">
        <v>102</v>
      </c>
      <c r="B109" s="1216"/>
      <c r="C109" s="1233">
        <v>1</v>
      </c>
      <c r="D109" s="1227" t="s">
        <v>695</v>
      </c>
      <c r="E109" s="1219"/>
      <c r="F109" s="1228"/>
      <c r="G109" s="1229"/>
      <c r="H109" s="1230"/>
      <c r="I109" s="1231">
        <v>3000</v>
      </c>
    </row>
    <row r="110" spans="1:9" s="1224" customFormat="1" ht="22.5" customHeight="1">
      <c r="A110" s="1215">
        <v>103</v>
      </c>
      <c r="B110" s="1216">
        <v>16</v>
      </c>
      <c r="C110" s="1251" t="s">
        <v>260</v>
      </c>
      <c r="D110" s="1218"/>
      <c r="E110" s="1219" t="s">
        <v>23</v>
      </c>
      <c r="F110" s="1220">
        <v>9248</v>
      </c>
      <c r="G110" s="1221"/>
      <c r="H110" s="1222">
        <v>4500</v>
      </c>
      <c r="I110" s="1223"/>
    </row>
    <row r="111" spans="1:9" s="1232" customFormat="1" ht="18" customHeight="1">
      <c r="A111" s="1225">
        <v>104</v>
      </c>
      <c r="B111" s="1252"/>
      <c r="C111" s="1233">
        <v>1</v>
      </c>
      <c r="D111" s="1227" t="s">
        <v>736</v>
      </c>
      <c r="E111" s="1253"/>
      <c r="F111" s="1254"/>
      <c r="G111" s="1255"/>
      <c r="H111" s="1256"/>
      <c r="I111" s="1257">
        <f>70+50</f>
        <v>120</v>
      </c>
    </row>
    <row r="112" spans="1:9" s="1232" customFormat="1" ht="18" customHeight="1">
      <c r="A112" s="1215">
        <v>105</v>
      </c>
      <c r="B112" s="1252"/>
      <c r="C112" s="1233">
        <v>2</v>
      </c>
      <c r="D112" s="1227" t="s">
        <v>737</v>
      </c>
      <c r="E112" s="1253"/>
      <c r="F112" s="1254"/>
      <c r="G112" s="1255"/>
      <c r="H112" s="1256"/>
      <c r="I112" s="1257">
        <v>1500</v>
      </c>
    </row>
    <row r="113" spans="1:9" s="1232" customFormat="1" ht="18" customHeight="1" thickBot="1">
      <c r="A113" s="1215">
        <v>106</v>
      </c>
      <c r="B113" s="1258"/>
      <c r="C113" s="1259">
        <v>3</v>
      </c>
      <c r="D113" s="1260" t="s">
        <v>738</v>
      </c>
      <c r="E113" s="1261"/>
      <c r="F113" s="1262"/>
      <c r="G113" s="1263"/>
      <c r="H113" s="1264"/>
      <c r="I113" s="1265">
        <v>1200</v>
      </c>
    </row>
    <row r="114" spans="1:9" s="948" customFormat="1" ht="36" customHeight="1" thickBot="1" thickTop="1">
      <c r="A114" s="1225">
        <v>107</v>
      </c>
      <c r="B114" s="1680" t="s">
        <v>508</v>
      </c>
      <c r="C114" s="1681"/>
      <c r="D114" s="1682"/>
      <c r="E114" s="988"/>
      <c r="F114" s="989">
        <f>SUM(F8:F113)</f>
        <v>253498</v>
      </c>
      <c r="G114" s="990">
        <f>SUM(G8:G113)</f>
        <v>32671</v>
      </c>
      <c r="H114" s="991">
        <f>SUM(H8:H113)</f>
        <v>176032</v>
      </c>
      <c r="I114" s="992">
        <f>SUM(I8:I113)</f>
        <v>112203</v>
      </c>
    </row>
    <row r="115" spans="1:9" s="1224" customFormat="1" ht="22.5" customHeight="1">
      <c r="A115" s="1215">
        <v>108</v>
      </c>
      <c r="B115" s="1216">
        <v>17</v>
      </c>
      <c r="C115" s="1266" t="s">
        <v>26</v>
      </c>
      <c r="D115" s="1218"/>
      <c r="E115" s="1219" t="s">
        <v>23</v>
      </c>
      <c r="F115" s="1220">
        <f>23823-F124</f>
        <v>1718</v>
      </c>
      <c r="G115" s="1221">
        <f>34365-G124</f>
        <v>15985</v>
      </c>
      <c r="H115" s="1222">
        <f>32887-24074</f>
        <v>8813</v>
      </c>
      <c r="I115" s="1223"/>
    </row>
    <row r="116" spans="1:9" s="1224" customFormat="1" ht="22.5" customHeight="1">
      <c r="A116" s="1215">
        <v>109</v>
      </c>
      <c r="B116" s="1216"/>
      <c r="C116" s="1238"/>
      <c r="D116" s="1218" t="s">
        <v>157</v>
      </c>
      <c r="E116" s="1219"/>
      <c r="F116" s="1220"/>
      <c r="G116" s="1221"/>
      <c r="H116" s="1222"/>
      <c r="I116" s="1223"/>
    </row>
    <row r="117" spans="1:9" s="1232" customFormat="1" ht="18" customHeight="1">
      <c r="A117" s="1225">
        <v>110</v>
      </c>
      <c r="B117" s="1216"/>
      <c r="C117" s="1267">
        <v>1</v>
      </c>
      <c r="D117" s="1227" t="s">
        <v>739</v>
      </c>
      <c r="E117" s="1219"/>
      <c r="F117" s="1228"/>
      <c r="G117" s="1229"/>
      <c r="H117" s="1230"/>
      <c r="I117" s="1231">
        <v>1524</v>
      </c>
    </row>
    <row r="118" spans="1:9" s="1232" customFormat="1" ht="18" customHeight="1">
      <c r="A118" s="1215">
        <v>111</v>
      </c>
      <c r="B118" s="1216"/>
      <c r="C118" s="1267">
        <v>2</v>
      </c>
      <c r="D118" s="1227" t="s">
        <v>740</v>
      </c>
      <c r="E118" s="1219"/>
      <c r="F118" s="1228"/>
      <c r="G118" s="1229"/>
      <c r="H118" s="1230"/>
      <c r="I118" s="1231">
        <v>8001</v>
      </c>
    </row>
    <row r="119" spans="1:9" s="1232" customFormat="1" ht="18" customHeight="1">
      <c r="A119" s="1215">
        <v>112</v>
      </c>
      <c r="B119" s="1216"/>
      <c r="C119" s="1267">
        <v>3</v>
      </c>
      <c r="D119" s="1227" t="s">
        <v>378</v>
      </c>
      <c r="E119" s="1219"/>
      <c r="F119" s="1228"/>
      <c r="G119" s="1229"/>
      <c r="H119" s="1230"/>
      <c r="I119" s="1231">
        <v>381</v>
      </c>
    </row>
    <row r="120" spans="1:9" s="1232" customFormat="1" ht="18" customHeight="1">
      <c r="A120" s="1225">
        <v>113</v>
      </c>
      <c r="B120" s="1216"/>
      <c r="C120" s="1267">
        <v>4</v>
      </c>
      <c r="D120" s="1227" t="s">
        <v>741</v>
      </c>
      <c r="E120" s="1219"/>
      <c r="F120" s="1228"/>
      <c r="G120" s="1229"/>
      <c r="H120" s="1230"/>
      <c r="I120" s="1231">
        <v>2000</v>
      </c>
    </row>
    <row r="121" spans="1:9" s="1232" customFormat="1" ht="18" customHeight="1">
      <c r="A121" s="1215">
        <v>114</v>
      </c>
      <c r="B121" s="1216"/>
      <c r="C121" s="1267">
        <v>5</v>
      </c>
      <c r="D121" s="1227" t="s">
        <v>742</v>
      </c>
      <c r="E121" s="1219"/>
      <c r="F121" s="1228"/>
      <c r="G121" s="1229"/>
      <c r="H121" s="1230"/>
      <c r="I121" s="1231">
        <v>1905</v>
      </c>
    </row>
    <row r="122" spans="1:9" s="1232" customFormat="1" ht="18" customHeight="1">
      <c r="A122" s="1215">
        <v>115</v>
      </c>
      <c r="B122" s="1216"/>
      <c r="C122" s="1219">
        <v>6</v>
      </c>
      <c r="D122" s="1227" t="s">
        <v>743</v>
      </c>
      <c r="E122" s="1219"/>
      <c r="F122" s="1228"/>
      <c r="G122" s="1229"/>
      <c r="H122" s="1230"/>
      <c r="I122" s="1231">
        <v>95</v>
      </c>
    </row>
    <row r="123" spans="1:9" s="1232" customFormat="1" ht="22.5" customHeight="1">
      <c r="A123" s="1225">
        <v>116</v>
      </c>
      <c r="B123" s="1216"/>
      <c r="C123" s="1267"/>
      <c r="D123" s="1218" t="s">
        <v>744</v>
      </c>
      <c r="E123" s="1219"/>
      <c r="F123" s="1228"/>
      <c r="G123" s="1229"/>
      <c r="H123" s="1230"/>
      <c r="I123" s="1231"/>
    </row>
    <row r="124" spans="1:9" s="1232" customFormat="1" ht="18" customHeight="1" thickBot="1">
      <c r="A124" s="1215">
        <v>117</v>
      </c>
      <c r="B124" s="1216"/>
      <c r="C124" s="1219">
        <v>7</v>
      </c>
      <c r="D124" s="1227" t="s">
        <v>33</v>
      </c>
      <c r="E124" s="1219"/>
      <c r="F124" s="1228">
        <v>22105</v>
      </c>
      <c r="G124" s="1229">
        <v>18380</v>
      </c>
      <c r="H124" s="1230">
        <v>24074</v>
      </c>
      <c r="I124" s="1231">
        <v>20100</v>
      </c>
    </row>
    <row r="125" spans="1:9" s="948" customFormat="1" ht="36" customHeight="1" thickBot="1" thickTop="1">
      <c r="A125" s="1215">
        <v>118</v>
      </c>
      <c r="B125" s="1680" t="s">
        <v>509</v>
      </c>
      <c r="C125" s="1681"/>
      <c r="D125" s="1682"/>
      <c r="E125" s="988"/>
      <c r="F125" s="989">
        <f>SUM(F115:F124)</f>
        <v>23823</v>
      </c>
      <c r="G125" s="990">
        <f>SUM(G115:G124)</f>
        <v>34365</v>
      </c>
      <c r="H125" s="991">
        <f>SUM(H115:H124)</f>
        <v>32887</v>
      </c>
      <c r="I125" s="992">
        <f>SUM(I115:I124)</f>
        <v>34006</v>
      </c>
    </row>
    <row r="126" spans="1:9" s="948" customFormat="1" ht="36" customHeight="1" thickBot="1">
      <c r="A126" s="1225">
        <v>119</v>
      </c>
      <c r="B126" s="1683" t="s">
        <v>510</v>
      </c>
      <c r="C126" s="1684"/>
      <c r="D126" s="1685"/>
      <c r="E126" s="993"/>
      <c r="F126" s="994">
        <f>SUM(F125,F114)</f>
        <v>277321</v>
      </c>
      <c r="G126" s="995">
        <f>SUM(G125,G114)</f>
        <v>67036</v>
      </c>
      <c r="H126" s="996">
        <f>SUM(H125,H114)</f>
        <v>208919</v>
      </c>
      <c r="I126" s="997">
        <f>SUM(I125,I114)</f>
        <v>146209</v>
      </c>
    </row>
    <row r="127" spans="2:9" ht="18" customHeight="1">
      <c r="B127" s="1071"/>
      <c r="C127" s="1072" t="s">
        <v>27</v>
      </c>
      <c r="D127" s="1071"/>
      <c r="E127" s="1073"/>
      <c r="F127" s="986"/>
      <c r="G127" s="987"/>
      <c r="H127" s="949"/>
      <c r="I127" s="949"/>
    </row>
    <row r="128" spans="1:247" s="950" customFormat="1" ht="18" customHeight="1">
      <c r="A128" s="947"/>
      <c r="B128" s="1071" t="s">
        <v>28</v>
      </c>
      <c r="C128" s="1071"/>
      <c r="D128" s="1071"/>
      <c r="E128" s="1073"/>
      <c r="F128" s="1074"/>
      <c r="G128" s="987"/>
      <c r="H128" s="949"/>
      <c r="I128" s="949"/>
      <c r="J128" s="942"/>
      <c r="K128" s="942"/>
      <c r="L128" s="942"/>
      <c r="M128" s="942"/>
      <c r="N128" s="942"/>
      <c r="O128" s="942"/>
      <c r="P128" s="942"/>
      <c r="Q128" s="942"/>
      <c r="R128" s="942"/>
      <c r="S128" s="942"/>
      <c r="T128" s="942"/>
      <c r="U128" s="942"/>
      <c r="V128" s="942"/>
      <c r="W128" s="942"/>
      <c r="X128" s="942"/>
      <c r="Y128" s="942"/>
      <c r="Z128" s="942"/>
      <c r="AA128" s="942"/>
      <c r="AB128" s="942"/>
      <c r="AC128" s="942"/>
      <c r="AD128" s="942"/>
      <c r="AE128" s="942"/>
      <c r="AF128" s="942"/>
      <c r="AG128" s="942"/>
      <c r="AH128" s="942"/>
      <c r="AI128" s="942"/>
      <c r="AJ128" s="942"/>
      <c r="AK128" s="942"/>
      <c r="AL128" s="942"/>
      <c r="AM128" s="942"/>
      <c r="AN128" s="942"/>
      <c r="AO128" s="942"/>
      <c r="AP128" s="942"/>
      <c r="AQ128" s="942"/>
      <c r="AR128" s="942"/>
      <c r="AS128" s="942"/>
      <c r="AT128" s="942"/>
      <c r="AU128" s="942"/>
      <c r="AV128" s="942"/>
      <c r="AW128" s="942"/>
      <c r="AX128" s="942"/>
      <c r="AY128" s="942"/>
      <c r="AZ128" s="942"/>
      <c r="BA128" s="942"/>
      <c r="BB128" s="942"/>
      <c r="BC128" s="942"/>
      <c r="BD128" s="942"/>
      <c r="BE128" s="942"/>
      <c r="BF128" s="942"/>
      <c r="BG128" s="942"/>
      <c r="BH128" s="942"/>
      <c r="BI128" s="942"/>
      <c r="BJ128" s="942"/>
      <c r="BK128" s="942"/>
      <c r="BL128" s="942"/>
      <c r="BM128" s="942"/>
      <c r="BN128" s="942"/>
      <c r="BO128" s="942"/>
      <c r="BP128" s="942"/>
      <c r="BQ128" s="942"/>
      <c r="BR128" s="942"/>
      <c r="BS128" s="942"/>
      <c r="BT128" s="942"/>
      <c r="BU128" s="942"/>
      <c r="BV128" s="942"/>
      <c r="BW128" s="942"/>
      <c r="BX128" s="942"/>
      <c r="BY128" s="942"/>
      <c r="BZ128" s="942"/>
      <c r="CA128" s="942"/>
      <c r="CB128" s="942"/>
      <c r="CC128" s="942"/>
      <c r="CD128" s="942"/>
      <c r="CE128" s="942"/>
      <c r="CF128" s="942"/>
      <c r="CG128" s="942"/>
      <c r="CH128" s="942"/>
      <c r="CI128" s="942"/>
      <c r="CJ128" s="942"/>
      <c r="CK128" s="942"/>
      <c r="CL128" s="942"/>
      <c r="CM128" s="942"/>
      <c r="CN128" s="942"/>
      <c r="CO128" s="942"/>
      <c r="CP128" s="942"/>
      <c r="CQ128" s="942"/>
      <c r="CR128" s="942"/>
      <c r="CS128" s="942"/>
      <c r="CT128" s="942"/>
      <c r="CU128" s="942"/>
      <c r="CV128" s="942"/>
      <c r="CW128" s="942"/>
      <c r="CX128" s="942"/>
      <c r="CY128" s="942"/>
      <c r="CZ128" s="942"/>
      <c r="DA128" s="942"/>
      <c r="DB128" s="942"/>
      <c r="DC128" s="942"/>
      <c r="DD128" s="942"/>
      <c r="DE128" s="942"/>
      <c r="DF128" s="942"/>
      <c r="DG128" s="942"/>
      <c r="DH128" s="942"/>
      <c r="DI128" s="942"/>
      <c r="DJ128" s="942"/>
      <c r="DK128" s="942"/>
      <c r="DL128" s="942"/>
      <c r="DM128" s="942"/>
      <c r="DN128" s="942"/>
      <c r="DO128" s="942"/>
      <c r="DP128" s="942"/>
      <c r="DQ128" s="942"/>
      <c r="DR128" s="942"/>
      <c r="DS128" s="942"/>
      <c r="DT128" s="942"/>
      <c r="DU128" s="942"/>
      <c r="DV128" s="942"/>
      <c r="DW128" s="942"/>
      <c r="DX128" s="942"/>
      <c r="DY128" s="942"/>
      <c r="DZ128" s="942"/>
      <c r="EA128" s="942"/>
      <c r="EB128" s="942"/>
      <c r="EC128" s="942"/>
      <c r="ED128" s="942"/>
      <c r="EE128" s="942"/>
      <c r="EF128" s="942"/>
      <c r="EG128" s="942"/>
      <c r="EH128" s="942"/>
      <c r="EI128" s="942"/>
      <c r="EJ128" s="942"/>
      <c r="EK128" s="942"/>
      <c r="EL128" s="942"/>
      <c r="EM128" s="942"/>
      <c r="EN128" s="942"/>
      <c r="EO128" s="942"/>
      <c r="EP128" s="942"/>
      <c r="EQ128" s="942"/>
      <c r="ER128" s="942"/>
      <c r="ES128" s="942"/>
      <c r="ET128" s="942"/>
      <c r="EU128" s="942"/>
      <c r="EV128" s="942"/>
      <c r="EW128" s="942"/>
      <c r="EX128" s="942"/>
      <c r="EY128" s="942"/>
      <c r="EZ128" s="942"/>
      <c r="FA128" s="942"/>
      <c r="FB128" s="942"/>
      <c r="FC128" s="942"/>
      <c r="FD128" s="942"/>
      <c r="FE128" s="942"/>
      <c r="FF128" s="942"/>
      <c r="FG128" s="942"/>
      <c r="FH128" s="942"/>
      <c r="FI128" s="942"/>
      <c r="FJ128" s="942"/>
      <c r="FK128" s="942"/>
      <c r="FL128" s="942"/>
      <c r="FM128" s="942"/>
      <c r="FN128" s="942"/>
      <c r="FO128" s="942"/>
      <c r="FP128" s="942"/>
      <c r="FQ128" s="942"/>
      <c r="FR128" s="942"/>
      <c r="FS128" s="942"/>
      <c r="FT128" s="942"/>
      <c r="FU128" s="942"/>
      <c r="FV128" s="942"/>
      <c r="FW128" s="942"/>
      <c r="FX128" s="942"/>
      <c r="FY128" s="942"/>
      <c r="FZ128" s="942"/>
      <c r="GA128" s="942"/>
      <c r="GB128" s="942"/>
      <c r="GC128" s="942"/>
      <c r="GD128" s="942"/>
      <c r="GE128" s="942"/>
      <c r="GF128" s="942"/>
      <c r="GG128" s="942"/>
      <c r="GH128" s="942"/>
      <c r="GI128" s="942"/>
      <c r="GJ128" s="942"/>
      <c r="GK128" s="942"/>
      <c r="GL128" s="942"/>
      <c r="GM128" s="942"/>
      <c r="GN128" s="942"/>
      <c r="GO128" s="942"/>
      <c r="GP128" s="942"/>
      <c r="GQ128" s="942"/>
      <c r="GR128" s="942"/>
      <c r="GS128" s="942"/>
      <c r="GT128" s="942"/>
      <c r="GU128" s="942"/>
      <c r="GV128" s="942"/>
      <c r="GW128" s="942"/>
      <c r="GX128" s="942"/>
      <c r="GY128" s="942"/>
      <c r="GZ128" s="942"/>
      <c r="HA128" s="942"/>
      <c r="HB128" s="942"/>
      <c r="HC128" s="942"/>
      <c r="HD128" s="942"/>
      <c r="HE128" s="942"/>
      <c r="HF128" s="942"/>
      <c r="HG128" s="942"/>
      <c r="HH128" s="942"/>
      <c r="HI128" s="942"/>
      <c r="HJ128" s="942"/>
      <c r="HK128" s="942"/>
      <c r="HL128" s="942"/>
      <c r="HM128" s="942"/>
      <c r="HN128" s="942"/>
      <c r="HO128" s="942"/>
      <c r="HP128" s="942"/>
      <c r="HQ128" s="942"/>
      <c r="HR128" s="942"/>
      <c r="HS128" s="942"/>
      <c r="HT128" s="942"/>
      <c r="HU128" s="942"/>
      <c r="HV128" s="942"/>
      <c r="HW128" s="942"/>
      <c r="HX128" s="942"/>
      <c r="HY128" s="942"/>
      <c r="HZ128" s="942"/>
      <c r="IA128" s="942"/>
      <c r="IB128" s="942"/>
      <c r="IC128" s="942"/>
      <c r="ID128" s="942"/>
      <c r="IE128" s="942"/>
      <c r="IF128" s="942"/>
      <c r="IG128" s="942"/>
      <c r="IH128" s="942"/>
      <c r="II128" s="942"/>
      <c r="IJ128" s="942"/>
      <c r="IK128" s="942"/>
      <c r="IL128" s="942"/>
      <c r="IM128" s="942"/>
    </row>
    <row r="129" spans="1:247" s="950" customFormat="1" ht="18" customHeight="1">
      <c r="A129" s="947"/>
      <c r="B129" s="1071" t="s">
        <v>29</v>
      </c>
      <c r="C129" s="1071"/>
      <c r="D129" s="1071"/>
      <c r="E129" s="1073"/>
      <c r="F129" s="1074"/>
      <c r="G129" s="987"/>
      <c r="H129" s="949"/>
      <c r="I129" s="949"/>
      <c r="J129" s="942"/>
      <c r="K129" s="942"/>
      <c r="L129" s="942"/>
      <c r="M129" s="942"/>
      <c r="N129" s="942"/>
      <c r="O129" s="942"/>
      <c r="P129" s="942"/>
      <c r="Q129" s="942"/>
      <c r="R129" s="942"/>
      <c r="S129" s="942"/>
      <c r="T129" s="942"/>
      <c r="U129" s="942"/>
      <c r="V129" s="942"/>
      <c r="W129" s="942"/>
      <c r="X129" s="942"/>
      <c r="Y129" s="942"/>
      <c r="Z129" s="942"/>
      <c r="AA129" s="942"/>
      <c r="AB129" s="942"/>
      <c r="AC129" s="942"/>
      <c r="AD129" s="942"/>
      <c r="AE129" s="942"/>
      <c r="AF129" s="942"/>
      <c r="AG129" s="942"/>
      <c r="AH129" s="942"/>
      <c r="AI129" s="942"/>
      <c r="AJ129" s="942"/>
      <c r="AK129" s="942"/>
      <c r="AL129" s="942"/>
      <c r="AM129" s="942"/>
      <c r="AN129" s="942"/>
      <c r="AO129" s="942"/>
      <c r="AP129" s="942"/>
      <c r="AQ129" s="942"/>
      <c r="AR129" s="942"/>
      <c r="AS129" s="942"/>
      <c r="AT129" s="942"/>
      <c r="AU129" s="942"/>
      <c r="AV129" s="942"/>
      <c r="AW129" s="942"/>
      <c r="AX129" s="942"/>
      <c r="AY129" s="942"/>
      <c r="AZ129" s="942"/>
      <c r="BA129" s="942"/>
      <c r="BB129" s="942"/>
      <c r="BC129" s="942"/>
      <c r="BD129" s="942"/>
      <c r="BE129" s="942"/>
      <c r="BF129" s="942"/>
      <c r="BG129" s="942"/>
      <c r="BH129" s="942"/>
      <c r="BI129" s="942"/>
      <c r="BJ129" s="942"/>
      <c r="BK129" s="942"/>
      <c r="BL129" s="942"/>
      <c r="BM129" s="942"/>
      <c r="BN129" s="942"/>
      <c r="BO129" s="942"/>
      <c r="BP129" s="942"/>
      <c r="BQ129" s="942"/>
      <c r="BR129" s="942"/>
      <c r="BS129" s="942"/>
      <c r="BT129" s="942"/>
      <c r="BU129" s="942"/>
      <c r="BV129" s="942"/>
      <c r="BW129" s="942"/>
      <c r="BX129" s="942"/>
      <c r="BY129" s="942"/>
      <c r="BZ129" s="942"/>
      <c r="CA129" s="942"/>
      <c r="CB129" s="942"/>
      <c r="CC129" s="942"/>
      <c r="CD129" s="942"/>
      <c r="CE129" s="942"/>
      <c r="CF129" s="942"/>
      <c r="CG129" s="942"/>
      <c r="CH129" s="942"/>
      <c r="CI129" s="942"/>
      <c r="CJ129" s="942"/>
      <c r="CK129" s="942"/>
      <c r="CL129" s="942"/>
      <c r="CM129" s="942"/>
      <c r="CN129" s="942"/>
      <c r="CO129" s="942"/>
      <c r="CP129" s="942"/>
      <c r="CQ129" s="942"/>
      <c r="CR129" s="942"/>
      <c r="CS129" s="942"/>
      <c r="CT129" s="942"/>
      <c r="CU129" s="942"/>
      <c r="CV129" s="942"/>
      <c r="CW129" s="942"/>
      <c r="CX129" s="942"/>
      <c r="CY129" s="942"/>
      <c r="CZ129" s="942"/>
      <c r="DA129" s="942"/>
      <c r="DB129" s="942"/>
      <c r="DC129" s="942"/>
      <c r="DD129" s="942"/>
      <c r="DE129" s="942"/>
      <c r="DF129" s="942"/>
      <c r="DG129" s="942"/>
      <c r="DH129" s="942"/>
      <c r="DI129" s="942"/>
      <c r="DJ129" s="942"/>
      <c r="DK129" s="942"/>
      <c r="DL129" s="942"/>
      <c r="DM129" s="942"/>
      <c r="DN129" s="942"/>
      <c r="DO129" s="942"/>
      <c r="DP129" s="942"/>
      <c r="DQ129" s="942"/>
      <c r="DR129" s="942"/>
      <c r="DS129" s="942"/>
      <c r="DT129" s="942"/>
      <c r="DU129" s="942"/>
      <c r="DV129" s="942"/>
      <c r="DW129" s="942"/>
      <c r="DX129" s="942"/>
      <c r="DY129" s="942"/>
      <c r="DZ129" s="942"/>
      <c r="EA129" s="942"/>
      <c r="EB129" s="942"/>
      <c r="EC129" s="942"/>
      <c r="ED129" s="942"/>
      <c r="EE129" s="942"/>
      <c r="EF129" s="942"/>
      <c r="EG129" s="942"/>
      <c r="EH129" s="942"/>
      <c r="EI129" s="942"/>
      <c r="EJ129" s="942"/>
      <c r="EK129" s="942"/>
      <c r="EL129" s="942"/>
      <c r="EM129" s="942"/>
      <c r="EN129" s="942"/>
      <c r="EO129" s="942"/>
      <c r="EP129" s="942"/>
      <c r="EQ129" s="942"/>
      <c r="ER129" s="942"/>
      <c r="ES129" s="942"/>
      <c r="ET129" s="942"/>
      <c r="EU129" s="942"/>
      <c r="EV129" s="942"/>
      <c r="EW129" s="942"/>
      <c r="EX129" s="942"/>
      <c r="EY129" s="942"/>
      <c r="EZ129" s="942"/>
      <c r="FA129" s="942"/>
      <c r="FB129" s="942"/>
      <c r="FC129" s="942"/>
      <c r="FD129" s="942"/>
      <c r="FE129" s="942"/>
      <c r="FF129" s="942"/>
      <c r="FG129" s="942"/>
      <c r="FH129" s="942"/>
      <c r="FI129" s="942"/>
      <c r="FJ129" s="942"/>
      <c r="FK129" s="942"/>
      <c r="FL129" s="942"/>
      <c r="FM129" s="942"/>
      <c r="FN129" s="942"/>
      <c r="FO129" s="942"/>
      <c r="FP129" s="942"/>
      <c r="FQ129" s="942"/>
      <c r="FR129" s="942"/>
      <c r="FS129" s="942"/>
      <c r="FT129" s="942"/>
      <c r="FU129" s="942"/>
      <c r="FV129" s="942"/>
      <c r="FW129" s="942"/>
      <c r="FX129" s="942"/>
      <c r="FY129" s="942"/>
      <c r="FZ129" s="942"/>
      <c r="GA129" s="942"/>
      <c r="GB129" s="942"/>
      <c r="GC129" s="942"/>
      <c r="GD129" s="942"/>
      <c r="GE129" s="942"/>
      <c r="GF129" s="942"/>
      <c r="GG129" s="942"/>
      <c r="GH129" s="942"/>
      <c r="GI129" s="942"/>
      <c r="GJ129" s="942"/>
      <c r="GK129" s="942"/>
      <c r="GL129" s="942"/>
      <c r="GM129" s="942"/>
      <c r="GN129" s="942"/>
      <c r="GO129" s="942"/>
      <c r="GP129" s="942"/>
      <c r="GQ129" s="942"/>
      <c r="GR129" s="942"/>
      <c r="GS129" s="942"/>
      <c r="GT129" s="942"/>
      <c r="GU129" s="942"/>
      <c r="GV129" s="942"/>
      <c r="GW129" s="942"/>
      <c r="GX129" s="942"/>
      <c r="GY129" s="942"/>
      <c r="GZ129" s="942"/>
      <c r="HA129" s="942"/>
      <c r="HB129" s="942"/>
      <c r="HC129" s="942"/>
      <c r="HD129" s="942"/>
      <c r="HE129" s="942"/>
      <c r="HF129" s="942"/>
      <c r="HG129" s="942"/>
      <c r="HH129" s="942"/>
      <c r="HI129" s="942"/>
      <c r="HJ129" s="942"/>
      <c r="HK129" s="942"/>
      <c r="HL129" s="942"/>
      <c r="HM129" s="942"/>
      <c r="HN129" s="942"/>
      <c r="HO129" s="942"/>
      <c r="HP129" s="942"/>
      <c r="HQ129" s="942"/>
      <c r="HR129" s="942"/>
      <c r="HS129" s="942"/>
      <c r="HT129" s="942"/>
      <c r="HU129" s="942"/>
      <c r="HV129" s="942"/>
      <c r="HW129" s="942"/>
      <c r="HX129" s="942"/>
      <c r="HY129" s="942"/>
      <c r="HZ129" s="942"/>
      <c r="IA129" s="942"/>
      <c r="IB129" s="942"/>
      <c r="IC129" s="942"/>
      <c r="ID129" s="942"/>
      <c r="IE129" s="942"/>
      <c r="IF129" s="942"/>
      <c r="IG129" s="942"/>
      <c r="IH129" s="942"/>
      <c r="II129" s="942"/>
      <c r="IJ129" s="942"/>
      <c r="IK129" s="942"/>
      <c r="IL129" s="942"/>
      <c r="IM129" s="942"/>
    </row>
    <row r="130" spans="1:247" s="950" customFormat="1" ht="15">
      <c r="A130" s="947"/>
      <c r="B130" s="936"/>
      <c r="C130" s="937"/>
      <c r="D130" s="938"/>
      <c r="E130" s="939"/>
      <c r="F130" s="985">
        <f>+F126-'2.Onki'!G10</f>
        <v>0</v>
      </c>
      <c r="G130" s="985">
        <f>+G126-'2.Onki'!H10</f>
        <v>0</v>
      </c>
      <c r="H130" s="940">
        <f>+H126-'2.Onki'!I10</f>
        <v>0</v>
      </c>
      <c r="I130" s="940">
        <f>+I126-'2.Onki'!J10</f>
        <v>0</v>
      </c>
      <c r="J130" s="942"/>
      <c r="K130" s="942"/>
      <c r="L130" s="942"/>
      <c r="M130" s="942"/>
      <c r="N130" s="942"/>
      <c r="O130" s="942"/>
      <c r="P130" s="942"/>
      <c r="Q130" s="942"/>
      <c r="R130" s="942"/>
      <c r="S130" s="942"/>
      <c r="T130" s="942"/>
      <c r="U130" s="942"/>
      <c r="V130" s="942"/>
      <c r="W130" s="942"/>
      <c r="X130" s="942"/>
      <c r="Y130" s="942"/>
      <c r="Z130" s="942"/>
      <c r="AA130" s="942"/>
      <c r="AB130" s="942"/>
      <c r="AC130" s="942"/>
      <c r="AD130" s="942"/>
      <c r="AE130" s="942"/>
      <c r="AF130" s="942"/>
      <c r="AG130" s="942"/>
      <c r="AH130" s="942"/>
      <c r="AI130" s="942"/>
      <c r="AJ130" s="942"/>
      <c r="AK130" s="942"/>
      <c r="AL130" s="942"/>
      <c r="AM130" s="942"/>
      <c r="AN130" s="942"/>
      <c r="AO130" s="942"/>
      <c r="AP130" s="942"/>
      <c r="AQ130" s="942"/>
      <c r="AR130" s="942"/>
      <c r="AS130" s="942"/>
      <c r="AT130" s="942"/>
      <c r="AU130" s="942"/>
      <c r="AV130" s="942"/>
      <c r="AW130" s="942"/>
      <c r="AX130" s="942"/>
      <c r="AY130" s="942"/>
      <c r="AZ130" s="942"/>
      <c r="BA130" s="942"/>
      <c r="BB130" s="942"/>
      <c r="BC130" s="942"/>
      <c r="BD130" s="942"/>
      <c r="BE130" s="942"/>
      <c r="BF130" s="942"/>
      <c r="BG130" s="942"/>
      <c r="BH130" s="942"/>
      <c r="BI130" s="942"/>
      <c r="BJ130" s="942"/>
      <c r="BK130" s="942"/>
      <c r="BL130" s="942"/>
      <c r="BM130" s="942"/>
      <c r="BN130" s="942"/>
      <c r="BO130" s="942"/>
      <c r="BP130" s="942"/>
      <c r="BQ130" s="942"/>
      <c r="BR130" s="942"/>
      <c r="BS130" s="942"/>
      <c r="BT130" s="942"/>
      <c r="BU130" s="942"/>
      <c r="BV130" s="942"/>
      <c r="BW130" s="942"/>
      <c r="BX130" s="942"/>
      <c r="BY130" s="942"/>
      <c r="BZ130" s="942"/>
      <c r="CA130" s="942"/>
      <c r="CB130" s="942"/>
      <c r="CC130" s="942"/>
      <c r="CD130" s="942"/>
      <c r="CE130" s="942"/>
      <c r="CF130" s="942"/>
      <c r="CG130" s="942"/>
      <c r="CH130" s="942"/>
      <c r="CI130" s="942"/>
      <c r="CJ130" s="942"/>
      <c r="CK130" s="942"/>
      <c r="CL130" s="942"/>
      <c r="CM130" s="942"/>
      <c r="CN130" s="942"/>
      <c r="CO130" s="942"/>
      <c r="CP130" s="942"/>
      <c r="CQ130" s="942"/>
      <c r="CR130" s="942"/>
      <c r="CS130" s="942"/>
      <c r="CT130" s="942"/>
      <c r="CU130" s="942"/>
      <c r="CV130" s="942"/>
      <c r="CW130" s="942"/>
      <c r="CX130" s="942"/>
      <c r="CY130" s="942"/>
      <c r="CZ130" s="942"/>
      <c r="DA130" s="942"/>
      <c r="DB130" s="942"/>
      <c r="DC130" s="942"/>
      <c r="DD130" s="942"/>
      <c r="DE130" s="942"/>
      <c r="DF130" s="942"/>
      <c r="DG130" s="942"/>
      <c r="DH130" s="942"/>
      <c r="DI130" s="942"/>
      <c r="DJ130" s="942"/>
      <c r="DK130" s="942"/>
      <c r="DL130" s="942"/>
      <c r="DM130" s="942"/>
      <c r="DN130" s="942"/>
      <c r="DO130" s="942"/>
      <c r="DP130" s="942"/>
      <c r="DQ130" s="942"/>
      <c r="DR130" s="942"/>
      <c r="DS130" s="942"/>
      <c r="DT130" s="942"/>
      <c r="DU130" s="942"/>
      <c r="DV130" s="942"/>
      <c r="DW130" s="942"/>
      <c r="DX130" s="942"/>
      <c r="DY130" s="942"/>
      <c r="DZ130" s="942"/>
      <c r="EA130" s="942"/>
      <c r="EB130" s="942"/>
      <c r="EC130" s="942"/>
      <c r="ED130" s="942"/>
      <c r="EE130" s="942"/>
      <c r="EF130" s="942"/>
      <c r="EG130" s="942"/>
      <c r="EH130" s="942"/>
      <c r="EI130" s="942"/>
      <c r="EJ130" s="942"/>
      <c r="EK130" s="942"/>
      <c r="EL130" s="942"/>
      <c r="EM130" s="942"/>
      <c r="EN130" s="942"/>
      <c r="EO130" s="942"/>
      <c r="EP130" s="942"/>
      <c r="EQ130" s="942"/>
      <c r="ER130" s="942"/>
      <c r="ES130" s="942"/>
      <c r="ET130" s="942"/>
      <c r="EU130" s="942"/>
      <c r="EV130" s="942"/>
      <c r="EW130" s="942"/>
      <c r="EX130" s="942"/>
      <c r="EY130" s="942"/>
      <c r="EZ130" s="942"/>
      <c r="FA130" s="942"/>
      <c r="FB130" s="942"/>
      <c r="FC130" s="942"/>
      <c r="FD130" s="942"/>
      <c r="FE130" s="942"/>
      <c r="FF130" s="942"/>
      <c r="FG130" s="942"/>
      <c r="FH130" s="942"/>
      <c r="FI130" s="942"/>
      <c r="FJ130" s="942"/>
      <c r="FK130" s="942"/>
      <c r="FL130" s="942"/>
      <c r="FM130" s="942"/>
      <c r="FN130" s="942"/>
      <c r="FO130" s="942"/>
      <c r="FP130" s="942"/>
      <c r="FQ130" s="942"/>
      <c r="FR130" s="942"/>
      <c r="FS130" s="942"/>
      <c r="FT130" s="942"/>
      <c r="FU130" s="942"/>
      <c r="FV130" s="942"/>
      <c r="FW130" s="942"/>
      <c r="FX130" s="942"/>
      <c r="FY130" s="942"/>
      <c r="FZ130" s="942"/>
      <c r="GA130" s="942"/>
      <c r="GB130" s="942"/>
      <c r="GC130" s="942"/>
      <c r="GD130" s="942"/>
      <c r="GE130" s="942"/>
      <c r="GF130" s="942"/>
      <c r="GG130" s="942"/>
      <c r="GH130" s="942"/>
      <c r="GI130" s="942"/>
      <c r="GJ130" s="942"/>
      <c r="GK130" s="942"/>
      <c r="GL130" s="942"/>
      <c r="GM130" s="942"/>
      <c r="GN130" s="942"/>
      <c r="GO130" s="942"/>
      <c r="GP130" s="942"/>
      <c r="GQ130" s="942"/>
      <c r="GR130" s="942"/>
      <c r="GS130" s="942"/>
      <c r="GT130" s="942"/>
      <c r="GU130" s="942"/>
      <c r="GV130" s="942"/>
      <c r="GW130" s="942"/>
      <c r="GX130" s="942"/>
      <c r="GY130" s="942"/>
      <c r="GZ130" s="942"/>
      <c r="HA130" s="942"/>
      <c r="HB130" s="942"/>
      <c r="HC130" s="942"/>
      <c r="HD130" s="942"/>
      <c r="HE130" s="942"/>
      <c r="HF130" s="942"/>
      <c r="HG130" s="942"/>
      <c r="HH130" s="942"/>
      <c r="HI130" s="942"/>
      <c r="HJ130" s="942"/>
      <c r="HK130" s="942"/>
      <c r="HL130" s="942"/>
      <c r="HM130" s="942"/>
      <c r="HN130" s="942"/>
      <c r="HO130" s="942"/>
      <c r="HP130" s="942"/>
      <c r="HQ130" s="942"/>
      <c r="HR130" s="942"/>
      <c r="HS130" s="942"/>
      <c r="HT130" s="942"/>
      <c r="HU130" s="942"/>
      <c r="HV130" s="942"/>
      <c r="HW130" s="942"/>
      <c r="HX130" s="942"/>
      <c r="HY130" s="942"/>
      <c r="HZ130" s="942"/>
      <c r="IA130" s="942"/>
      <c r="IB130" s="942"/>
      <c r="IC130" s="942"/>
      <c r="ID130" s="942"/>
      <c r="IE130" s="942"/>
      <c r="IF130" s="942"/>
      <c r="IG130" s="942"/>
      <c r="IH130" s="942"/>
      <c r="II130" s="942"/>
      <c r="IJ130" s="942"/>
      <c r="IK130" s="942"/>
      <c r="IL130" s="942"/>
      <c r="IM130" s="942"/>
    </row>
  </sheetData>
  <sheetProtection/>
  <mergeCells count="14">
    <mergeCell ref="B114:D114"/>
    <mergeCell ref="B125:D125"/>
    <mergeCell ref="B126:D126"/>
    <mergeCell ref="B1:D1"/>
    <mergeCell ref="B2:I2"/>
    <mergeCell ref="B3:I3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1968503937007874" right="0.1968503937007874" top="0.5905511811023623" bottom="0.3937007874015748" header="0.5118110236220472" footer="0.31496062992125984"/>
  <pageSetup fitToHeight="0" fitToWidth="1" horizontalDpi="600" verticalDpi="600" orientation="portrait" paperSize="9" scale="73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51"/>
  <sheetViews>
    <sheetView view="pageBreakPreview" zoomScaleNormal="75" zoomScaleSheetLayoutView="100" zoomScalePageLayoutView="0" workbookViewId="0" topLeftCell="A197">
      <selection activeCell="D197" sqref="D197"/>
    </sheetView>
  </sheetViews>
  <sheetFormatPr defaultColWidth="9.00390625" defaultRowHeight="12.75"/>
  <cols>
    <col min="1" max="1" width="3.75390625" style="605" customWidth="1"/>
    <col min="2" max="2" width="5.75390625" style="3" customWidth="1"/>
    <col min="3" max="3" width="5.75390625" style="7" customWidth="1"/>
    <col min="4" max="4" width="87.75390625" style="16" customWidth="1"/>
    <col min="5" max="7" width="11.75390625" style="4" customWidth="1"/>
    <col min="8" max="8" width="6.75390625" style="3" customWidth="1"/>
    <col min="9" max="9" width="12.75390625" style="13" customWidth="1"/>
    <col min="10" max="14" width="12.75390625" style="385" customWidth="1"/>
    <col min="15" max="15" width="9.25390625" style="4" bestFit="1" customWidth="1"/>
    <col min="16" max="16384" width="9.125" style="4" customWidth="1"/>
  </cols>
  <sheetData>
    <row r="1" spans="1:14" ht="16.5">
      <c r="A1" s="954"/>
      <c r="B1" s="1701" t="s">
        <v>646</v>
      </c>
      <c r="C1" s="1701"/>
      <c r="D1" s="1701"/>
      <c r="G1" s="1702"/>
      <c r="H1" s="1702"/>
      <c r="I1" s="1702"/>
      <c r="J1" s="955"/>
      <c r="K1" s="955"/>
      <c r="L1" s="955"/>
      <c r="M1" s="955"/>
      <c r="N1" s="955"/>
    </row>
    <row r="2" spans="1:14" ht="24.75" customHeight="1">
      <c r="A2" s="954"/>
      <c r="B2" s="1703" t="s">
        <v>14</v>
      </c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</row>
    <row r="3" spans="1:14" s="6" customFormat="1" ht="24.75" customHeight="1">
      <c r="A3" s="954"/>
      <c r="B3" s="1704" t="s">
        <v>804</v>
      </c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</row>
    <row r="4" spans="1:14" s="383" customFormat="1" ht="15">
      <c r="A4" s="953"/>
      <c r="B4" s="956"/>
      <c r="C4" s="957"/>
      <c r="D4" s="958"/>
      <c r="G4" s="959"/>
      <c r="H4" s="960"/>
      <c r="I4" s="961"/>
      <c r="J4" s="930"/>
      <c r="K4" s="930"/>
      <c r="L4" s="930"/>
      <c r="M4" s="1705" t="s">
        <v>0</v>
      </c>
      <c r="N4" s="1705"/>
    </row>
    <row r="5" spans="1:14" s="116" customFormat="1" ht="15" thickBot="1">
      <c r="A5" s="962"/>
      <c r="B5" s="116" t="s">
        <v>1</v>
      </c>
      <c r="C5" s="963" t="s">
        <v>3</v>
      </c>
      <c r="D5" s="964" t="s">
        <v>2</v>
      </c>
      <c r="E5" s="116" t="s">
        <v>4</v>
      </c>
      <c r="F5" s="116" t="s">
        <v>5</v>
      </c>
      <c r="G5" s="116" t="s">
        <v>15</v>
      </c>
      <c r="H5" s="965" t="s">
        <v>16</v>
      </c>
      <c r="I5" s="963" t="s">
        <v>17</v>
      </c>
      <c r="J5" s="963" t="s">
        <v>34</v>
      </c>
      <c r="K5" s="963" t="s">
        <v>30</v>
      </c>
      <c r="L5" s="963" t="s">
        <v>23</v>
      </c>
      <c r="M5" s="963" t="s">
        <v>35</v>
      </c>
      <c r="N5" s="963" t="s">
        <v>36</v>
      </c>
    </row>
    <row r="6" spans="1:14" s="596" customFormat="1" ht="34.5" customHeight="1">
      <c r="A6" s="605"/>
      <c r="B6" s="1713" t="s">
        <v>18</v>
      </c>
      <c r="C6" s="1715" t="s">
        <v>19</v>
      </c>
      <c r="D6" s="1719" t="s">
        <v>6</v>
      </c>
      <c r="E6" s="1711" t="s">
        <v>615</v>
      </c>
      <c r="F6" s="1711" t="s">
        <v>661</v>
      </c>
      <c r="G6" s="1717" t="s">
        <v>662</v>
      </c>
      <c r="H6" s="1724" t="s">
        <v>20</v>
      </c>
      <c r="I6" s="1707" t="s">
        <v>663</v>
      </c>
      <c r="J6" s="1709" t="s">
        <v>37</v>
      </c>
      <c r="K6" s="1709"/>
      <c r="L6" s="1709"/>
      <c r="M6" s="1709"/>
      <c r="N6" s="1710"/>
    </row>
    <row r="7" spans="1:14" s="596" customFormat="1" ht="45.75" thickBot="1">
      <c r="A7" s="605"/>
      <c r="B7" s="1714"/>
      <c r="C7" s="1716"/>
      <c r="D7" s="1720"/>
      <c r="E7" s="1712"/>
      <c r="F7" s="1712"/>
      <c r="G7" s="1718"/>
      <c r="H7" s="1725"/>
      <c r="I7" s="1708"/>
      <c r="J7" s="1421" t="s">
        <v>38</v>
      </c>
      <c r="K7" s="1421" t="s">
        <v>39</v>
      </c>
      <c r="L7" s="1421" t="s">
        <v>40</v>
      </c>
      <c r="M7" s="1421" t="s">
        <v>212</v>
      </c>
      <c r="N7" s="952" t="s">
        <v>41</v>
      </c>
    </row>
    <row r="8" spans="1:14" s="596" customFormat="1" ht="23.25" customHeight="1">
      <c r="A8" s="605">
        <v>1</v>
      </c>
      <c r="B8" s="966">
        <v>18</v>
      </c>
      <c r="C8" s="967" t="s">
        <v>507</v>
      </c>
      <c r="D8" s="968"/>
      <c r="E8" s="969"/>
      <c r="F8" s="969"/>
      <c r="G8" s="974"/>
      <c r="H8" s="973"/>
      <c r="I8" s="970"/>
      <c r="J8" s="971"/>
      <c r="K8" s="971"/>
      <c r="L8" s="971"/>
      <c r="M8" s="971"/>
      <c r="N8" s="972"/>
    </row>
    <row r="9" spans="1:14" s="3" customFormat="1" ht="22.5" customHeight="1">
      <c r="A9" s="605">
        <v>2</v>
      </c>
      <c r="B9" s="185"/>
      <c r="C9" s="951">
        <v>1</v>
      </c>
      <c r="D9" s="599" t="s">
        <v>42</v>
      </c>
      <c r="E9" s="191">
        <v>1779</v>
      </c>
      <c r="F9" s="191">
        <v>0</v>
      </c>
      <c r="G9" s="192">
        <v>255</v>
      </c>
      <c r="H9" s="618" t="s">
        <v>23</v>
      </c>
      <c r="I9" s="592"/>
      <c r="J9" s="190"/>
      <c r="K9" s="190"/>
      <c r="L9" s="190"/>
      <c r="M9" s="190"/>
      <c r="N9" s="197"/>
    </row>
    <row r="10" spans="1:14" s="8" customFormat="1" ht="18" customHeight="1">
      <c r="A10" s="605">
        <v>3</v>
      </c>
      <c r="B10" s="166"/>
      <c r="C10" s="167"/>
      <c r="D10" s="1154" t="s">
        <v>293</v>
      </c>
      <c r="E10" s="164"/>
      <c r="F10" s="164"/>
      <c r="G10" s="165"/>
      <c r="H10" s="616"/>
      <c r="I10" s="1147">
        <f>SUM(J10:N10)</f>
        <v>500</v>
      </c>
      <c r="J10" s="1312"/>
      <c r="K10" s="1312"/>
      <c r="L10" s="1148">
        <v>500</v>
      </c>
      <c r="M10" s="1312"/>
      <c r="N10" s="1313"/>
    </row>
    <row r="11" spans="1:16" s="3" customFormat="1" ht="22.5" customHeight="1">
      <c r="A11" s="605">
        <v>4</v>
      </c>
      <c r="B11" s="161"/>
      <c r="C11" s="162">
        <v>2</v>
      </c>
      <c r="D11" s="600" t="s">
        <v>43</v>
      </c>
      <c r="E11" s="164">
        <v>3685</v>
      </c>
      <c r="F11" s="164">
        <v>0</v>
      </c>
      <c r="G11" s="165">
        <v>4500</v>
      </c>
      <c r="H11" s="616" t="s">
        <v>24</v>
      </c>
      <c r="I11" s="1314"/>
      <c r="J11" s="1315"/>
      <c r="K11" s="1315"/>
      <c r="L11" s="1315"/>
      <c r="M11" s="1315"/>
      <c r="N11" s="1316"/>
      <c r="P11" s="8"/>
    </row>
    <row r="12" spans="1:14" s="8" customFormat="1" ht="18" customHeight="1">
      <c r="A12" s="605">
        <v>5</v>
      </c>
      <c r="B12" s="166"/>
      <c r="C12" s="167"/>
      <c r="D12" s="168" t="s">
        <v>293</v>
      </c>
      <c r="E12" s="164"/>
      <c r="F12" s="164"/>
      <c r="G12" s="165"/>
      <c r="H12" s="616"/>
      <c r="I12" s="1147">
        <f>SUM(J12:N12)</f>
        <v>1700</v>
      </c>
      <c r="J12" s="1312"/>
      <c r="K12" s="1312"/>
      <c r="L12" s="1148">
        <v>1700</v>
      </c>
      <c r="M12" s="1312"/>
      <c r="N12" s="1313"/>
    </row>
    <row r="13" spans="1:16" s="3" customFormat="1" ht="22.5" customHeight="1">
      <c r="A13" s="605">
        <v>6</v>
      </c>
      <c r="B13" s="161"/>
      <c r="C13" s="162">
        <v>3</v>
      </c>
      <c r="D13" s="600" t="s">
        <v>44</v>
      </c>
      <c r="E13" s="164">
        <v>7056</v>
      </c>
      <c r="F13" s="164">
        <v>3000</v>
      </c>
      <c r="G13" s="165">
        <v>3485</v>
      </c>
      <c r="H13" s="616" t="s">
        <v>24</v>
      </c>
      <c r="I13" s="1317"/>
      <c r="J13" s="1318"/>
      <c r="K13" s="1318"/>
      <c r="L13" s="1318"/>
      <c r="M13" s="1318"/>
      <c r="N13" s="1319"/>
      <c r="P13" s="8"/>
    </row>
    <row r="14" spans="1:16" s="3" customFormat="1" ht="22.5" customHeight="1">
      <c r="A14" s="605">
        <v>7</v>
      </c>
      <c r="B14" s="161"/>
      <c r="C14" s="162">
        <v>4</v>
      </c>
      <c r="D14" s="600" t="s">
        <v>45</v>
      </c>
      <c r="E14" s="164">
        <v>13218</v>
      </c>
      <c r="F14" s="164">
        <v>0</v>
      </c>
      <c r="G14" s="165">
        <v>4078</v>
      </c>
      <c r="H14" s="616" t="s">
        <v>24</v>
      </c>
      <c r="I14" s="1147"/>
      <c r="J14" s="1312"/>
      <c r="K14" s="1312"/>
      <c r="L14" s="1312"/>
      <c r="M14" s="1312"/>
      <c r="N14" s="1313"/>
      <c r="P14" s="8"/>
    </row>
    <row r="15" spans="1:14" s="8" customFormat="1" ht="18" customHeight="1">
      <c r="A15" s="605">
        <v>8</v>
      </c>
      <c r="B15" s="166"/>
      <c r="C15" s="167"/>
      <c r="D15" s="1154" t="s">
        <v>293</v>
      </c>
      <c r="E15" s="1078"/>
      <c r="F15" s="1078"/>
      <c r="G15" s="1078"/>
      <c r="H15" s="616"/>
      <c r="I15" s="1147">
        <f>SUM(J15:N15)</f>
        <v>7500</v>
      </c>
      <c r="J15" s="1312"/>
      <c r="K15" s="1312"/>
      <c r="L15" s="1148">
        <f>6000+1500</f>
        <v>7500</v>
      </c>
      <c r="M15" s="1312"/>
      <c r="N15" s="1313"/>
    </row>
    <row r="16" spans="1:16" s="3" customFormat="1" ht="22.5" customHeight="1">
      <c r="A16" s="605">
        <v>9</v>
      </c>
      <c r="B16" s="161"/>
      <c r="C16" s="162">
        <v>5</v>
      </c>
      <c r="D16" s="600" t="s">
        <v>12</v>
      </c>
      <c r="E16" s="164">
        <v>9366</v>
      </c>
      <c r="F16" s="164">
        <v>9601</v>
      </c>
      <c r="G16" s="165">
        <v>11467</v>
      </c>
      <c r="H16" s="616" t="s">
        <v>24</v>
      </c>
      <c r="I16" s="1317"/>
      <c r="J16" s="1318"/>
      <c r="K16" s="1318"/>
      <c r="L16" s="1318"/>
      <c r="M16" s="1318"/>
      <c r="N16" s="1319"/>
      <c r="O16" s="8"/>
      <c r="P16" s="8"/>
    </row>
    <row r="17" spans="1:14" s="1158" customFormat="1" ht="18" customHeight="1">
      <c r="A17" s="605">
        <v>10</v>
      </c>
      <c r="B17" s="1152"/>
      <c r="C17" s="1153"/>
      <c r="D17" s="1154" t="s">
        <v>293</v>
      </c>
      <c r="E17" s="1155"/>
      <c r="F17" s="1155"/>
      <c r="G17" s="1156"/>
      <c r="H17" s="1157"/>
      <c r="I17" s="1147">
        <f>SUM(J17:N17)</f>
        <v>1000</v>
      </c>
      <c r="J17" s="1148">
        <v>500</v>
      </c>
      <c r="K17" s="1148">
        <v>100</v>
      </c>
      <c r="L17" s="1148">
        <v>400</v>
      </c>
      <c r="M17" s="1148"/>
      <c r="N17" s="1149"/>
    </row>
    <row r="18" spans="1:16" s="3" customFormat="1" ht="22.5" customHeight="1">
      <c r="A18" s="605">
        <v>11</v>
      </c>
      <c r="B18" s="161"/>
      <c r="C18" s="162">
        <v>6</v>
      </c>
      <c r="D18" s="600" t="s">
        <v>379</v>
      </c>
      <c r="E18" s="164">
        <v>0</v>
      </c>
      <c r="F18" s="164">
        <v>1000</v>
      </c>
      <c r="G18" s="165"/>
      <c r="H18" s="616" t="s">
        <v>24</v>
      </c>
      <c r="I18" s="1317"/>
      <c r="J18" s="1318"/>
      <c r="K18" s="1318"/>
      <c r="L18" s="1318"/>
      <c r="M18" s="1318"/>
      <c r="N18" s="1319"/>
      <c r="O18" s="8"/>
      <c r="P18" s="8"/>
    </row>
    <row r="19" spans="1:16" s="3" customFormat="1" ht="22.5" customHeight="1">
      <c r="A19" s="605">
        <v>12</v>
      </c>
      <c r="B19" s="161"/>
      <c r="C19" s="162">
        <v>7</v>
      </c>
      <c r="D19" s="600" t="s">
        <v>10</v>
      </c>
      <c r="E19" s="164">
        <f>SUM(E21,E23,E25,E27,E31,E29)</f>
        <v>74000</v>
      </c>
      <c r="F19" s="164">
        <f>SUM(F21,F23,F25,F27,F31,F29)</f>
        <v>0</v>
      </c>
      <c r="G19" s="165">
        <f>SUM(G21,G23,G25,G27,G31,G29)</f>
        <v>0</v>
      </c>
      <c r="H19" s="616" t="s">
        <v>24</v>
      </c>
      <c r="I19" s="1317"/>
      <c r="J19" s="1318"/>
      <c r="K19" s="1318"/>
      <c r="L19" s="1318"/>
      <c r="M19" s="1318"/>
      <c r="N19" s="1319"/>
      <c r="O19" s="8"/>
      <c r="P19" s="8"/>
    </row>
    <row r="20" spans="1:14" s="8" customFormat="1" ht="18" customHeight="1">
      <c r="A20" s="605">
        <v>13</v>
      </c>
      <c r="B20" s="166"/>
      <c r="C20" s="167"/>
      <c r="D20" s="1154" t="s">
        <v>293</v>
      </c>
      <c r="E20" s="164"/>
      <c r="F20" s="164"/>
      <c r="G20" s="165"/>
      <c r="H20" s="616"/>
      <c r="I20" s="1147">
        <f>SUM(J20:N20)</f>
        <v>36000</v>
      </c>
      <c r="J20" s="1148">
        <f>SUM(J22,J24,J26,J28,J30)</f>
        <v>0</v>
      </c>
      <c r="K20" s="1148">
        <f>SUM(K22,K24,K26,K28,K30)</f>
        <v>0</v>
      </c>
      <c r="L20" s="1148">
        <f>SUM(L22,L24,L26,L28,L30)</f>
        <v>7500</v>
      </c>
      <c r="M20" s="1148">
        <f>SUM(M22,M24,M26,M28,M30)</f>
        <v>0</v>
      </c>
      <c r="N20" s="1149">
        <f>SUM(N22,N24,N26,N28,N30)</f>
        <v>28500</v>
      </c>
    </row>
    <row r="21" spans="1:16" s="9" customFormat="1" ht="18" customHeight="1">
      <c r="A21" s="605">
        <v>14</v>
      </c>
      <c r="B21" s="171"/>
      <c r="C21" s="582"/>
      <c r="D21" s="456" t="s">
        <v>46</v>
      </c>
      <c r="E21" s="172">
        <v>30000</v>
      </c>
      <c r="F21" s="172">
        <v>0</v>
      </c>
      <c r="G21" s="173">
        <v>0</v>
      </c>
      <c r="H21" s="617"/>
      <c r="I21" s="1150"/>
      <c r="J21" s="1320"/>
      <c r="K21" s="1320"/>
      <c r="L21" s="1320"/>
      <c r="M21" s="1320"/>
      <c r="N21" s="1321"/>
      <c r="P21" s="8"/>
    </row>
    <row r="22" spans="1:16" s="9" customFormat="1" ht="18" customHeight="1">
      <c r="A22" s="605">
        <v>15</v>
      </c>
      <c r="B22" s="171"/>
      <c r="C22" s="167"/>
      <c r="D22" s="1385" t="s">
        <v>293</v>
      </c>
      <c r="E22" s="172"/>
      <c r="F22" s="172"/>
      <c r="G22" s="173"/>
      <c r="H22" s="617"/>
      <c r="I22" s="1150">
        <f>SUM(J22:N22)</f>
        <v>15000</v>
      </c>
      <c r="J22" s="1320"/>
      <c r="K22" s="1320"/>
      <c r="L22" s="1320"/>
      <c r="M22" s="1320"/>
      <c r="N22" s="1321">
        <v>15000</v>
      </c>
      <c r="P22" s="8"/>
    </row>
    <row r="23" spans="1:16" s="9" customFormat="1" ht="18" customHeight="1">
      <c r="A23" s="605">
        <v>16</v>
      </c>
      <c r="B23" s="171"/>
      <c r="C23" s="582"/>
      <c r="D23" s="456" t="s">
        <v>47</v>
      </c>
      <c r="E23" s="172">
        <v>15000</v>
      </c>
      <c r="F23" s="172">
        <v>0</v>
      </c>
      <c r="G23" s="173">
        <v>0</v>
      </c>
      <c r="H23" s="617"/>
      <c r="I23" s="1322"/>
      <c r="J23" s="1323"/>
      <c r="K23" s="1323"/>
      <c r="L23" s="1323"/>
      <c r="M23" s="1323"/>
      <c r="N23" s="1324"/>
      <c r="P23" s="8"/>
    </row>
    <row r="24" spans="1:16" s="9" customFormat="1" ht="18" customHeight="1">
      <c r="A24" s="605">
        <v>17</v>
      </c>
      <c r="B24" s="171"/>
      <c r="C24" s="167"/>
      <c r="D24" s="1385" t="s">
        <v>293</v>
      </c>
      <c r="E24" s="172"/>
      <c r="F24" s="172"/>
      <c r="G24" s="173"/>
      <c r="H24" s="617"/>
      <c r="I24" s="1150">
        <f>SUM(J24:N24)</f>
        <v>7500</v>
      </c>
      <c r="J24" s="1320"/>
      <c r="K24" s="1320"/>
      <c r="L24" s="1320">
        <v>7500</v>
      </c>
      <c r="M24" s="1320"/>
      <c r="N24" s="1321"/>
      <c r="P24" s="8"/>
    </row>
    <row r="25" spans="1:16" s="9" customFormat="1" ht="18" customHeight="1">
      <c r="A25" s="605">
        <v>18</v>
      </c>
      <c r="B25" s="171"/>
      <c r="C25" s="582"/>
      <c r="D25" s="456" t="s">
        <v>48</v>
      </c>
      <c r="E25" s="172">
        <v>2000</v>
      </c>
      <c r="F25" s="172">
        <v>0</v>
      </c>
      <c r="G25" s="173">
        <v>0</v>
      </c>
      <c r="H25" s="617"/>
      <c r="I25" s="1322"/>
      <c r="J25" s="1323"/>
      <c r="K25" s="1323"/>
      <c r="L25" s="1323"/>
      <c r="M25" s="1323"/>
      <c r="N25" s="1324"/>
      <c r="P25" s="8"/>
    </row>
    <row r="26" spans="1:16" s="9" customFormat="1" ht="18" customHeight="1">
      <c r="A26" s="605">
        <v>19</v>
      </c>
      <c r="B26" s="171"/>
      <c r="C26" s="167"/>
      <c r="D26" s="1385" t="s">
        <v>293</v>
      </c>
      <c r="E26" s="172"/>
      <c r="F26" s="172"/>
      <c r="G26" s="173"/>
      <c r="H26" s="617"/>
      <c r="I26" s="1150">
        <f>SUM(J26:N26)</f>
        <v>1000</v>
      </c>
      <c r="J26" s="1320"/>
      <c r="K26" s="1320"/>
      <c r="L26" s="1320"/>
      <c r="M26" s="1320"/>
      <c r="N26" s="1321">
        <v>1000</v>
      </c>
      <c r="P26" s="8"/>
    </row>
    <row r="27" spans="1:16" s="9" customFormat="1" ht="18" customHeight="1">
      <c r="A27" s="605">
        <v>20</v>
      </c>
      <c r="B27" s="171"/>
      <c r="C27" s="582"/>
      <c r="D27" s="456" t="s">
        <v>49</v>
      </c>
      <c r="E27" s="172">
        <v>15000</v>
      </c>
      <c r="F27" s="172">
        <v>0</v>
      </c>
      <c r="G27" s="173">
        <v>0</v>
      </c>
      <c r="H27" s="617"/>
      <c r="I27" s="1322"/>
      <c r="J27" s="1323"/>
      <c r="K27" s="1323"/>
      <c r="L27" s="1323"/>
      <c r="M27" s="1323"/>
      <c r="N27" s="1324"/>
      <c r="P27" s="8"/>
    </row>
    <row r="28" spans="1:16" s="9" customFormat="1" ht="18" customHeight="1">
      <c r="A28" s="605">
        <v>21</v>
      </c>
      <c r="B28" s="171"/>
      <c r="C28" s="167"/>
      <c r="D28" s="1385" t="s">
        <v>293</v>
      </c>
      <c r="E28" s="172"/>
      <c r="F28" s="172"/>
      <c r="G28" s="173"/>
      <c r="H28" s="617"/>
      <c r="I28" s="1150">
        <f>SUM(J28:N28)</f>
        <v>7500</v>
      </c>
      <c r="J28" s="1320"/>
      <c r="K28" s="1320"/>
      <c r="L28" s="1320"/>
      <c r="M28" s="1320"/>
      <c r="N28" s="1321">
        <v>7500</v>
      </c>
      <c r="P28" s="8"/>
    </row>
    <row r="29" spans="1:14" s="9" customFormat="1" ht="18" customHeight="1">
      <c r="A29" s="605">
        <v>22</v>
      </c>
      <c r="B29" s="171"/>
      <c r="C29" s="167"/>
      <c r="D29" s="456" t="s">
        <v>50</v>
      </c>
      <c r="E29" s="172">
        <v>10000</v>
      </c>
      <c r="F29" s="172">
        <v>0</v>
      </c>
      <c r="G29" s="173">
        <v>0</v>
      </c>
      <c r="H29" s="617"/>
      <c r="I29" s="1322"/>
      <c r="J29" s="1323"/>
      <c r="K29" s="1323"/>
      <c r="L29" s="1323"/>
      <c r="M29" s="1323"/>
      <c r="N29" s="1324"/>
    </row>
    <row r="30" spans="1:14" s="9" customFormat="1" ht="18" customHeight="1">
      <c r="A30" s="605">
        <v>23</v>
      </c>
      <c r="B30" s="171"/>
      <c r="C30" s="167"/>
      <c r="D30" s="1385" t="s">
        <v>293</v>
      </c>
      <c r="E30" s="172"/>
      <c r="F30" s="172"/>
      <c r="G30" s="173"/>
      <c r="H30" s="617"/>
      <c r="I30" s="1150">
        <f>SUM(J30:N30)</f>
        <v>5000</v>
      </c>
      <c r="J30" s="1320"/>
      <c r="K30" s="1320"/>
      <c r="L30" s="1320"/>
      <c r="M30" s="1320"/>
      <c r="N30" s="1321">
        <v>5000</v>
      </c>
    </row>
    <row r="31" spans="1:16" s="9" customFormat="1" ht="18" customHeight="1">
      <c r="A31" s="605">
        <v>24</v>
      </c>
      <c r="B31" s="171"/>
      <c r="C31" s="167">
        <v>8</v>
      </c>
      <c r="D31" s="600" t="s">
        <v>557</v>
      </c>
      <c r="E31" s="164">
        <v>2000</v>
      </c>
      <c r="F31" s="172">
        <v>0</v>
      </c>
      <c r="G31" s="173">
        <v>0</v>
      </c>
      <c r="H31" s="616" t="s">
        <v>24</v>
      </c>
      <c r="I31" s="1150"/>
      <c r="J31" s="1320"/>
      <c r="K31" s="1320"/>
      <c r="L31" s="1320"/>
      <c r="M31" s="1320"/>
      <c r="N31" s="1321"/>
      <c r="P31" s="8"/>
    </row>
    <row r="32" spans="1:16" s="3" customFormat="1" ht="22.5" customHeight="1">
      <c r="A32" s="605">
        <v>25</v>
      </c>
      <c r="B32" s="161"/>
      <c r="C32" s="162">
        <v>9</v>
      </c>
      <c r="D32" s="600" t="s">
        <v>265</v>
      </c>
      <c r="E32" s="164">
        <v>16207</v>
      </c>
      <c r="F32" s="164">
        <v>0</v>
      </c>
      <c r="G32" s="165">
        <v>6657</v>
      </c>
      <c r="H32" s="616" t="s">
        <v>24</v>
      </c>
      <c r="I32" s="1147"/>
      <c r="J32" s="1312"/>
      <c r="K32" s="1312"/>
      <c r="L32" s="1312"/>
      <c r="M32" s="1312"/>
      <c r="N32" s="1313"/>
      <c r="P32" s="8"/>
    </row>
    <row r="33" spans="1:14" s="8" customFormat="1" ht="18" customHeight="1">
      <c r="A33" s="605">
        <v>26</v>
      </c>
      <c r="B33" s="166"/>
      <c r="C33" s="167"/>
      <c r="D33" s="1154" t="s">
        <v>293</v>
      </c>
      <c r="E33" s="1078"/>
      <c r="F33" s="1077"/>
      <c r="G33" s="1078"/>
      <c r="H33" s="616"/>
      <c r="I33" s="1147">
        <f>SUM(J33:N33)</f>
        <v>1000</v>
      </c>
      <c r="J33" s="1312"/>
      <c r="K33" s="1312"/>
      <c r="L33" s="1312">
        <v>1000</v>
      </c>
      <c r="M33" s="1312"/>
      <c r="N33" s="1313"/>
    </row>
    <row r="34" spans="1:16" s="3" customFormat="1" ht="22.5" customHeight="1">
      <c r="A34" s="605">
        <v>27</v>
      </c>
      <c r="B34" s="161"/>
      <c r="C34" s="162">
        <v>10</v>
      </c>
      <c r="D34" s="600" t="s">
        <v>51</v>
      </c>
      <c r="E34" s="164">
        <v>22414</v>
      </c>
      <c r="F34" s="164">
        <v>0</v>
      </c>
      <c r="G34" s="165">
        <v>5892</v>
      </c>
      <c r="H34" s="616" t="s">
        <v>24</v>
      </c>
      <c r="I34" s="1147"/>
      <c r="J34" s="1312"/>
      <c r="K34" s="1312"/>
      <c r="L34" s="1312"/>
      <c r="M34" s="1312"/>
      <c r="N34" s="1313"/>
      <c r="P34" s="8"/>
    </row>
    <row r="35" spans="1:14" s="8" customFormat="1" ht="18" customHeight="1">
      <c r="A35" s="605">
        <v>28</v>
      </c>
      <c r="B35" s="166"/>
      <c r="C35" s="167"/>
      <c r="D35" s="1154" t="s">
        <v>293</v>
      </c>
      <c r="E35" s="164"/>
      <c r="F35" s="164"/>
      <c r="G35" s="165"/>
      <c r="H35" s="616"/>
      <c r="I35" s="1147">
        <f>SUM(J35:N35)</f>
        <v>2000</v>
      </c>
      <c r="J35" s="1312"/>
      <c r="K35" s="1312"/>
      <c r="L35" s="1312">
        <v>2000</v>
      </c>
      <c r="M35" s="1312"/>
      <c r="N35" s="1313"/>
    </row>
    <row r="36" spans="1:16" s="3" customFormat="1" ht="22.5" customHeight="1">
      <c r="A36" s="605">
        <v>29</v>
      </c>
      <c r="B36" s="161"/>
      <c r="C36" s="162">
        <v>11</v>
      </c>
      <c r="D36" s="600" t="s">
        <v>52</v>
      </c>
      <c r="E36" s="164">
        <v>450</v>
      </c>
      <c r="F36" s="164">
        <v>1000</v>
      </c>
      <c r="G36" s="165">
        <v>694</v>
      </c>
      <c r="H36" s="618" t="s">
        <v>24</v>
      </c>
      <c r="I36" s="1147"/>
      <c r="J36" s="1312"/>
      <c r="K36" s="1312"/>
      <c r="L36" s="1312"/>
      <c r="M36" s="1312"/>
      <c r="N36" s="1313"/>
      <c r="P36" s="8"/>
    </row>
    <row r="37" spans="1:16" s="3" customFormat="1" ht="22.5" customHeight="1">
      <c r="A37" s="605">
        <v>30</v>
      </c>
      <c r="B37" s="161"/>
      <c r="C37" s="162">
        <v>12</v>
      </c>
      <c r="D37" s="600" t="s">
        <v>53</v>
      </c>
      <c r="E37" s="164">
        <v>1887</v>
      </c>
      <c r="F37" s="164">
        <v>2000</v>
      </c>
      <c r="G37" s="165">
        <v>0</v>
      </c>
      <c r="H37" s="616" t="s">
        <v>24</v>
      </c>
      <c r="I37" s="1147"/>
      <c r="J37" s="1312"/>
      <c r="K37" s="1312"/>
      <c r="L37" s="1312"/>
      <c r="M37" s="1312"/>
      <c r="N37" s="1313"/>
      <c r="P37" s="8"/>
    </row>
    <row r="38" spans="1:16" s="3" customFormat="1" ht="22.5" customHeight="1">
      <c r="A38" s="605">
        <v>31</v>
      </c>
      <c r="B38" s="161"/>
      <c r="C38" s="162">
        <v>13</v>
      </c>
      <c r="D38" s="600" t="s">
        <v>54</v>
      </c>
      <c r="E38" s="164">
        <f>SUM(E39,E40,E41,E42)+E43</f>
        <v>7346</v>
      </c>
      <c r="F38" s="164">
        <f>SUM(F39,F40,F41,F42)</f>
        <v>2925</v>
      </c>
      <c r="G38" s="165">
        <f>SUM(G39,G40,G41,G42)</f>
        <v>6475</v>
      </c>
      <c r="H38" s="616" t="s">
        <v>24</v>
      </c>
      <c r="I38" s="1147"/>
      <c r="J38" s="1312"/>
      <c r="K38" s="1312"/>
      <c r="L38" s="1312"/>
      <c r="M38" s="1312"/>
      <c r="N38" s="1313"/>
      <c r="P38" s="8"/>
    </row>
    <row r="39" spans="1:14" s="9" customFormat="1" ht="18" customHeight="1">
      <c r="A39" s="605">
        <v>32</v>
      </c>
      <c r="B39" s="171"/>
      <c r="C39" s="167"/>
      <c r="D39" s="174" t="s">
        <v>274</v>
      </c>
      <c r="E39" s="172"/>
      <c r="F39" s="172">
        <v>1000</v>
      </c>
      <c r="G39" s="173"/>
      <c r="H39" s="617"/>
      <c r="I39" s="1150"/>
      <c r="J39" s="1320"/>
      <c r="K39" s="1320"/>
      <c r="L39" s="1320"/>
      <c r="M39" s="1320"/>
      <c r="N39" s="1321"/>
    </row>
    <row r="40" spans="1:14" s="9" customFormat="1" ht="18" customHeight="1">
      <c r="A40" s="605">
        <v>33</v>
      </c>
      <c r="B40" s="171"/>
      <c r="C40" s="167"/>
      <c r="D40" s="174" t="s">
        <v>275</v>
      </c>
      <c r="E40" s="172">
        <v>2846</v>
      </c>
      <c r="F40" s="172">
        <v>1500</v>
      </c>
      <c r="G40" s="173">
        <v>1500</v>
      </c>
      <c r="H40" s="617"/>
      <c r="I40" s="1322"/>
      <c r="J40" s="1323"/>
      <c r="K40" s="1323"/>
      <c r="L40" s="1323"/>
      <c r="M40" s="1323"/>
      <c r="N40" s="1324"/>
    </row>
    <row r="41" spans="1:14" s="9" customFormat="1" ht="18" customHeight="1">
      <c r="A41" s="605">
        <v>34</v>
      </c>
      <c r="B41" s="171"/>
      <c r="C41" s="167"/>
      <c r="D41" s="174" t="s">
        <v>635</v>
      </c>
      <c r="E41" s="172">
        <v>500</v>
      </c>
      <c r="F41" s="172">
        <v>425</v>
      </c>
      <c r="G41" s="173">
        <v>600</v>
      </c>
      <c r="H41" s="617"/>
      <c r="I41" s="1150"/>
      <c r="J41" s="1320"/>
      <c r="K41" s="1320"/>
      <c r="L41" s="1320"/>
      <c r="M41" s="1320"/>
      <c r="N41" s="1321"/>
    </row>
    <row r="42" spans="1:14" s="9" customFormat="1" ht="18" customHeight="1">
      <c r="A42" s="605">
        <v>35</v>
      </c>
      <c r="B42" s="171"/>
      <c r="C42" s="167"/>
      <c r="D42" s="174" t="s">
        <v>943</v>
      </c>
      <c r="E42" s="172">
        <v>2000</v>
      </c>
      <c r="F42" s="172"/>
      <c r="G42" s="173">
        <v>4375</v>
      </c>
      <c r="H42" s="617"/>
      <c r="I42" s="1150"/>
      <c r="J42" s="1320"/>
      <c r="K42" s="1320"/>
      <c r="L42" s="1320"/>
      <c r="M42" s="1320"/>
      <c r="N42" s="1321"/>
    </row>
    <row r="43" spans="1:14" s="9" customFormat="1" ht="18" customHeight="1">
      <c r="A43" s="605">
        <v>36</v>
      </c>
      <c r="B43" s="171"/>
      <c r="C43" s="167"/>
      <c r="D43" s="174" t="s">
        <v>942</v>
      </c>
      <c r="E43" s="172">
        <v>2000</v>
      </c>
      <c r="F43" s="172"/>
      <c r="G43" s="173">
        <v>0</v>
      </c>
      <c r="H43" s="617"/>
      <c r="I43" s="1150"/>
      <c r="J43" s="1320"/>
      <c r="K43" s="1320"/>
      <c r="L43" s="1320"/>
      <c r="M43" s="1320"/>
      <c r="N43" s="1321"/>
    </row>
    <row r="44" spans="1:14" s="9" customFormat="1" ht="18" customHeight="1">
      <c r="A44" s="605">
        <v>37</v>
      </c>
      <c r="B44" s="171"/>
      <c r="C44" s="167">
        <v>14</v>
      </c>
      <c r="D44" s="600" t="s">
        <v>574</v>
      </c>
      <c r="E44" s="172"/>
      <c r="F44" s="172">
        <v>2550</v>
      </c>
      <c r="G44" s="173">
        <v>1000</v>
      </c>
      <c r="H44" s="616" t="s">
        <v>24</v>
      </c>
      <c r="I44" s="1150"/>
      <c r="J44" s="1320"/>
      <c r="K44" s="1320"/>
      <c r="L44" s="1320"/>
      <c r="M44" s="1320"/>
      <c r="N44" s="1321"/>
    </row>
    <row r="45" spans="1:14" s="1172" customFormat="1" ht="18" customHeight="1">
      <c r="A45" s="605">
        <v>38</v>
      </c>
      <c r="B45" s="1165"/>
      <c r="C45" s="1153"/>
      <c r="D45" s="1154" t="s">
        <v>293</v>
      </c>
      <c r="E45" s="1167"/>
      <c r="F45" s="1167"/>
      <c r="G45" s="1168"/>
      <c r="H45" s="1157"/>
      <c r="I45" s="1147">
        <f>SUM(J45:N45)</f>
        <v>1250</v>
      </c>
      <c r="J45" s="1170"/>
      <c r="K45" s="1170"/>
      <c r="L45" s="1170"/>
      <c r="M45" s="1170"/>
      <c r="N45" s="1149">
        <v>1250</v>
      </c>
    </row>
    <row r="46" spans="1:14" s="9" customFormat="1" ht="18" customHeight="1">
      <c r="A46" s="605">
        <v>39</v>
      </c>
      <c r="B46" s="171"/>
      <c r="C46" s="167">
        <v>15</v>
      </c>
      <c r="D46" s="600" t="s">
        <v>575</v>
      </c>
      <c r="E46" s="172"/>
      <c r="F46" s="172">
        <v>2550</v>
      </c>
      <c r="G46" s="173">
        <v>1000</v>
      </c>
      <c r="H46" s="616" t="s">
        <v>24</v>
      </c>
      <c r="I46" s="1150"/>
      <c r="J46" s="1320"/>
      <c r="K46" s="1320"/>
      <c r="L46" s="1320"/>
      <c r="M46" s="1320"/>
      <c r="N46" s="1321"/>
    </row>
    <row r="47" spans="1:14" s="1172" customFormat="1" ht="18" customHeight="1">
      <c r="A47" s="605">
        <v>40</v>
      </c>
      <c r="B47" s="1165"/>
      <c r="C47" s="1153"/>
      <c r="D47" s="1154" t="s">
        <v>293</v>
      </c>
      <c r="E47" s="1167"/>
      <c r="F47" s="1167"/>
      <c r="G47" s="1168"/>
      <c r="H47" s="1157"/>
      <c r="I47" s="1147">
        <f>SUM(J47:N47)</f>
        <v>1250</v>
      </c>
      <c r="J47" s="1170"/>
      <c r="K47" s="1170"/>
      <c r="L47" s="1170"/>
      <c r="M47" s="1170"/>
      <c r="N47" s="1149">
        <v>1250</v>
      </c>
    </row>
    <row r="48" spans="1:14" s="9" customFormat="1" ht="18" customHeight="1">
      <c r="A48" s="605">
        <v>41</v>
      </c>
      <c r="B48" s="171"/>
      <c r="C48" s="167">
        <v>16</v>
      </c>
      <c r="D48" s="600" t="s">
        <v>576</v>
      </c>
      <c r="E48" s="172"/>
      <c r="F48" s="172">
        <v>850</v>
      </c>
      <c r="G48" s="173">
        <v>450</v>
      </c>
      <c r="H48" s="616" t="s">
        <v>24</v>
      </c>
      <c r="I48" s="1150"/>
      <c r="J48" s="1320"/>
      <c r="K48" s="1320"/>
      <c r="L48" s="1320"/>
      <c r="M48" s="1320"/>
      <c r="N48" s="1321"/>
    </row>
    <row r="49" spans="1:14" s="1172" customFormat="1" ht="18" customHeight="1">
      <c r="A49" s="605">
        <v>42</v>
      </c>
      <c r="B49" s="1165"/>
      <c r="C49" s="1153"/>
      <c r="D49" s="1154" t="s">
        <v>293</v>
      </c>
      <c r="E49" s="1167"/>
      <c r="F49" s="1167"/>
      <c r="G49" s="1168"/>
      <c r="H49" s="1169"/>
      <c r="I49" s="1147">
        <f>SUM(J49:N49)</f>
        <v>800</v>
      </c>
      <c r="J49" s="1170"/>
      <c r="K49" s="1170"/>
      <c r="L49" s="1170"/>
      <c r="M49" s="1170"/>
      <c r="N49" s="1171">
        <v>800</v>
      </c>
    </row>
    <row r="50" spans="1:14" s="9" customFormat="1" ht="18" customHeight="1">
      <c r="A50" s="605">
        <v>43</v>
      </c>
      <c r="B50" s="171"/>
      <c r="C50" s="162">
        <v>17</v>
      </c>
      <c r="D50" s="600" t="s">
        <v>457</v>
      </c>
      <c r="E50" s="172">
        <v>650</v>
      </c>
      <c r="F50" s="172">
        <v>553</v>
      </c>
      <c r="G50" s="173">
        <v>500</v>
      </c>
      <c r="H50" s="616" t="s">
        <v>24</v>
      </c>
      <c r="I50" s="1150"/>
      <c r="J50" s="1320"/>
      <c r="K50" s="1320"/>
      <c r="L50" s="1320"/>
      <c r="M50" s="1320"/>
      <c r="N50" s="1321"/>
    </row>
    <row r="51" spans="1:14" s="1172" customFormat="1" ht="18" customHeight="1">
      <c r="A51" s="605">
        <v>44</v>
      </c>
      <c r="B51" s="1165"/>
      <c r="C51" s="1153"/>
      <c r="D51" s="1154" t="s">
        <v>293</v>
      </c>
      <c r="E51" s="1173"/>
      <c r="F51" s="1174"/>
      <c r="G51" s="1173"/>
      <c r="H51" s="1169"/>
      <c r="I51" s="1147">
        <f>SUM(J51:N51)</f>
        <v>500</v>
      </c>
      <c r="J51" s="1170"/>
      <c r="K51" s="1170"/>
      <c r="L51" s="1170"/>
      <c r="M51" s="1170"/>
      <c r="N51" s="1171">
        <v>500</v>
      </c>
    </row>
    <row r="52" spans="1:16" s="3" customFormat="1" ht="22.5" customHeight="1">
      <c r="A52" s="605">
        <v>45</v>
      </c>
      <c r="B52" s="161"/>
      <c r="C52" s="162">
        <v>18</v>
      </c>
      <c r="D52" s="600" t="s">
        <v>55</v>
      </c>
      <c r="E52" s="164">
        <v>5000</v>
      </c>
      <c r="F52" s="164">
        <v>840</v>
      </c>
      <c r="G52" s="165">
        <v>1260</v>
      </c>
      <c r="H52" s="616" t="s">
        <v>24</v>
      </c>
      <c r="I52" s="1317"/>
      <c r="J52" s="1318"/>
      <c r="K52" s="1318"/>
      <c r="L52" s="1318"/>
      <c r="M52" s="1318"/>
      <c r="N52" s="1319"/>
      <c r="O52" s="8"/>
      <c r="P52" s="8"/>
    </row>
    <row r="53" spans="1:16" s="3" customFormat="1" ht="22.5" customHeight="1">
      <c r="A53" s="605">
        <v>46</v>
      </c>
      <c r="B53" s="161"/>
      <c r="C53" s="162">
        <v>19</v>
      </c>
      <c r="D53" s="600" t="s">
        <v>246</v>
      </c>
      <c r="E53" s="164">
        <f>SUM(E55,E57,E58,E59,E60)</f>
        <v>97600</v>
      </c>
      <c r="F53" s="164">
        <f>SUM(F55,F57,F58,F59,F60)</f>
        <v>40935</v>
      </c>
      <c r="G53" s="165">
        <f>SUM(G55,G57,G58,G59,G60)</f>
        <v>75274</v>
      </c>
      <c r="H53" s="616" t="s">
        <v>24</v>
      </c>
      <c r="I53" s="1317"/>
      <c r="J53" s="1318"/>
      <c r="K53" s="1318"/>
      <c r="L53" s="1318"/>
      <c r="M53" s="1318"/>
      <c r="N53" s="1319"/>
      <c r="O53" s="8"/>
      <c r="P53" s="8"/>
    </row>
    <row r="54" spans="1:14" s="1158" customFormat="1" ht="18" customHeight="1">
      <c r="A54" s="605">
        <v>47</v>
      </c>
      <c r="B54" s="1152"/>
      <c r="C54" s="1153"/>
      <c r="D54" s="1154" t="s">
        <v>293</v>
      </c>
      <c r="E54" s="1155"/>
      <c r="F54" s="1155"/>
      <c r="G54" s="1156"/>
      <c r="H54" s="1157"/>
      <c r="I54" s="1147">
        <f>SUM(J54:N54)</f>
        <v>25000</v>
      </c>
      <c r="J54" s="1151">
        <f>SUM(J56,)</f>
        <v>0</v>
      </c>
      <c r="K54" s="1151">
        <f>SUM(K56,)</f>
        <v>0</v>
      </c>
      <c r="L54" s="1151">
        <f>SUM(L56,)</f>
        <v>0</v>
      </c>
      <c r="M54" s="1151">
        <f>SUM(M56,)</f>
        <v>0</v>
      </c>
      <c r="N54" s="1422">
        <f>SUM(N56,)</f>
        <v>25000</v>
      </c>
    </row>
    <row r="55" spans="1:16" s="9" customFormat="1" ht="18" customHeight="1">
      <c r="A55" s="605">
        <v>48</v>
      </c>
      <c r="B55" s="171"/>
      <c r="C55" s="582"/>
      <c r="D55" s="457" t="s">
        <v>56</v>
      </c>
      <c r="E55" s="172">
        <v>83500</v>
      </c>
      <c r="F55" s="172">
        <v>25975</v>
      </c>
      <c r="G55" s="173">
        <v>74100</v>
      </c>
      <c r="H55" s="617"/>
      <c r="I55" s="1150"/>
      <c r="J55" s="1320"/>
      <c r="K55" s="1320"/>
      <c r="L55" s="1320"/>
      <c r="M55" s="1320"/>
      <c r="N55" s="1321"/>
      <c r="P55" s="8"/>
    </row>
    <row r="56" spans="1:16" s="1172" customFormat="1" ht="18" customHeight="1">
      <c r="A56" s="605">
        <v>49</v>
      </c>
      <c r="B56" s="1165"/>
      <c r="C56" s="1153"/>
      <c r="D56" s="1175" t="s">
        <v>293</v>
      </c>
      <c r="E56" s="1167"/>
      <c r="F56" s="1167"/>
      <c r="G56" s="1168"/>
      <c r="H56" s="1169"/>
      <c r="I56" s="1150">
        <f>SUM(J56:N56)</f>
        <v>25000</v>
      </c>
      <c r="J56" s="1170"/>
      <c r="K56" s="1170"/>
      <c r="L56" s="1170"/>
      <c r="M56" s="1170"/>
      <c r="N56" s="1171">
        <v>25000</v>
      </c>
      <c r="P56" s="1158"/>
    </row>
    <row r="57" spans="1:16" s="9" customFormat="1" ht="18" customHeight="1">
      <c r="A57" s="605">
        <v>50</v>
      </c>
      <c r="B57" s="171"/>
      <c r="C57" s="582"/>
      <c r="D57" s="458" t="s">
        <v>57</v>
      </c>
      <c r="E57" s="172">
        <v>5600</v>
      </c>
      <c r="F57" s="172">
        <v>6460</v>
      </c>
      <c r="G57" s="173">
        <v>466</v>
      </c>
      <c r="H57" s="617"/>
      <c r="I57" s="1322"/>
      <c r="J57" s="1323"/>
      <c r="K57" s="1323"/>
      <c r="L57" s="1323"/>
      <c r="M57" s="1323"/>
      <c r="N57" s="1324"/>
      <c r="P57" s="8"/>
    </row>
    <row r="58" spans="1:16" s="9" customFormat="1" ht="18" customHeight="1">
      <c r="A58" s="605">
        <v>51</v>
      </c>
      <c r="B58" s="171"/>
      <c r="C58" s="167"/>
      <c r="D58" s="458" t="s">
        <v>58</v>
      </c>
      <c r="E58" s="172">
        <v>4500</v>
      </c>
      <c r="F58" s="172">
        <v>4500</v>
      </c>
      <c r="G58" s="173">
        <v>375</v>
      </c>
      <c r="H58" s="617"/>
      <c r="I58" s="1322"/>
      <c r="J58" s="1323"/>
      <c r="K58" s="1323"/>
      <c r="L58" s="1323"/>
      <c r="M58" s="1323"/>
      <c r="N58" s="1324"/>
      <c r="P58" s="8"/>
    </row>
    <row r="59" spans="1:16" s="9" customFormat="1" ht="18" customHeight="1">
      <c r="A59" s="605">
        <v>52</v>
      </c>
      <c r="B59" s="171"/>
      <c r="C59" s="167"/>
      <c r="D59" s="458" t="s">
        <v>59</v>
      </c>
      <c r="E59" s="172">
        <v>3000</v>
      </c>
      <c r="F59" s="172">
        <v>3000</v>
      </c>
      <c r="G59" s="173">
        <v>250</v>
      </c>
      <c r="H59" s="617"/>
      <c r="I59" s="1322"/>
      <c r="J59" s="1323"/>
      <c r="K59" s="1323"/>
      <c r="L59" s="1323"/>
      <c r="M59" s="1323"/>
      <c r="N59" s="1324"/>
      <c r="P59" s="8"/>
    </row>
    <row r="60" spans="1:16" s="9" customFormat="1" ht="18" customHeight="1">
      <c r="A60" s="605">
        <v>53</v>
      </c>
      <c r="B60" s="171"/>
      <c r="C60" s="167"/>
      <c r="D60" s="458" t="s">
        <v>345</v>
      </c>
      <c r="E60" s="172">
        <v>1000</v>
      </c>
      <c r="F60" s="172">
        <v>1000</v>
      </c>
      <c r="G60" s="173">
        <v>83</v>
      </c>
      <c r="H60" s="617"/>
      <c r="I60" s="1322"/>
      <c r="J60" s="1323"/>
      <c r="K60" s="1323"/>
      <c r="L60" s="1323"/>
      <c r="M60" s="1323"/>
      <c r="N60" s="1324"/>
      <c r="P60" s="8"/>
    </row>
    <row r="61" spans="1:16" s="9" customFormat="1" ht="22.5" customHeight="1" hidden="1">
      <c r="A61" s="605">
        <v>60</v>
      </c>
      <c r="B61" s="171"/>
      <c r="C61" s="167">
        <v>20</v>
      </c>
      <c r="D61" s="600" t="s">
        <v>588</v>
      </c>
      <c r="E61" s="172"/>
      <c r="F61" s="172">
        <v>425</v>
      </c>
      <c r="G61" s="173">
        <v>0</v>
      </c>
      <c r="H61" s="616" t="s">
        <v>24</v>
      </c>
      <c r="I61" s="1150"/>
      <c r="J61" s="1320"/>
      <c r="K61" s="1320"/>
      <c r="L61" s="1320"/>
      <c r="M61" s="1320"/>
      <c r="N61" s="1321"/>
      <c r="P61" s="8"/>
    </row>
    <row r="62" spans="1:16" s="1172" customFormat="1" ht="18" customHeight="1" hidden="1">
      <c r="A62" s="605">
        <v>61</v>
      </c>
      <c r="B62" s="1165"/>
      <c r="C62" s="1153"/>
      <c r="D62" s="1154" t="s">
        <v>293</v>
      </c>
      <c r="E62" s="1167"/>
      <c r="F62" s="1167"/>
      <c r="G62" s="1168"/>
      <c r="H62" s="1157"/>
      <c r="I62" s="1147">
        <f>SUM(J62:N62)</f>
        <v>0</v>
      </c>
      <c r="J62" s="1170"/>
      <c r="K62" s="1170"/>
      <c r="L62" s="1170"/>
      <c r="M62" s="1170"/>
      <c r="N62" s="1171"/>
      <c r="P62" s="1158"/>
    </row>
    <row r="63" spans="1:16" s="9" customFormat="1" ht="22.5" customHeight="1" hidden="1">
      <c r="A63" s="605">
        <v>62</v>
      </c>
      <c r="B63" s="171"/>
      <c r="C63" s="167">
        <v>21</v>
      </c>
      <c r="D63" s="600" t="s">
        <v>577</v>
      </c>
      <c r="E63" s="172"/>
      <c r="F63" s="172">
        <v>425</v>
      </c>
      <c r="G63" s="173">
        <v>425</v>
      </c>
      <c r="H63" s="616" t="s">
        <v>24</v>
      </c>
      <c r="I63" s="1147"/>
      <c r="J63" s="1320"/>
      <c r="K63" s="1320"/>
      <c r="L63" s="1320"/>
      <c r="M63" s="1320"/>
      <c r="N63" s="1321"/>
      <c r="P63" s="8"/>
    </row>
    <row r="64" spans="1:16" s="1172" customFormat="1" ht="18" customHeight="1" hidden="1">
      <c r="A64" s="605">
        <v>63</v>
      </c>
      <c r="B64" s="1165"/>
      <c r="C64" s="1153"/>
      <c r="D64" s="1154" t="s">
        <v>293</v>
      </c>
      <c r="E64" s="1167"/>
      <c r="F64" s="1167"/>
      <c r="G64" s="1168"/>
      <c r="H64" s="1157"/>
      <c r="I64" s="1147">
        <f>SUM(J64:N64)</f>
        <v>0</v>
      </c>
      <c r="J64" s="1170"/>
      <c r="K64" s="1170"/>
      <c r="L64" s="1170"/>
      <c r="M64" s="1170"/>
      <c r="N64" s="1171"/>
      <c r="P64" s="1158"/>
    </row>
    <row r="65" spans="1:16" s="9" customFormat="1" ht="22.5" customHeight="1" hidden="1">
      <c r="A65" s="605">
        <v>64</v>
      </c>
      <c r="B65" s="171"/>
      <c r="C65" s="167">
        <v>22</v>
      </c>
      <c r="D65" s="600" t="s">
        <v>587</v>
      </c>
      <c r="E65" s="172"/>
      <c r="F65" s="172">
        <v>850</v>
      </c>
      <c r="G65" s="173">
        <v>0</v>
      </c>
      <c r="H65" s="616" t="s">
        <v>24</v>
      </c>
      <c r="I65" s="1147"/>
      <c r="J65" s="1320"/>
      <c r="K65" s="1320"/>
      <c r="L65" s="1320"/>
      <c r="M65" s="1320"/>
      <c r="N65" s="1321"/>
      <c r="P65" s="8"/>
    </row>
    <row r="66" spans="1:16" s="1172" customFormat="1" ht="18" customHeight="1" hidden="1">
      <c r="A66" s="605">
        <v>65</v>
      </c>
      <c r="B66" s="1165"/>
      <c r="C66" s="1153"/>
      <c r="D66" s="1154" t="s">
        <v>293</v>
      </c>
      <c r="E66" s="1167"/>
      <c r="F66" s="1167"/>
      <c r="G66" s="1168"/>
      <c r="H66" s="1169"/>
      <c r="I66" s="1147">
        <f>SUM(J66:N66)</f>
        <v>0</v>
      </c>
      <c r="J66" s="1170"/>
      <c r="K66" s="1170"/>
      <c r="L66" s="1170"/>
      <c r="M66" s="1170"/>
      <c r="N66" s="1171"/>
      <c r="P66" s="1158"/>
    </row>
    <row r="67" spans="1:16" s="9" customFormat="1" ht="22.5" customHeight="1" hidden="1">
      <c r="A67" s="605">
        <v>66</v>
      </c>
      <c r="B67" s="171"/>
      <c r="C67" s="167">
        <v>23</v>
      </c>
      <c r="D67" s="600" t="s">
        <v>578</v>
      </c>
      <c r="E67" s="172"/>
      <c r="F67" s="172">
        <v>2550</v>
      </c>
      <c r="G67" s="173">
        <v>0</v>
      </c>
      <c r="H67" s="616" t="s">
        <v>24</v>
      </c>
      <c r="I67" s="1147"/>
      <c r="J67" s="1320"/>
      <c r="K67" s="1320"/>
      <c r="L67" s="1320"/>
      <c r="M67" s="1320"/>
      <c r="N67" s="1321"/>
      <c r="P67" s="8"/>
    </row>
    <row r="68" spans="1:16" s="1172" customFormat="1" ht="18" customHeight="1" hidden="1">
      <c r="A68" s="605">
        <v>67</v>
      </c>
      <c r="B68" s="1165"/>
      <c r="C68" s="1153"/>
      <c r="D68" s="1154" t="s">
        <v>293</v>
      </c>
      <c r="E68" s="1167"/>
      <c r="F68" s="1167"/>
      <c r="G68" s="1168"/>
      <c r="H68" s="1169"/>
      <c r="I68" s="1147">
        <f>SUM(J68:N68)</f>
        <v>0</v>
      </c>
      <c r="J68" s="1170"/>
      <c r="K68" s="1170"/>
      <c r="L68" s="1170"/>
      <c r="M68" s="1170"/>
      <c r="N68" s="1171"/>
      <c r="P68" s="1158"/>
    </row>
    <row r="69" spans="1:16" s="3" customFormat="1" ht="22.5" customHeight="1" hidden="1">
      <c r="A69" s="605">
        <v>68</v>
      </c>
      <c r="B69" s="161"/>
      <c r="C69" s="162">
        <v>24</v>
      </c>
      <c r="D69" s="600" t="s">
        <v>60</v>
      </c>
      <c r="E69" s="164">
        <v>2500</v>
      </c>
      <c r="F69" s="164">
        <v>0</v>
      </c>
      <c r="G69" s="173">
        <v>0</v>
      </c>
      <c r="H69" s="616" t="s">
        <v>24</v>
      </c>
      <c r="I69" s="1147"/>
      <c r="J69" s="1312"/>
      <c r="K69" s="1312"/>
      <c r="L69" s="1312"/>
      <c r="M69" s="1312"/>
      <c r="N69" s="1313"/>
      <c r="P69" s="8"/>
    </row>
    <row r="70" spans="1:16" s="3" customFormat="1" ht="18" customHeight="1" hidden="1">
      <c r="A70" s="605">
        <v>69</v>
      </c>
      <c r="B70" s="185"/>
      <c r="C70" s="167"/>
      <c r="D70" s="168" t="s">
        <v>293</v>
      </c>
      <c r="E70" s="191"/>
      <c r="F70" s="191"/>
      <c r="G70" s="192"/>
      <c r="H70" s="618"/>
      <c r="I70" s="1147">
        <f>SUM(J70:N70)</f>
        <v>0</v>
      </c>
      <c r="J70" s="1315"/>
      <c r="K70" s="1315"/>
      <c r="L70" s="1315"/>
      <c r="M70" s="1315"/>
      <c r="N70" s="1316"/>
      <c r="P70" s="8"/>
    </row>
    <row r="71" spans="1:16" s="3" customFormat="1" ht="22.5" customHeight="1" hidden="1">
      <c r="A71" s="605">
        <v>70</v>
      </c>
      <c r="B71" s="161"/>
      <c r="C71" s="162">
        <v>25</v>
      </c>
      <c r="D71" s="600" t="s">
        <v>304</v>
      </c>
      <c r="E71" s="164">
        <v>2500</v>
      </c>
      <c r="F71" s="164">
        <v>0</v>
      </c>
      <c r="G71" s="165">
        <v>0</v>
      </c>
      <c r="H71" s="616" t="s">
        <v>24</v>
      </c>
      <c r="I71" s="1147"/>
      <c r="J71" s="1312"/>
      <c r="K71" s="1312"/>
      <c r="L71" s="1312"/>
      <c r="M71" s="1312"/>
      <c r="N71" s="1313"/>
      <c r="P71" s="8"/>
    </row>
    <row r="72" spans="1:16" s="3" customFormat="1" ht="18" customHeight="1" hidden="1">
      <c r="A72" s="605">
        <v>71</v>
      </c>
      <c r="B72" s="185"/>
      <c r="C72" s="167"/>
      <c r="D72" s="168" t="s">
        <v>293</v>
      </c>
      <c r="E72" s="191"/>
      <c r="F72" s="191"/>
      <c r="G72" s="192"/>
      <c r="H72" s="618"/>
      <c r="I72" s="1147">
        <f>SUM(J72:N72)</f>
        <v>0</v>
      </c>
      <c r="J72" s="1315"/>
      <c r="K72" s="1315"/>
      <c r="L72" s="1315"/>
      <c r="M72" s="1315"/>
      <c r="N72" s="1316"/>
      <c r="P72" s="8"/>
    </row>
    <row r="73" spans="1:16" s="3" customFormat="1" ht="22.5" customHeight="1" hidden="1">
      <c r="A73" s="605">
        <v>72</v>
      </c>
      <c r="B73" s="161"/>
      <c r="C73" s="162">
        <v>26</v>
      </c>
      <c r="D73" s="600" t="s">
        <v>61</v>
      </c>
      <c r="E73" s="164">
        <v>1500</v>
      </c>
      <c r="F73" s="164">
        <v>1275</v>
      </c>
      <c r="G73" s="165">
        <v>0</v>
      </c>
      <c r="H73" s="616" t="s">
        <v>24</v>
      </c>
      <c r="I73" s="1147"/>
      <c r="J73" s="1312"/>
      <c r="K73" s="1312"/>
      <c r="L73" s="1312"/>
      <c r="M73" s="1312"/>
      <c r="N73" s="1313"/>
      <c r="P73" s="8"/>
    </row>
    <row r="74" spans="1:14" s="1158" customFormat="1" ht="18" customHeight="1" hidden="1">
      <c r="A74" s="605">
        <v>73</v>
      </c>
      <c r="B74" s="1152"/>
      <c r="C74" s="1153"/>
      <c r="D74" s="1154" t="s">
        <v>293</v>
      </c>
      <c r="E74" s="1155"/>
      <c r="F74" s="1155"/>
      <c r="G74" s="1156"/>
      <c r="H74" s="1157"/>
      <c r="I74" s="1147">
        <f>SUM(J74:N74)</f>
        <v>0</v>
      </c>
      <c r="J74" s="1148"/>
      <c r="K74" s="1148"/>
      <c r="L74" s="1148"/>
      <c r="M74" s="1148"/>
      <c r="N74" s="1149"/>
    </row>
    <row r="75" spans="1:16" s="3" customFormat="1" ht="22.5" customHeight="1" hidden="1">
      <c r="A75" s="605">
        <v>74</v>
      </c>
      <c r="B75" s="161"/>
      <c r="C75" s="162">
        <v>27</v>
      </c>
      <c r="D75" s="600" t="s">
        <v>62</v>
      </c>
      <c r="E75" s="164">
        <v>1000</v>
      </c>
      <c r="F75" s="164">
        <v>850</v>
      </c>
      <c r="G75" s="165">
        <v>0</v>
      </c>
      <c r="H75" s="616" t="s">
        <v>24</v>
      </c>
      <c r="I75" s="1147"/>
      <c r="J75" s="1312"/>
      <c r="K75" s="1312"/>
      <c r="L75" s="1312"/>
      <c r="M75" s="1312"/>
      <c r="N75" s="1313"/>
      <c r="P75" s="8"/>
    </row>
    <row r="76" spans="1:14" s="1158" customFormat="1" ht="18" customHeight="1" hidden="1">
      <c r="A76" s="605">
        <v>75</v>
      </c>
      <c r="B76" s="1152"/>
      <c r="C76" s="1153"/>
      <c r="D76" s="1154" t="s">
        <v>293</v>
      </c>
      <c r="E76" s="1155"/>
      <c r="F76" s="1155"/>
      <c r="G76" s="1156"/>
      <c r="H76" s="1157"/>
      <c r="I76" s="1147">
        <f>SUM(J76:N76)</f>
        <v>0</v>
      </c>
      <c r="J76" s="1148"/>
      <c r="K76" s="1148"/>
      <c r="L76" s="1148"/>
      <c r="M76" s="1148"/>
      <c r="N76" s="1149"/>
    </row>
    <row r="77" spans="1:16" s="3" customFormat="1" ht="22.5" customHeight="1" hidden="1">
      <c r="A77" s="605">
        <v>76</v>
      </c>
      <c r="B77" s="161"/>
      <c r="C77" s="162">
        <v>28</v>
      </c>
      <c r="D77" s="600" t="s">
        <v>266</v>
      </c>
      <c r="E77" s="164">
        <v>5000</v>
      </c>
      <c r="F77" s="164">
        <v>4250</v>
      </c>
      <c r="G77" s="165">
        <v>4480</v>
      </c>
      <c r="H77" s="616" t="s">
        <v>24</v>
      </c>
      <c r="I77" s="1147"/>
      <c r="J77" s="1312"/>
      <c r="K77" s="1312"/>
      <c r="L77" s="1312"/>
      <c r="M77" s="1312"/>
      <c r="N77" s="1313"/>
      <c r="P77" s="8"/>
    </row>
    <row r="78" spans="1:14" s="1158" customFormat="1" ht="18" customHeight="1" hidden="1">
      <c r="A78" s="605">
        <v>77</v>
      </c>
      <c r="B78" s="1152"/>
      <c r="C78" s="1153"/>
      <c r="D78" s="1154" t="s">
        <v>293</v>
      </c>
      <c r="E78" s="1155"/>
      <c r="F78" s="1155"/>
      <c r="G78" s="1156"/>
      <c r="H78" s="1157"/>
      <c r="I78" s="1147">
        <f aca="true" t="shared" si="0" ref="I78:I90">SUM(J78:N78)</f>
        <v>0</v>
      </c>
      <c r="J78" s="1148"/>
      <c r="K78" s="1148"/>
      <c r="L78" s="1148"/>
      <c r="M78" s="1148"/>
      <c r="N78" s="1149"/>
    </row>
    <row r="79" spans="1:14" s="8" customFormat="1" ht="22.5" customHeight="1" hidden="1">
      <c r="A79" s="605">
        <v>78</v>
      </c>
      <c r="B79" s="166"/>
      <c r="C79" s="162">
        <v>29</v>
      </c>
      <c r="D79" s="599" t="s">
        <v>423</v>
      </c>
      <c r="E79" s="164">
        <v>3250</v>
      </c>
      <c r="F79" s="164">
        <v>0</v>
      </c>
      <c r="G79" s="165">
        <v>0</v>
      </c>
      <c r="H79" s="616" t="s">
        <v>24</v>
      </c>
      <c r="I79" s="1147"/>
      <c r="J79" s="1312"/>
      <c r="K79" s="1312"/>
      <c r="L79" s="1312"/>
      <c r="M79" s="1312"/>
      <c r="N79" s="1313"/>
    </row>
    <row r="80" spans="1:14" s="8" customFormat="1" ht="18" customHeight="1" hidden="1">
      <c r="A80" s="605">
        <v>79</v>
      </c>
      <c r="B80" s="166"/>
      <c r="C80" s="167"/>
      <c r="D80" s="168" t="s">
        <v>293</v>
      </c>
      <c r="E80" s="164"/>
      <c r="F80" s="164"/>
      <c r="G80" s="165"/>
      <c r="H80" s="616"/>
      <c r="I80" s="1147">
        <f t="shared" si="0"/>
        <v>0</v>
      </c>
      <c r="J80" s="1312"/>
      <c r="K80" s="1312"/>
      <c r="L80" s="1312"/>
      <c r="M80" s="1312"/>
      <c r="N80" s="1313"/>
    </row>
    <row r="81" spans="1:14" s="8" customFormat="1" ht="22.5" customHeight="1" hidden="1">
      <c r="A81" s="605">
        <v>80</v>
      </c>
      <c r="B81" s="179"/>
      <c r="C81" s="162">
        <v>30</v>
      </c>
      <c r="D81" s="599" t="s">
        <v>446</v>
      </c>
      <c r="E81" s="191">
        <v>16160</v>
      </c>
      <c r="F81" s="191">
        <v>20000</v>
      </c>
      <c r="G81" s="192">
        <v>0</v>
      </c>
      <c r="H81" s="616" t="s">
        <v>24</v>
      </c>
      <c r="I81" s="1147"/>
      <c r="J81" s="1315"/>
      <c r="K81" s="1315"/>
      <c r="L81" s="1315"/>
      <c r="M81" s="1315"/>
      <c r="N81" s="1316"/>
    </row>
    <row r="82" spans="1:14" s="1158" customFormat="1" ht="18" customHeight="1" hidden="1">
      <c r="A82" s="605">
        <v>81</v>
      </c>
      <c r="B82" s="1176"/>
      <c r="C82" s="1153"/>
      <c r="D82" s="1154" t="s">
        <v>293</v>
      </c>
      <c r="E82" s="1159"/>
      <c r="F82" s="1159"/>
      <c r="G82" s="1160"/>
      <c r="H82" s="1157"/>
      <c r="I82" s="1147">
        <f t="shared" si="0"/>
        <v>0</v>
      </c>
      <c r="J82" s="1162"/>
      <c r="K82" s="1162"/>
      <c r="L82" s="1162"/>
      <c r="M82" s="1162"/>
      <c r="N82" s="1163"/>
    </row>
    <row r="83" spans="1:16" s="181" customFormat="1" ht="22.5" customHeight="1" hidden="1">
      <c r="A83" s="605">
        <v>82</v>
      </c>
      <c r="B83" s="180"/>
      <c r="C83" s="162">
        <v>31</v>
      </c>
      <c r="D83" s="600" t="s">
        <v>262</v>
      </c>
      <c r="E83" s="191">
        <v>45000</v>
      </c>
      <c r="F83" s="191">
        <v>45000</v>
      </c>
      <c r="G83" s="192">
        <v>45000</v>
      </c>
      <c r="H83" s="616" t="s">
        <v>24</v>
      </c>
      <c r="I83" s="1147"/>
      <c r="J83" s="1315"/>
      <c r="K83" s="1315"/>
      <c r="L83" s="1315"/>
      <c r="M83" s="1315"/>
      <c r="N83" s="1316"/>
      <c r="O83" s="157"/>
      <c r="P83" s="8"/>
    </row>
    <row r="84" spans="1:16" s="181" customFormat="1" ht="18" customHeight="1" hidden="1">
      <c r="A84" s="605">
        <v>83</v>
      </c>
      <c r="B84" s="180"/>
      <c r="C84" s="167"/>
      <c r="D84" s="168" t="s">
        <v>293</v>
      </c>
      <c r="E84" s="191"/>
      <c r="F84" s="169"/>
      <c r="G84" s="170"/>
      <c r="H84" s="616"/>
      <c r="I84" s="1147">
        <f>SUM(J84:N84)</f>
        <v>0</v>
      </c>
      <c r="J84" s="1315"/>
      <c r="K84" s="1315"/>
      <c r="L84" s="1315"/>
      <c r="M84" s="1315"/>
      <c r="N84" s="1316"/>
      <c r="O84" s="157"/>
      <c r="P84" s="8"/>
    </row>
    <row r="85" spans="1:16" s="3" customFormat="1" ht="22.5" customHeight="1" hidden="1">
      <c r="A85" s="605">
        <v>84</v>
      </c>
      <c r="B85" s="161"/>
      <c r="C85" s="162">
        <v>32</v>
      </c>
      <c r="D85" s="600" t="s">
        <v>267</v>
      </c>
      <c r="E85" s="164"/>
      <c r="F85" s="164">
        <v>2500</v>
      </c>
      <c r="G85" s="165">
        <v>2500</v>
      </c>
      <c r="H85" s="616" t="s">
        <v>24</v>
      </c>
      <c r="I85" s="1147"/>
      <c r="J85" s="1312"/>
      <c r="K85" s="1312"/>
      <c r="L85" s="1312"/>
      <c r="M85" s="1312"/>
      <c r="N85" s="1313"/>
      <c r="P85" s="8"/>
    </row>
    <row r="86" spans="1:14" s="1158" customFormat="1" ht="18" customHeight="1" hidden="1">
      <c r="A86" s="605">
        <v>85</v>
      </c>
      <c r="B86" s="1152"/>
      <c r="C86" s="1153"/>
      <c r="D86" s="1154" t="s">
        <v>293</v>
      </c>
      <c r="E86" s="1155"/>
      <c r="F86" s="1155"/>
      <c r="G86" s="1156"/>
      <c r="H86" s="1157"/>
      <c r="I86" s="1147">
        <f t="shared" si="0"/>
        <v>0</v>
      </c>
      <c r="J86" s="1148"/>
      <c r="K86" s="1148"/>
      <c r="L86" s="1148"/>
      <c r="M86" s="1148"/>
      <c r="N86" s="1149"/>
    </row>
    <row r="87" spans="1:14" s="1158" customFormat="1" ht="22.5" customHeight="1">
      <c r="A87" s="605">
        <v>54</v>
      </c>
      <c r="B87" s="1152"/>
      <c r="C87" s="167">
        <v>33</v>
      </c>
      <c r="D87" s="600" t="s">
        <v>811</v>
      </c>
      <c r="E87" s="1155"/>
      <c r="F87" s="1155"/>
      <c r="G87" s="1156"/>
      <c r="H87" s="616" t="s">
        <v>24</v>
      </c>
      <c r="I87" s="1147"/>
      <c r="J87" s="1148"/>
      <c r="K87" s="1148"/>
      <c r="L87" s="1148"/>
      <c r="M87" s="1148"/>
      <c r="N87" s="1149"/>
    </row>
    <row r="88" spans="1:14" s="1158" customFormat="1" ht="18" customHeight="1">
      <c r="A88" s="605">
        <v>55</v>
      </c>
      <c r="B88" s="1152"/>
      <c r="C88" s="167"/>
      <c r="D88" s="1154" t="s">
        <v>293</v>
      </c>
      <c r="E88" s="1155"/>
      <c r="F88" s="1155"/>
      <c r="G88" s="1156"/>
      <c r="H88" s="1157"/>
      <c r="I88" s="1147">
        <f t="shared" si="0"/>
        <v>2500</v>
      </c>
      <c r="J88" s="1148"/>
      <c r="K88" s="1148"/>
      <c r="L88" s="1148">
        <v>2500</v>
      </c>
      <c r="M88" s="1148"/>
      <c r="N88" s="1149"/>
    </row>
    <row r="89" spans="1:14" s="1158" customFormat="1" ht="22.5" customHeight="1">
      <c r="A89" s="605">
        <v>56</v>
      </c>
      <c r="B89" s="1152"/>
      <c r="C89" s="167">
        <v>34</v>
      </c>
      <c r="D89" s="600" t="s">
        <v>812</v>
      </c>
      <c r="E89" s="1155"/>
      <c r="F89" s="1155"/>
      <c r="G89" s="1156"/>
      <c r="H89" s="616" t="s">
        <v>24</v>
      </c>
      <c r="I89" s="1147"/>
      <c r="J89" s="1148"/>
      <c r="K89" s="1148"/>
      <c r="L89" s="1148"/>
      <c r="M89" s="1148"/>
      <c r="N89" s="1149"/>
    </row>
    <row r="90" spans="1:14" s="1158" customFormat="1" ht="18" customHeight="1">
      <c r="A90" s="605">
        <v>57</v>
      </c>
      <c r="B90" s="1152"/>
      <c r="C90" s="1153"/>
      <c r="D90" s="1154" t="s">
        <v>293</v>
      </c>
      <c r="E90" s="1155"/>
      <c r="F90" s="1155"/>
      <c r="G90" s="1156"/>
      <c r="H90" s="1157"/>
      <c r="I90" s="1147">
        <f t="shared" si="0"/>
        <v>10000</v>
      </c>
      <c r="J90" s="1148"/>
      <c r="K90" s="1148"/>
      <c r="L90" s="1148">
        <v>10000</v>
      </c>
      <c r="M90" s="1148"/>
      <c r="N90" s="1149"/>
    </row>
    <row r="91" spans="1:16" s="3" customFormat="1" ht="22.5" customHeight="1">
      <c r="A91" s="605">
        <v>58</v>
      </c>
      <c r="B91" s="161"/>
      <c r="C91" s="162">
        <v>35</v>
      </c>
      <c r="D91" s="600" t="s">
        <v>64</v>
      </c>
      <c r="E91" s="164">
        <v>379297</v>
      </c>
      <c r="F91" s="164">
        <v>392700</v>
      </c>
      <c r="G91" s="165">
        <v>185276</v>
      </c>
      <c r="H91" s="616" t="s">
        <v>24</v>
      </c>
      <c r="I91" s="1147"/>
      <c r="J91" s="1312"/>
      <c r="K91" s="1312"/>
      <c r="L91" s="1312"/>
      <c r="M91" s="1312"/>
      <c r="N91" s="1313"/>
      <c r="P91" s="8"/>
    </row>
    <row r="92" spans="1:14" s="1158" customFormat="1" ht="18" customHeight="1">
      <c r="A92" s="605">
        <v>59</v>
      </c>
      <c r="B92" s="1152"/>
      <c r="C92" s="1153"/>
      <c r="D92" s="1154" t="s">
        <v>293</v>
      </c>
      <c r="E92" s="1155"/>
      <c r="F92" s="1155"/>
      <c r="G92" s="1156"/>
      <c r="H92" s="1157"/>
      <c r="I92" s="1147">
        <f>SUM(J92:N92)</f>
        <v>250000</v>
      </c>
      <c r="J92" s="1148"/>
      <c r="K92" s="1148"/>
      <c r="L92" s="1148">
        <v>70000</v>
      </c>
      <c r="M92" s="1148"/>
      <c r="N92" s="1149">
        <v>180000</v>
      </c>
    </row>
    <row r="93" spans="1:16" s="3" customFormat="1" ht="22.5" customHeight="1">
      <c r="A93" s="605">
        <v>60</v>
      </c>
      <c r="B93" s="161"/>
      <c r="C93" s="162">
        <v>36</v>
      </c>
      <c r="D93" s="600" t="s">
        <v>65</v>
      </c>
      <c r="E93" s="164">
        <v>2600</v>
      </c>
      <c r="F93" s="164">
        <v>2210</v>
      </c>
      <c r="G93" s="165">
        <v>2210</v>
      </c>
      <c r="H93" s="616" t="s">
        <v>23</v>
      </c>
      <c r="I93" s="1147"/>
      <c r="J93" s="1312"/>
      <c r="K93" s="1312"/>
      <c r="L93" s="1312"/>
      <c r="M93" s="1312"/>
      <c r="N93" s="1313"/>
      <c r="P93" s="8"/>
    </row>
    <row r="94" spans="1:14" s="1158" customFormat="1" ht="18" customHeight="1">
      <c r="A94" s="605">
        <v>61</v>
      </c>
      <c r="B94" s="1152"/>
      <c r="C94" s="1153"/>
      <c r="D94" s="1154" t="s">
        <v>293</v>
      </c>
      <c r="E94" s="1155"/>
      <c r="F94" s="1155"/>
      <c r="G94" s="1156"/>
      <c r="H94" s="1157"/>
      <c r="I94" s="1147">
        <f>SUM(J94:N94)</f>
        <v>1250</v>
      </c>
      <c r="J94" s="1148"/>
      <c r="K94" s="1148"/>
      <c r="L94" s="1148">
        <v>1250</v>
      </c>
      <c r="M94" s="1148"/>
      <c r="N94" s="1149"/>
    </row>
    <row r="95" spans="1:16" s="3" customFormat="1" ht="22.5" customHeight="1">
      <c r="A95" s="605">
        <v>62</v>
      </c>
      <c r="B95" s="161"/>
      <c r="C95" s="162">
        <v>37</v>
      </c>
      <c r="D95" s="600" t="s">
        <v>66</v>
      </c>
      <c r="E95" s="164">
        <v>7884</v>
      </c>
      <c r="F95" s="164">
        <v>7650</v>
      </c>
      <c r="G95" s="165">
        <v>6030</v>
      </c>
      <c r="H95" s="616" t="s">
        <v>23</v>
      </c>
      <c r="I95" s="1147"/>
      <c r="J95" s="1312"/>
      <c r="K95" s="1312"/>
      <c r="L95" s="1312"/>
      <c r="M95" s="1312"/>
      <c r="N95" s="1313"/>
      <c r="P95" s="8"/>
    </row>
    <row r="96" spans="1:14" s="1158" customFormat="1" ht="18" customHeight="1">
      <c r="A96" s="605">
        <v>63</v>
      </c>
      <c r="B96" s="1152"/>
      <c r="C96" s="1153"/>
      <c r="D96" s="1154" t="s">
        <v>293</v>
      </c>
      <c r="E96" s="1155"/>
      <c r="F96" s="1155"/>
      <c r="G96" s="1156"/>
      <c r="H96" s="1157"/>
      <c r="I96" s="1147">
        <f>SUM(J96:N96)</f>
        <v>4000</v>
      </c>
      <c r="J96" s="1148"/>
      <c r="K96" s="1148"/>
      <c r="L96" s="1148">
        <v>4000</v>
      </c>
      <c r="M96" s="1148"/>
      <c r="N96" s="1149"/>
    </row>
    <row r="97" spans="1:14" s="8" customFormat="1" ht="22.5" customHeight="1">
      <c r="A97" s="605">
        <v>64</v>
      </c>
      <c r="B97" s="166"/>
      <c r="C97" s="162">
        <v>38</v>
      </c>
      <c r="D97" s="599" t="s">
        <v>380</v>
      </c>
      <c r="E97" s="164">
        <v>43834</v>
      </c>
      <c r="F97" s="164">
        <v>46997</v>
      </c>
      <c r="G97" s="165">
        <v>56997</v>
      </c>
      <c r="H97" s="616" t="s">
        <v>23</v>
      </c>
      <c r="I97" s="1147"/>
      <c r="J97" s="1312"/>
      <c r="K97" s="1312"/>
      <c r="L97" s="1312"/>
      <c r="M97" s="1312"/>
      <c r="N97" s="1313"/>
    </row>
    <row r="98" spans="1:14" s="1158" customFormat="1" ht="18" customHeight="1">
      <c r="A98" s="605">
        <v>65</v>
      </c>
      <c r="B98" s="1152"/>
      <c r="C98" s="1153"/>
      <c r="D98" s="1154" t="s">
        <v>293</v>
      </c>
      <c r="E98" s="1155"/>
      <c r="F98" s="1155"/>
      <c r="G98" s="1156"/>
      <c r="H98" s="1157"/>
      <c r="I98" s="1147">
        <f>SUM(J98:N98)</f>
        <v>39750</v>
      </c>
      <c r="J98" s="1148"/>
      <c r="K98" s="1148"/>
      <c r="L98" s="1148">
        <v>39750</v>
      </c>
      <c r="M98" s="1148"/>
      <c r="N98" s="1149"/>
    </row>
    <row r="99" spans="1:16" s="3" customFormat="1" ht="22.5" customHeight="1">
      <c r="A99" s="605">
        <v>66</v>
      </c>
      <c r="B99" s="161"/>
      <c r="C99" s="162">
        <v>39</v>
      </c>
      <c r="D99" s="600" t="s">
        <v>67</v>
      </c>
      <c r="E99" s="164">
        <v>2920</v>
      </c>
      <c r="F99" s="164">
        <v>2125</v>
      </c>
      <c r="G99" s="165">
        <v>2125</v>
      </c>
      <c r="H99" s="616" t="s">
        <v>23</v>
      </c>
      <c r="I99" s="1322"/>
      <c r="J99" s="1323"/>
      <c r="K99" s="1323"/>
      <c r="L99" s="1323"/>
      <c r="M99" s="1323"/>
      <c r="N99" s="1324"/>
      <c r="O99" s="8"/>
      <c r="P99" s="8"/>
    </row>
    <row r="100" spans="1:14" s="1158" customFormat="1" ht="18" customHeight="1">
      <c r="A100" s="605">
        <v>67</v>
      </c>
      <c r="B100" s="1152"/>
      <c r="C100" s="1153"/>
      <c r="D100" s="1154" t="s">
        <v>293</v>
      </c>
      <c r="E100" s="1155"/>
      <c r="F100" s="1155"/>
      <c r="G100" s="1156"/>
      <c r="H100" s="1157"/>
      <c r="I100" s="1147">
        <f>SUM(J100:N100)</f>
        <v>1250</v>
      </c>
      <c r="J100" s="1148"/>
      <c r="K100" s="1148"/>
      <c r="L100" s="1148">
        <v>1250</v>
      </c>
      <c r="M100" s="1148"/>
      <c r="N100" s="1149"/>
    </row>
    <row r="101" spans="1:14" s="1158" customFormat="1" ht="22.5" customHeight="1">
      <c r="A101" s="605">
        <v>68</v>
      </c>
      <c r="B101" s="1152"/>
      <c r="C101" s="167">
        <v>40</v>
      </c>
      <c r="D101" s="600" t="s">
        <v>805</v>
      </c>
      <c r="E101" s="1155"/>
      <c r="F101" s="1155"/>
      <c r="G101" s="1156"/>
      <c r="H101" s="616" t="s">
        <v>24</v>
      </c>
      <c r="I101" s="1147"/>
      <c r="J101" s="1148"/>
      <c r="K101" s="1148"/>
      <c r="L101" s="1148"/>
      <c r="M101" s="1148"/>
      <c r="N101" s="1149"/>
    </row>
    <row r="102" spans="1:14" s="1158" customFormat="1" ht="18" customHeight="1">
      <c r="A102" s="605">
        <v>69</v>
      </c>
      <c r="B102" s="1152"/>
      <c r="C102" s="167"/>
      <c r="D102" s="1154" t="s">
        <v>293</v>
      </c>
      <c r="E102" s="1155"/>
      <c r="F102" s="1155"/>
      <c r="G102" s="1156"/>
      <c r="H102" s="616"/>
      <c r="I102" s="1147">
        <f>SUM(J102:N102)</f>
        <v>50000</v>
      </c>
      <c r="J102" s="1148"/>
      <c r="K102" s="1148"/>
      <c r="L102" s="1148">
        <v>50000</v>
      </c>
      <c r="M102" s="1148"/>
      <c r="N102" s="1149"/>
    </row>
    <row r="103" spans="1:14" s="1158" customFormat="1" ht="22.5" customHeight="1">
      <c r="A103" s="605">
        <v>70</v>
      </c>
      <c r="B103" s="1152"/>
      <c r="C103" s="167">
        <v>41</v>
      </c>
      <c r="D103" s="600" t="s">
        <v>806</v>
      </c>
      <c r="E103" s="1155"/>
      <c r="F103" s="1155"/>
      <c r="G103" s="1156"/>
      <c r="H103" s="616" t="s">
        <v>24</v>
      </c>
      <c r="I103" s="1147"/>
      <c r="J103" s="1148"/>
      <c r="K103" s="1148"/>
      <c r="L103" s="1148"/>
      <c r="M103" s="1148"/>
      <c r="N103" s="1149"/>
    </row>
    <row r="104" spans="1:14" s="1158" customFormat="1" ht="18" customHeight="1">
      <c r="A104" s="605">
        <v>71</v>
      </c>
      <c r="B104" s="1152"/>
      <c r="C104" s="1153"/>
      <c r="D104" s="1154" t="s">
        <v>293</v>
      </c>
      <c r="E104" s="1155"/>
      <c r="F104" s="1155"/>
      <c r="G104" s="1156"/>
      <c r="H104" s="1157"/>
      <c r="I104" s="1147">
        <f>SUM(J104:N104)</f>
        <v>3200</v>
      </c>
      <c r="J104" s="1148"/>
      <c r="K104" s="1148"/>
      <c r="L104" s="1148">
        <v>3200</v>
      </c>
      <c r="M104" s="1148"/>
      <c r="N104" s="1149"/>
    </row>
    <row r="105" spans="1:16" s="114" customFormat="1" ht="22.5" customHeight="1">
      <c r="A105" s="605">
        <v>72</v>
      </c>
      <c r="B105" s="601"/>
      <c r="C105" s="162">
        <v>42</v>
      </c>
      <c r="D105" s="600" t="s">
        <v>11</v>
      </c>
      <c r="E105" s="164">
        <v>38100</v>
      </c>
      <c r="F105" s="164">
        <v>38100</v>
      </c>
      <c r="G105" s="165">
        <v>38100</v>
      </c>
      <c r="H105" s="616" t="s">
        <v>24</v>
      </c>
      <c r="I105" s="1322"/>
      <c r="J105" s="1323"/>
      <c r="K105" s="1323"/>
      <c r="L105" s="1323"/>
      <c r="M105" s="1323"/>
      <c r="N105" s="1324"/>
      <c r="O105" s="596"/>
      <c r="P105" s="596"/>
    </row>
    <row r="106" spans="1:14" s="1158" customFormat="1" ht="18" customHeight="1">
      <c r="A106" s="605">
        <v>73</v>
      </c>
      <c r="B106" s="1152"/>
      <c r="C106" s="1153"/>
      <c r="D106" s="1154" t="s">
        <v>293</v>
      </c>
      <c r="E106" s="1155"/>
      <c r="F106" s="1155"/>
      <c r="G106" s="1156"/>
      <c r="H106" s="1157"/>
      <c r="I106" s="1147">
        <f>SUM(J106:N106)</f>
        <v>9525</v>
      </c>
      <c r="J106" s="1148"/>
      <c r="K106" s="1148"/>
      <c r="L106" s="1148">
        <f>100+9425</f>
        <v>9525</v>
      </c>
      <c r="M106" s="1148"/>
      <c r="N106" s="1149"/>
    </row>
    <row r="107" spans="1:16" s="114" customFormat="1" ht="22.5" customHeight="1">
      <c r="A107" s="605">
        <v>74</v>
      </c>
      <c r="B107" s="601"/>
      <c r="C107" s="162">
        <v>43</v>
      </c>
      <c r="D107" s="600" t="s">
        <v>68</v>
      </c>
      <c r="E107" s="164">
        <v>4366</v>
      </c>
      <c r="F107" s="164">
        <v>4250</v>
      </c>
      <c r="G107" s="165">
        <v>4050</v>
      </c>
      <c r="H107" s="616" t="s">
        <v>24</v>
      </c>
      <c r="I107" s="1322"/>
      <c r="J107" s="1323"/>
      <c r="K107" s="1323"/>
      <c r="L107" s="1323"/>
      <c r="M107" s="1323"/>
      <c r="N107" s="1324"/>
      <c r="O107" s="596"/>
      <c r="P107" s="596"/>
    </row>
    <row r="108" spans="1:14" s="1158" customFormat="1" ht="18" customHeight="1">
      <c r="A108" s="605">
        <v>75</v>
      </c>
      <c r="B108" s="1152"/>
      <c r="C108" s="1153"/>
      <c r="D108" s="1154" t="s">
        <v>293</v>
      </c>
      <c r="E108" s="1155"/>
      <c r="F108" s="1155"/>
      <c r="G108" s="1156"/>
      <c r="H108" s="1157"/>
      <c r="I108" s="1147">
        <f>SUM(J108:N108)</f>
        <v>5000</v>
      </c>
      <c r="J108" s="1148"/>
      <c r="K108" s="1148"/>
      <c r="L108" s="1148">
        <v>5000</v>
      </c>
      <c r="M108" s="1148"/>
      <c r="N108" s="1149"/>
    </row>
    <row r="109" spans="1:16" s="114" customFormat="1" ht="22.5" customHeight="1">
      <c r="A109" s="605">
        <v>76</v>
      </c>
      <c r="B109" s="601"/>
      <c r="C109" s="162">
        <v>44</v>
      </c>
      <c r="D109" s="600" t="s">
        <v>69</v>
      </c>
      <c r="E109" s="164">
        <f>SUM(E111,E113,E114,E115)</f>
        <v>6240</v>
      </c>
      <c r="F109" s="164">
        <f>SUM(F111,F113,F114,F115)</f>
        <v>9435</v>
      </c>
      <c r="G109" s="165">
        <f>SUM(G111,G113,G114,G115)</f>
        <v>0</v>
      </c>
      <c r="H109" s="616" t="s">
        <v>24</v>
      </c>
      <c r="I109" s="1322"/>
      <c r="J109" s="1323"/>
      <c r="K109" s="1323"/>
      <c r="L109" s="1323"/>
      <c r="M109" s="1323"/>
      <c r="N109" s="1324"/>
      <c r="O109" s="596"/>
      <c r="P109" s="596"/>
    </row>
    <row r="110" spans="1:14" s="1158" customFormat="1" ht="18" customHeight="1">
      <c r="A110" s="605">
        <v>77</v>
      </c>
      <c r="B110" s="1152"/>
      <c r="C110" s="1153"/>
      <c r="D110" s="1154" t="s">
        <v>293</v>
      </c>
      <c r="E110" s="1155"/>
      <c r="F110" s="1155"/>
      <c r="G110" s="1156"/>
      <c r="H110" s="1157"/>
      <c r="I110" s="1147">
        <f>SUM(J110:N110)</f>
        <v>3100</v>
      </c>
      <c r="J110" s="1151">
        <f>SUM(J112,J116)</f>
        <v>0</v>
      </c>
      <c r="K110" s="1151">
        <f>SUM(K112,K116)</f>
        <v>0</v>
      </c>
      <c r="L110" s="1151">
        <f>SUM(L112,L116)</f>
        <v>0</v>
      </c>
      <c r="M110" s="1151">
        <f>SUM(M112,M116)</f>
        <v>0</v>
      </c>
      <c r="N110" s="1422">
        <f>SUM(N112,N116)</f>
        <v>3100</v>
      </c>
    </row>
    <row r="111" spans="1:16" s="633" customFormat="1" ht="18" customHeight="1">
      <c r="A111" s="605">
        <v>78</v>
      </c>
      <c r="B111" s="171"/>
      <c r="C111" s="167"/>
      <c r="D111" s="456" t="s">
        <v>70</v>
      </c>
      <c r="E111" s="164"/>
      <c r="F111" s="172">
        <v>4250</v>
      </c>
      <c r="G111" s="173"/>
      <c r="H111" s="617"/>
      <c r="I111" s="1150"/>
      <c r="J111" s="1323"/>
      <c r="K111" s="1323"/>
      <c r="L111" s="1323"/>
      <c r="M111" s="1323"/>
      <c r="N111" s="1321"/>
      <c r="P111" s="634"/>
    </row>
    <row r="112" spans="1:16" s="1177" customFormat="1" ht="18" customHeight="1">
      <c r="A112" s="605">
        <v>79</v>
      </c>
      <c r="B112" s="1165"/>
      <c r="C112" s="1153"/>
      <c r="D112" s="1175" t="s">
        <v>293</v>
      </c>
      <c r="E112" s="1155"/>
      <c r="F112" s="1167"/>
      <c r="G112" s="1168"/>
      <c r="H112" s="1169"/>
      <c r="I112" s="1150">
        <f>SUM(J112:N112)</f>
        <v>2500</v>
      </c>
      <c r="J112" s="1170"/>
      <c r="K112" s="1170"/>
      <c r="L112" s="1170"/>
      <c r="M112" s="1170"/>
      <c r="N112" s="1171">
        <v>2500</v>
      </c>
      <c r="P112" s="1178"/>
    </row>
    <row r="113" spans="1:16" s="633" customFormat="1" ht="18" customHeight="1">
      <c r="A113" s="605">
        <v>80</v>
      </c>
      <c r="B113" s="171"/>
      <c r="C113" s="167"/>
      <c r="D113" s="456" t="s">
        <v>71</v>
      </c>
      <c r="E113" s="172">
        <v>5140</v>
      </c>
      <c r="F113" s="172">
        <v>4250</v>
      </c>
      <c r="G113" s="173">
        <v>0</v>
      </c>
      <c r="H113" s="617"/>
      <c r="I113" s="1322"/>
      <c r="J113" s="1323"/>
      <c r="K113" s="1323"/>
      <c r="L113" s="1323"/>
      <c r="M113" s="1323"/>
      <c r="N113" s="1324"/>
      <c r="P113" s="634"/>
    </row>
    <row r="114" spans="1:16" s="633" customFormat="1" ht="18" customHeight="1">
      <c r="A114" s="605">
        <v>81</v>
      </c>
      <c r="B114" s="171"/>
      <c r="C114" s="167"/>
      <c r="D114" s="456" t="s">
        <v>579</v>
      </c>
      <c r="E114" s="172">
        <v>500</v>
      </c>
      <c r="F114" s="172">
        <v>425</v>
      </c>
      <c r="G114" s="173">
        <v>0</v>
      </c>
      <c r="H114" s="617"/>
      <c r="I114" s="1322"/>
      <c r="J114" s="1323"/>
      <c r="K114" s="1323"/>
      <c r="L114" s="1323"/>
      <c r="M114" s="1323"/>
      <c r="N114" s="1324"/>
      <c r="P114" s="634"/>
    </row>
    <row r="115" spans="1:16" s="633" customFormat="1" ht="18" customHeight="1">
      <c r="A115" s="605">
        <v>82</v>
      </c>
      <c r="B115" s="171"/>
      <c r="C115" s="167"/>
      <c r="D115" s="456" t="s">
        <v>580</v>
      </c>
      <c r="E115" s="172">
        <v>600</v>
      </c>
      <c r="F115" s="172">
        <v>510</v>
      </c>
      <c r="G115" s="173">
        <v>0</v>
      </c>
      <c r="H115" s="617"/>
      <c r="I115" s="1322"/>
      <c r="J115" s="1323"/>
      <c r="K115" s="1323"/>
      <c r="L115" s="1323"/>
      <c r="M115" s="1323"/>
      <c r="N115" s="1324"/>
      <c r="P115" s="634"/>
    </row>
    <row r="116" spans="1:16" s="1177" customFormat="1" ht="18" customHeight="1">
      <c r="A116" s="605">
        <v>83</v>
      </c>
      <c r="B116" s="1165"/>
      <c r="C116" s="1153"/>
      <c r="D116" s="1175" t="s">
        <v>293</v>
      </c>
      <c r="E116" s="1155"/>
      <c r="F116" s="1167"/>
      <c r="G116" s="1168"/>
      <c r="H116" s="1169"/>
      <c r="I116" s="1150">
        <f>SUM(J116:N116)</f>
        <v>600</v>
      </c>
      <c r="J116" s="1170"/>
      <c r="K116" s="1170"/>
      <c r="L116" s="1170"/>
      <c r="M116" s="1170"/>
      <c r="N116" s="1171">
        <v>600</v>
      </c>
      <c r="P116" s="1178"/>
    </row>
    <row r="117" spans="1:16" s="114" customFormat="1" ht="22.5" customHeight="1">
      <c r="A117" s="605">
        <v>84</v>
      </c>
      <c r="B117" s="601"/>
      <c r="C117" s="162">
        <v>45</v>
      </c>
      <c r="D117" s="600" t="s">
        <v>381</v>
      </c>
      <c r="E117" s="164">
        <f>SUM(E119,E120,E122,E123)</f>
        <v>13522</v>
      </c>
      <c r="F117" s="164">
        <f>SUM(F119,F120,F122,F123)</f>
        <v>20060</v>
      </c>
      <c r="G117" s="165">
        <f>SUM(G119,G120,G122,G123)</f>
        <v>5555</v>
      </c>
      <c r="H117" s="616" t="s">
        <v>24</v>
      </c>
      <c r="I117" s="1322"/>
      <c r="J117" s="1323"/>
      <c r="K117" s="1323"/>
      <c r="L117" s="1323"/>
      <c r="M117" s="1323"/>
      <c r="N117" s="1324"/>
      <c r="O117" s="596"/>
      <c r="P117" s="596"/>
    </row>
    <row r="118" spans="1:14" s="1158" customFormat="1" ht="18" customHeight="1">
      <c r="A118" s="605">
        <v>85</v>
      </c>
      <c r="B118" s="1152"/>
      <c r="C118" s="1153"/>
      <c r="D118" s="1154" t="s">
        <v>293</v>
      </c>
      <c r="E118" s="1155"/>
      <c r="F118" s="1155"/>
      <c r="G118" s="1156"/>
      <c r="H118" s="1157"/>
      <c r="I118" s="1147">
        <f>SUM(J118:N118)</f>
        <v>4200</v>
      </c>
      <c r="J118" s="1151">
        <f>SUM(J121,J124)</f>
        <v>0</v>
      </c>
      <c r="K118" s="1151">
        <f>SUM(K121,K124)</f>
        <v>0</v>
      </c>
      <c r="L118" s="1151">
        <f>SUM(L121,L124)</f>
        <v>100</v>
      </c>
      <c r="M118" s="1151">
        <f>SUM(M121,M124)</f>
        <v>0</v>
      </c>
      <c r="N118" s="1422">
        <f>SUM(N121,N124)</f>
        <v>4100</v>
      </c>
    </row>
    <row r="119" spans="1:16" s="633" customFormat="1" ht="18" customHeight="1">
      <c r="A119" s="605">
        <v>86</v>
      </c>
      <c r="B119" s="171"/>
      <c r="C119" s="167"/>
      <c r="D119" s="456" t="s">
        <v>268</v>
      </c>
      <c r="E119" s="172">
        <v>4000</v>
      </c>
      <c r="F119" s="172">
        <v>3400</v>
      </c>
      <c r="G119" s="173">
        <v>0</v>
      </c>
      <c r="H119" s="617"/>
      <c r="I119" s="1150"/>
      <c r="J119" s="1320"/>
      <c r="K119" s="1320"/>
      <c r="L119" s="1320"/>
      <c r="M119" s="1320"/>
      <c r="N119" s="1321"/>
      <c r="P119" s="634"/>
    </row>
    <row r="120" spans="1:16" s="633" customFormat="1" ht="18" customHeight="1">
      <c r="A120" s="605">
        <v>87</v>
      </c>
      <c r="B120" s="171"/>
      <c r="C120" s="167"/>
      <c r="D120" s="456" t="s">
        <v>349</v>
      </c>
      <c r="E120" s="172">
        <v>5100</v>
      </c>
      <c r="F120" s="172">
        <v>11900</v>
      </c>
      <c r="G120" s="173">
        <v>5555</v>
      </c>
      <c r="H120" s="617"/>
      <c r="I120" s="1150"/>
      <c r="J120" s="1323"/>
      <c r="K120" s="1323"/>
      <c r="L120" s="1323"/>
      <c r="M120" s="1323"/>
      <c r="N120" s="1324"/>
      <c r="P120" s="634"/>
    </row>
    <row r="121" spans="1:16" s="1177" customFormat="1" ht="18" customHeight="1">
      <c r="A121" s="605">
        <v>88</v>
      </c>
      <c r="B121" s="1165"/>
      <c r="C121" s="1153"/>
      <c r="D121" s="1175" t="s">
        <v>293</v>
      </c>
      <c r="E121" s="1167"/>
      <c r="F121" s="1167"/>
      <c r="G121" s="1168"/>
      <c r="H121" s="1169"/>
      <c r="I121" s="1150">
        <f>SUM(J121:N121)</f>
        <v>2500</v>
      </c>
      <c r="J121" s="1170"/>
      <c r="K121" s="1170"/>
      <c r="L121" s="1170"/>
      <c r="M121" s="1170"/>
      <c r="N121" s="1171">
        <v>2500</v>
      </c>
      <c r="P121" s="1178"/>
    </row>
    <row r="122" spans="1:16" s="633" customFormat="1" ht="18" customHeight="1">
      <c r="A122" s="605">
        <v>89</v>
      </c>
      <c r="B122" s="171"/>
      <c r="C122" s="167"/>
      <c r="D122" s="456" t="s">
        <v>270</v>
      </c>
      <c r="E122" s="172">
        <v>2822</v>
      </c>
      <c r="F122" s="172">
        <v>3400</v>
      </c>
      <c r="G122" s="173">
        <v>0</v>
      </c>
      <c r="H122" s="617"/>
      <c r="I122" s="1150"/>
      <c r="J122" s="1323"/>
      <c r="K122" s="1323"/>
      <c r="L122" s="1323"/>
      <c r="M122" s="1323"/>
      <c r="N122" s="1324"/>
      <c r="P122" s="634"/>
    </row>
    <row r="123" spans="1:16" s="633" customFormat="1" ht="18" customHeight="1">
      <c r="A123" s="605">
        <v>90</v>
      </c>
      <c r="B123" s="171"/>
      <c r="C123" s="167"/>
      <c r="D123" s="456" t="s">
        <v>269</v>
      </c>
      <c r="E123" s="172">
        <v>1600</v>
      </c>
      <c r="F123" s="172">
        <v>1360</v>
      </c>
      <c r="G123" s="173">
        <v>0</v>
      </c>
      <c r="H123" s="617"/>
      <c r="I123" s="1150"/>
      <c r="J123" s="1323"/>
      <c r="K123" s="1323"/>
      <c r="L123" s="1323"/>
      <c r="M123" s="1323"/>
      <c r="N123" s="1324"/>
      <c r="P123" s="634"/>
    </row>
    <row r="124" spans="1:16" s="1177" customFormat="1" ht="18" customHeight="1">
      <c r="A124" s="605">
        <v>91</v>
      </c>
      <c r="B124" s="1165"/>
      <c r="C124" s="1153"/>
      <c r="D124" s="1175" t="s">
        <v>293</v>
      </c>
      <c r="E124" s="1155"/>
      <c r="F124" s="1167"/>
      <c r="G124" s="1168"/>
      <c r="H124" s="1169"/>
      <c r="I124" s="1150">
        <f>SUM(J124:N124)</f>
        <v>1700</v>
      </c>
      <c r="J124" s="1170"/>
      <c r="K124" s="1170"/>
      <c r="L124" s="1170">
        <v>100</v>
      </c>
      <c r="M124" s="1170"/>
      <c r="N124" s="1171">
        <v>1600</v>
      </c>
      <c r="P124" s="1178"/>
    </row>
    <row r="125" spans="1:16" s="157" customFormat="1" ht="22.5" customHeight="1">
      <c r="A125" s="605">
        <v>92</v>
      </c>
      <c r="B125" s="602"/>
      <c r="C125" s="162">
        <v>46</v>
      </c>
      <c r="D125" s="600" t="s">
        <v>413</v>
      </c>
      <c r="E125" s="164">
        <v>4667</v>
      </c>
      <c r="F125" s="172">
        <v>4250</v>
      </c>
      <c r="G125" s="173">
        <v>0</v>
      </c>
      <c r="H125" s="616" t="s">
        <v>24</v>
      </c>
      <c r="I125" s="1150"/>
      <c r="J125" s="1320"/>
      <c r="K125" s="1320"/>
      <c r="L125" s="1320"/>
      <c r="M125" s="1320"/>
      <c r="N125" s="1321"/>
      <c r="P125" s="596"/>
    </row>
    <row r="126" spans="1:16" s="1172" customFormat="1" ht="18" customHeight="1">
      <c r="A126" s="605">
        <v>93</v>
      </c>
      <c r="B126" s="1165"/>
      <c r="C126" s="1153"/>
      <c r="D126" s="1154" t="s">
        <v>293</v>
      </c>
      <c r="E126" s="1155"/>
      <c r="F126" s="1167"/>
      <c r="G126" s="1168"/>
      <c r="H126" s="1169"/>
      <c r="I126" s="1147">
        <f>SUM(J126:N126)</f>
        <v>5000</v>
      </c>
      <c r="J126" s="1170"/>
      <c r="K126" s="1170"/>
      <c r="L126" s="1170"/>
      <c r="M126" s="1170"/>
      <c r="N126" s="1171">
        <v>5000</v>
      </c>
      <c r="P126" s="1158"/>
    </row>
    <row r="127" spans="1:16" s="114" customFormat="1" ht="22.5" customHeight="1">
      <c r="A127" s="605">
        <v>94</v>
      </c>
      <c r="B127" s="601"/>
      <c r="C127" s="162">
        <v>47</v>
      </c>
      <c r="D127" s="600" t="s">
        <v>382</v>
      </c>
      <c r="E127" s="164">
        <v>938</v>
      </c>
      <c r="F127" s="164">
        <v>1700</v>
      </c>
      <c r="G127" s="165">
        <v>1700</v>
      </c>
      <c r="H127" s="616" t="s">
        <v>23</v>
      </c>
      <c r="I127" s="1150"/>
      <c r="J127" s="1323"/>
      <c r="K127" s="1323"/>
      <c r="L127" s="1323"/>
      <c r="M127" s="1323"/>
      <c r="N127" s="1324"/>
      <c r="O127" s="596"/>
      <c r="P127" s="596"/>
    </row>
    <row r="128" spans="1:14" s="1158" customFormat="1" ht="18" customHeight="1">
      <c r="A128" s="605">
        <v>95</v>
      </c>
      <c r="B128" s="1152"/>
      <c r="C128" s="1153"/>
      <c r="D128" s="1154" t="s">
        <v>293</v>
      </c>
      <c r="E128" s="1155"/>
      <c r="F128" s="1155"/>
      <c r="G128" s="1156"/>
      <c r="H128" s="1157"/>
      <c r="I128" s="1147">
        <f>SUM(J128:N128)</f>
        <v>1000</v>
      </c>
      <c r="J128" s="1148"/>
      <c r="K128" s="1148"/>
      <c r="L128" s="1148"/>
      <c r="M128" s="1148">
        <v>1000</v>
      </c>
      <c r="N128" s="1149"/>
    </row>
    <row r="129" spans="1:16" s="114" customFormat="1" ht="22.5" customHeight="1">
      <c r="A129" s="605">
        <v>96</v>
      </c>
      <c r="B129" s="601"/>
      <c r="C129" s="162">
        <v>48</v>
      </c>
      <c r="D129" s="600" t="s">
        <v>271</v>
      </c>
      <c r="E129" s="164"/>
      <c r="F129" s="164">
        <v>85</v>
      </c>
      <c r="G129" s="165">
        <v>85</v>
      </c>
      <c r="H129" s="616" t="s">
        <v>23</v>
      </c>
      <c r="I129" s="1147"/>
      <c r="J129" s="1312"/>
      <c r="K129" s="1312"/>
      <c r="L129" s="1312"/>
      <c r="M129" s="1312"/>
      <c r="N129" s="1313"/>
      <c r="P129" s="596"/>
    </row>
    <row r="130" spans="1:14" s="1158" customFormat="1" ht="18" customHeight="1">
      <c r="A130" s="605">
        <v>97</v>
      </c>
      <c r="B130" s="1152"/>
      <c r="C130" s="1153"/>
      <c r="D130" s="1154" t="s">
        <v>293</v>
      </c>
      <c r="E130" s="1155"/>
      <c r="F130" s="1155"/>
      <c r="G130" s="1156"/>
      <c r="H130" s="1157"/>
      <c r="I130" s="1147">
        <f>SUM(J130:N130)</f>
        <v>100</v>
      </c>
      <c r="J130" s="1148"/>
      <c r="K130" s="1148"/>
      <c r="L130" s="1148"/>
      <c r="M130" s="1148">
        <v>100</v>
      </c>
      <c r="N130" s="1149"/>
    </row>
    <row r="131" spans="1:14" s="596" customFormat="1" ht="22.5" customHeight="1">
      <c r="A131" s="605">
        <v>98</v>
      </c>
      <c r="B131" s="598"/>
      <c r="C131" s="162">
        <v>49</v>
      </c>
      <c r="D131" s="599" t="s">
        <v>383</v>
      </c>
      <c r="E131" s="164"/>
      <c r="F131" s="164">
        <v>85</v>
      </c>
      <c r="G131" s="165">
        <v>85</v>
      </c>
      <c r="H131" s="618" t="s">
        <v>23</v>
      </c>
      <c r="I131" s="1147"/>
      <c r="J131" s="1312"/>
      <c r="K131" s="1312"/>
      <c r="L131" s="1312"/>
      <c r="M131" s="1312"/>
      <c r="N131" s="1313"/>
    </row>
    <row r="132" spans="1:14" s="1158" customFormat="1" ht="18" customHeight="1">
      <c r="A132" s="605">
        <v>99</v>
      </c>
      <c r="B132" s="1152"/>
      <c r="C132" s="1153"/>
      <c r="D132" s="1154" t="s">
        <v>293</v>
      </c>
      <c r="E132" s="1155"/>
      <c r="F132" s="1155"/>
      <c r="G132" s="1156"/>
      <c r="H132" s="1161"/>
      <c r="I132" s="1147">
        <f>SUM(J132:N132)</f>
        <v>85</v>
      </c>
      <c r="J132" s="1148"/>
      <c r="K132" s="1148"/>
      <c r="L132" s="1148">
        <v>85</v>
      </c>
      <c r="M132" s="1148"/>
      <c r="N132" s="1149"/>
    </row>
    <row r="133" spans="1:16" s="1269" customFormat="1" ht="22.5" customHeight="1">
      <c r="A133" s="605">
        <v>100</v>
      </c>
      <c r="B133" s="601"/>
      <c r="C133" s="162">
        <v>50</v>
      </c>
      <c r="D133" s="600" t="s">
        <v>272</v>
      </c>
      <c r="E133" s="164">
        <f>SUM(E135,E141,E143,E145,E147,E149,E151,E153)+E139+E137</f>
        <v>11293</v>
      </c>
      <c r="F133" s="164">
        <f>SUM(F135,F141,F143,F145,F147,F149,F151,F153)+F139+F137</f>
        <v>17553</v>
      </c>
      <c r="G133" s="164">
        <f>SUM(G135,G141,G143,G145,G147,G149,G151,G153)+G139+G137</f>
        <v>24293</v>
      </c>
      <c r="H133" s="616"/>
      <c r="I133" s="1317"/>
      <c r="J133" s="1318"/>
      <c r="K133" s="1318"/>
      <c r="L133" s="1318"/>
      <c r="M133" s="1318"/>
      <c r="N133" s="1319"/>
      <c r="O133" s="1270"/>
      <c r="P133" s="1270"/>
    </row>
    <row r="134" spans="1:14" s="1158" customFormat="1" ht="18" customHeight="1">
      <c r="A134" s="605">
        <v>101</v>
      </c>
      <c r="B134" s="1152"/>
      <c r="C134" s="1153"/>
      <c r="D134" s="1154" t="s">
        <v>293</v>
      </c>
      <c r="E134" s="1155"/>
      <c r="F134" s="1155"/>
      <c r="G134" s="1156"/>
      <c r="H134" s="1157"/>
      <c r="I134" s="1147">
        <f>SUM(J134:N134)</f>
        <v>30260</v>
      </c>
      <c r="J134" s="1148">
        <f>SUM(J136,J142,J144,J146,J148,J150,J152,J154)+J138+J140</f>
        <v>0</v>
      </c>
      <c r="K134" s="1148">
        <f>SUM(K136,K142,K144,K146,K148,K150,K152,K154)+K138+K140</f>
        <v>0</v>
      </c>
      <c r="L134" s="1148">
        <f>SUM(L136,L142,L144,L146,L148,L150,L152,L154)+L138+L140</f>
        <v>0</v>
      </c>
      <c r="M134" s="1148">
        <f>SUM(M136,M142,M144,M146,M148,M150,M152,M154)+M138+M140</f>
        <v>30260</v>
      </c>
      <c r="N134" s="1149">
        <f>SUM(N136,N142,N144,N146,N148,N150,N152,N154)+N138+N140</f>
        <v>0</v>
      </c>
    </row>
    <row r="135" spans="1:16" s="633" customFormat="1" ht="18" customHeight="1">
      <c r="A135" s="605">
        <v>102</v>
      </c>
      <c r="B135" s="171"/>
      <c r="C135" s="167"/>
      <c r="D135" s="456" t="s">
        <v>276</v>
      </c>
      <c r="E135" s="172">
        <v>2021</v>
      </c>
      <c r="F135" s="172">
        <v>2125</v>
      </c>
      <c r="G135" s="173">
        <v>2325</v>
      </c>
      <c r="H135" s="617" t="s">
        <v>23</v>
      </c>
      <c r="I135" s="1150"/>
      <c r="J135" s="1320"/>
      <c r="K135" s="1320"/>
      <c r="L135" s="1320"/>
      <c r="M135" s="1320"/>
      <c r="N135" s="1321"/>
      <c r="P135" s="634"/>
    </row>
    <row r="136" spans="1:16" s="1177" customFormat="1" ht="18" customHeight="1">
      <c r="A136" s="605">
        <v>103</v>
      </c>
      <c r="B136" s="1165"/>
      <c r="C136" s="1153"/>
      <c r="D136" s="1175" t="s">
        <v>293</v>
      </c>
      <c r="E136" s="1167"/>
      <c r="F136" s="1167"/>
      <c r="G136" s="1168"/>
      <c r="H136" s="1169"/>
      <c r="I136" s="1150">
        <f>SUM(J136:N136)</f>
        <v>2500</v>
      </c>
      <c r="J136" s="1170"/>
      <c r="K136" s="1170"/>
      <c r="L136" s="1170"/>
      <c r="M136" s="1170">
        <v>2500</v>
      </c>
      <c r="N136" s="1171"/>
      <c r="P136" s="1178"/>
    </row>
    <row r="137" spans="1:16" s="1177" customFormat="1" ht="18" customHeight="1">
      <c r="A137" s="605">
        <v>104</v>
      </c>
      <c r="B137" s="1165"/>
      <c r="C137" s="1153"/>
      <c r="D137" s="457" t="s">
        <v>807</v>
      </c>
      <c r="E137" s="1167"/>
      <c r="F137" s="172"/>
      <c r="G137" s="173">
        <v>8500</v>
      </c>
      <c r="H137" s="617" t="s">
        <v>24</v>
      </c>
      <c r="I137" s="1150"/>
      <c r="J137" s="1170"/>
      <c r="K137" s="1170"/>
      <c r="L137" s="1170"/>
      <c r="M137" s="1170"/>
      <c r="N137" s="1171"/>
      <c r="P137" s="1178"/>
    </row>
    <row r="138" spans="1:16" s="1177" customFormat="1" ht="18" customHeight="1">
      <c r="A138" s="605">
        <v>105</v>
      </c>
      <c r="B138" s="1165"/>
      <c r="C138" s="1153"/>
      <c r="D138" s="1175" t="s">
        <v>293</v>
      </c>
      <c r="E138" s="1167"/>
      <c r="F138" s="1167"/>
      <c r="G138" s="1168"/>
      <c r="H138" s="1169"/>
      <c r="I138" s="1150">
        <f>SUM(J138:N138)</f>
        <v>13500</v>
      </c>
      <c r="J138" s="1170"/>
      <c r="K138" s="1170"/>
      <c r="L138" s="1170"/>
      <c r="M138" s="1170">
        <v>13500</v>
      </c>
      <c r="N138" s="1171"/>
      <c r="P138" s="1178"/>
    </row>
    <row r="139" spans="1:16" s="633" customFormat="1" ht="18" customHeight="1">
      <c r="A139" s="605">
        <v>106</v>
      </c>
      <c r="B139" s="171"/>
      <c r="C139" s="167"/>
      <c r="D139" s="457" t="s">
        <v>476</v>
      </c>
      <c r="E139" s="172">
        <v>302</v>
      </c>
      <c r="F139" s="172">
        <v>4675</v>
      </c>
      <c r="G139" s="173">
        <v>2775</v>
      </c>
      <c r="H139" s="617" t="s">
        <v>24</v>
      </c>
      <c r="I139" s="1150"/>
      <c r="J139" s="1320"/>
      <c r="K139" s="1320"/>
      <c r="L139" s="1320"/>
      <c r="M139" s="1320"/>
      <c r="N139" s="1321"/>
      <c r="P139" s="634"/>
    </row>
    <row r="140" spans="1:16" s="1177" customFormat="1" ht="18" customHeight="1">
      <c r="A140" s="605">
        <v>107</v>
      </c>
      <c r="B140" s="1165"/>
      <c r="C140" s="1153"/>
      <c r="D140" s="1175" t="s">
        <v>293</v>
      </c>
      <c r="E140" s="1167"/>
      <c r="F140" s="1167"/>
      <c r="G140" s="1168"/>
      <c r="H140" s="1169"/>
      <c r="I140" s="1150">
        <f>SUM(J140:N140)</f>
        <v>1500</v>
      </c>
      <c r="J140" s="1170"/>
      <c r="K140" s="1170"/>
      <c r="L140" s="1170"/>
      <c r="M140" s="1170">
        <v>1500</v>
      </c>
      <c r="N140" s="1171"/>
      <c r="P140" s="1178"/>
    </row>
    <row r="141" spans="1:16" s="633" customFormat="1" ht="18" customHeight="1">
      <c r="A141" s="605">
        <v>108</v>
      </c>
      <c r="B141" s="171"/>
      <c r="C141" s="167"/>
      <c r="D141" s="457" t="s">
        <v>384</v>
      </c>
      <c r="E141" s="172">
        <v>6288</v>
      </c>
      <c r="F141" s="172">
        <v>6800</v>
      </c>
      <c r="G141" s="173">
        <v>6940</v>
      </c>
      <c r="H141" s="617" t="s">
        <v>24</v>
      </c>
      <c r="I141" s="1322"/>
      <c r="J141" s="1323"/>
      <c r="K141" s="1323"/>
      <c r="L141" s="1323"/>
      <c r="M141" s="1323"/>
      <c r="N141" s="1324"/>
      <c r="P141" s="634"/>
    </row>
    <row r="142" spans="1:16" s="1177" customFormat="1" ht="18" customHeight="1">
      <c r="A142" s="605">
        <v>109</v>
      </c>
      <c r="B142" s="1165"/>
      <c r="C142" s="1153"/>
      <c r="D142" s="1175" t="s">
        <v>293</v>
      </c>
      <c r="E142" s="1167"/>
      <c r="F142" s="1167"/>
      <c r="G142" s="1168"/>
      <c r="H142" s="1169"/>
      <c r="I142" s="1150">
        <f>SUM(J142:N142)</f>
        <v>8000</v>
      </c>
      <c r="J142" s="1170"/>
      <c r="K142" s="1170"/>
      <c r="L142" s="1170"/>
      <c r="M142" s="1170">
        <v>8000</v>
      </c>
      <c r="N142" s="1171"/>
      <c r="P142" s="1178"/>
    </row>
    <row r="143" spans="1:16" s="633" customFormat="1" ht="18" customHeight="1">
      <c r="A143" s="605">
        <v>110</v>
      </c>
      <c r="B143" s="171"/>
      <c r="C143" s="167"/>
      <c r="D143" s="457" t="s">
        <v>385</v>
      </c>
      <c r="E143" s="172"/>
      <c r="F143" s="172">
        <v>85</v>
      </c>
      <c r="G143" s="173">
        <v>85</v>
      </c>
      <c r="H143" s="617" t="s">
        <v>24</v>
      </c>
      <c r="I143" s="1322"/>
      <c r="J143" s="1323"/>
      <c r="K143" s="1323"/>
      <c r="L143" s="1323"/>
      <c r="M143" s="1323"/>
      <c r="N143" s="1324"/>
      <c r="P143" s="634"/>
    </row>
    <row r="144" spans="1:16" s="1177" customFormat="1" ht="18" customHeight="1">
      <c r="A144" s="605">
        <v>111</v>
      </c>
      <c r="B144" s="1165"/>
      <c r="C144" s="1153"/>
      <c r="D144" s="1175" t="s">
        <v>293</v>
      </c>
      <c r="E144" s="1167"/>
      <c r="F144" s="1167"/>
      <c r="G144" s="1168"/>
      <c r="H144" s="1169"/>
      <c r="I144" s="1150">
        <f>SUM(J144:N144)</f>
        <v>100</v>
      </c>
      <c r="J144" s="1170"/>
      <c r="K144" s="1170"/>
      <c r="L144" s="1170"/>
      <c r="M144" s="1170">
        <v>100</v>
      </c>
      <c r="N144" s="1171"/>
      <c r="P144" s="1178"/>
    </row>
    <row r="145" spans="1:16" s="633" customFormat="1" ht="18" customHeight="1">
      <c r="A145" s="605">
        <v>112</v>
      </c>
      <c r="B145" s="171"/>
      <c r="C145" s="167"/>
      <c r="D145" s="457" t="s">
        <v>386</v>
      </c>
      <c r="E145" s="172">
        <v>1320</v>
      </c>
      <c r="F145" s="172">
        <v>1700</v>
      </c>
      <c r="G145" s="173">
        <v>1300</v>
      </c>
      <c r="H145" s="617" t="s">
        <v>24</v>
      </c>
      <c r="I145" s="1322"/>
      <c r="J145" s="1323"/>
      <c r="K145" s="1323"/>
      <c r="L145" s="1323"/>
      <c r="M145" s="1323"/>
      <c r="N145" s="1324"/>
      <c r="P145" s="634"/>
    </row>
    <row r="146" spans="1:16" s="1177" customFormat="1" ht="18" customHeight="1">
      <c r="A146" s="605">
        <v>113</v>
      </c>
      <c r="B146" s="1165"/>
      <c r="C146" s="1153"/>
      <c r="D146" s="1175" t="s">
        <v>293</v>
      </c>
      <c r="E146" s="1167"/>
      <c r="F146" s="1167"/>
      <c r="G146" s="1168"/>
      <c r="H146" s="1169"/>
      <c r="I146" s="1150">
        <f>SUM(J146:N146)</f>
        <v>2000</v>
      </c>
      <c r="J146" s="1170"/>
      <c r="K146" s="1170"/>
      <c r="L146" s="1170"/>
      <c r="M146" s="1170">
        <v>2000</v>
      </c>
      <c r="N146" s="1171"/>
      <c r="P146" s="1178"/>
    </row>
    <row r="147" spans="1:16" s="633" customFormat="1" ht="18" customHeight="1">
      <c r="A147" s="605">
        <v>114</v>
      </c>
      <c r="B147" s="171"/>
      <c r="C147" s="167"/>
      <c r="D147" s="457" t="s">
        <v>387</v>
      </c>
      <c r="E147" s="172"/>
      <c r="F147" s="172">
        <v>43</v>
      </c>
      <c r="G147" s="173">
        <v>43</v>
      </c>
      <c r="H147" s="617" t="s">
        <v>24</v>
      </c>
      <c r="I147" s="1322"/>
      <c r="J147" s="1323"/>
      <c r="K147" s="1323"/>
      <c r="L147" s="1323"/>
      <c r="M147" s="1323"/>
      <c r="N147" s="1324"/>
      <c r="P147" s="634"/>
    </row>
    <row r="148" spans="1:16" s="1177" customFormat="1" ht="18" customHeight="1">
      <c r="A148" s="605">
        <v>115</v>
      </c>
      <c r="B148" s="1165"/>
      <c r="C148" s="1153"/>
      <c r="D148" s="1175" t="s">
        <v>293</v>
      </c>
      <c r="E148" s="1167"/>
      <c r="F148" s="1167"/>
      <c r="G148" s="1168"/>
      <c r="H148" s="1169"/>
      <c r="I148" s="1150">
        <f>SUM(J148:N148)</f>
        <v>50</v>
      </c>
      <c r="J148" s="1170"/>
      <c r="K148" s="1170"/>
      <c r="L148" s="1170"/>
      <c r="M148" s="1170">
        <v>50</v>
      </c>
      <c r="N148" s="1171"/>
      <c r="P148" s="1178"/>
    </row>
    <row r="149" spans="1:16" s="633" customFormat="1" ht="18" customHeight="1">
      <c r="A149" s="605">
        <v>116</v>
      </c>
      <c r="B149" s="171"/>
      <c r="C149" s="167"/>
      <c r="D149" s="457" t="s">
        <v>388</v>
      </c>
      <c r="E149" s="172">
        <v>1320</v>
      </c>
      <c r="F149" s="172">
        <v>1275</v>
      </c>
      <c r="G149" s="173">
        <v>1475</v>
      </c>
      <c r="H149" s="617" t="s">
        <v>24</v>
      </c>
      <c r="I149" s="1322"/>
      <c r="J149" s="1323"/>
      <c r="K149" s="1323"/>
      <c r="L149" s="1323"/>
      <c r="M149" s="1323"/>
      <c r="N149" s="1324"/>
      <c r="P149" s="634"/>
    </row>
    <row r="150" spans="1:16" s="1177" customFormat="1" ht="18" customHeight="1">
      <c r="A150" s="605">
        <v>117</v>
      </c>
      <c r="B150" s="1165"/>
      <c r="C150" s="1153"/>
      <c r="D150" s="1175" t="s">
        <v>293</v>
      </c>
      <c r="E150" s="1167"/>
      <c r="F150" s="1167"/>
      <c r="G150" s="1168"/>
      <c r="H150" s="1169"/>
      <c r="I150" s="1150">
        <f>SUM(J150:N150)</f>
        <v>1700</v>
      </c>
      <c r="J150" s="1170"/>
      <c r="K150" s="1170"/>
      <c r="L150" s="1170"/>
      <c r="M150" s="1170">
        <v>1700</v>
      </c>
      <c r="N150" s="1171"/>
      <c r="P150" s="1178"/>
    </row>
    <row r="151" spans="1:16" s="633" customFormat="1" ht="18" customHeight="1">
      <c r="A151" s="605">
        <v>118</v>
      </c>
      <c r="B151" s="171"/>
      <c r="C151" s="167"/>
      <c r="D151" s="457" t="s">
        <v>389</v>
      </c>
      <c r="E151" s="172"/>
      <c r="F151" s="172">
        <v>340</v>
      </c>
      <c r="G151" s="173">
        <v>340</v>
      </c>
      <c r="H151" s="617" t="s">
        <v>24</v>
      </c>
      <c r="I151" s="1322"/>
      <c r="J151" s="1323"/>
      <c r="K151" s="1323"/>
      <c r="L151" s="1323"/>
      <c r="M151" s="1323"/>
      <c r="N151" s="1324"/>
      <c r="P151" s="634"/>
    </row>
    <row r="152" spans="1:16" s="1177" customFormat="1" ht="18" customHeight="1">
      <c r="A152" s="605">
        <v>119</v>
      </c>
      <c r="B152" s="1165"/>
      <c r="C152" s="1153"/>
      <c r="D152" s="1175" t="s">
        <v>293</v>
      </c>
      <c r="E152" s="1155"/>
      <c r="F152" s="1167"/>
      <c r="G152" s="1168"/>
      <c r="H152" s="1169"/>
      <c r="I152" s="1150">
        <f>SUM(J152:N152)</f>
        <v>400</v>
      </c>
      <c r="J152" s="1170"/>
      <c r="K152" s="1170"/>
      <c r="L152" s="1170"/>
      <c r="M152" s="1170">
        <v>400</v>
      </c>
      <c r="N152" s="1171"/>
      <c r="P152" s="1178"/>
    </row>
    <row r="153" spans="1:16" s="633" customFormat="1" ht="18" customHeight="1">
      <c r="A153" s="605">
        <v>120</v>
      </c>
      <c r="B153" s="171"/>
      <c r="C153" s="167"/>
      <c r="D153" s="457" t="s">
        <v>390</v>
      </c>
      <c r="E153" s="164">
        <v>42</v>
      </c>
      <c r="F153" s="172">
        <v>510</v>
      </c>
      <c r="G153" s="173">
        <v>510</v>
      </c>
      <c r="H153" s="617" t="s">
        <v>24</v>
      </c>
      <c r="I153" s="1150"/>
      <c r="J153" s="1320"/>
      <c r="K153" s="1320"/>
      <c r="L153" s="1320"/>
      <c r="M153" s="1320"/>
      <c r="N153" s="1321"/>
      <c r="P153" s="634"/>
    </row>
    <row r="154" spans="1:16" s="1177" customFormat="1" ht="18" customHeight="1">
      <c r="A154" s="605">
        <v>121</v>
      </c>
      <c r="B154" s="1165"/>
      <c r="C154" s="1153"/>
      <c r="D154" s="1175" t="s">
        <v>293</v>
      </c>
      <c r="E154" s="1155"/>
      <c r="F154" s="1167"/>
      <c r="G154" s="1168"/>
      <c r="H154" s="1169"/>
      <c r="I154" s="1150">
        <f>SUM(J154:N154)</f>
        <v>510</v>
      </c>
      <c r="J154" s="1170"/>
      <c r="K154" s="1170"/>
      <c r="L154" s="1170"/>
      <c r="M154" s="1170">
        <v>510</v>
      </c>
      <c r="N154" s="1171"/>
      <c r="P154" s="1178"/>
    </row>
    <row r="155" spans="1:16" s="3" customFormat="1" ht="22.5" customHeight="1">
      <c r="A155" s="605">
        <v>122</v>
      </c>
      <c r="B155" s="161"/>
      <c r="C155" s="162">
        <v>51</v>
      </c>
      <c r="D155" s="600" t="s">
        <v>72</v>
      </c>
      <c r="E155" s="164">
        <v>2941</v>
      </c>
      <c r="F155" s="164">
        <v>3825</v>
      </c>
      <c r="G155" s="165">
        <v>6175</v>
      </c>
      <c r="H155" s="616" t="s">
        <v>23</v>
      </c>
      <c r="I155" s="1147"/>
      <c r="J155" s="1312"/>
      <c r="K155" s="1312"/>
      <c r="L155" s="1312"/>
      <c r="M155" s="1312"/>
      <c r="N155" s="1313"/>
      <c r="P155" s="8"/>
    </row>
    <row r="156" spans="1:14" s="1158" customFormat="1" ht="18" customHeight="1">
      <c r="A156" s="605">
        <v>123</v>
      </c>
      <c r="B156" s="1152"/>
      <c r="C156" s="1153"/>
      <c r="D156" s="1154" t="s">
        <v>293</v>
      </c>
      <c r="E156" s="1155"/>
      <c r="F156" s="1155"/>
      <c r="G156" s="1156"/>
      <c r="H156" s="1157"/>
      <c r="I156" s="1147">
        <f>SUM(J156:N156)</f>
        <v>5000</v>
      </c>
      <c r="J156" s="1148"/>
      <c r="K156" s="1148"/>
      <c r="L156" s="1148"/>
      <c r="M156" s="1148">
        <v>5000</v>
      </c>
      <c r="N156" s="1149"/>
    </row>
    <row r="157" spans="1:16" s="114" customFormat="1" ht="22.5" customHeight="1">
      <c r="A157" s="605">
        <v>124</v>
      </c>
      <c r="B157" s="601"/>
      <c r="C157" s="162">
        <v>52</v>
      </c>
      <c r="D157" s="600" t="s">
        <v>73</v>
      </c>
      <c r="E157" s="164">
        <v>9164</v>
      </c>
      <c r="F157" s="164">
        <v>7650</v>
      </c>
      <c r="G157" s="165">
        <v>8099</v>
      </c>
      <c r="H157" s="616" t="s">
        <v>24</v>
      </c>
      <c r="I157" s="1147"/>
      <c r="J157" s="1312"/>
      <c r="K157" s="1312"/>
      <c r="L157" s="1312"/>
      <c r="M157" s="1312"/>
      <c r="N157" s="1313"/>
      <c r="P157" s="596"/>
    </row>
    <row r="158" spans="1:14" s="1158" customFormat="1" ht="18" customHeight="1">
      <c r="A158" s="605">
        <v>125</v>
      </c>
      <c r="B158" s="1152"/>
      <c r="C158" s="1153"/>
      <c r="D158" s="1154" t="s">
        <v>293</v>
      </c>
      <c r="E158" s="1155"/>
      <c r="F158" s="1155"/>
      <c r="G158" s="1156"/>
      <c r="H158" s="1157"/>
      <c r="I158" s="1147">
        <f>SUM(J158:N158)</f>
        <v>5515</v>
      </c>
      <c r="J158" s="1148">
        <v>5115</v>
      </c>
      <c r="K158" s="1148">
        <v>400</v>
      </c>
      <c r="L158" s="1148"/>
      <c r="M158" s="1148"/>
      <c r="N158" s="1149"/>
    </row>
    <row r="159" spans="1:16" s="114" customFormat="1" ht="22.5" customHeight="1">
      <c r="A159" s="605">
        <v>126</v>
      </c>
      <c r="B159" s="601"/>
      <c r="C159" s="162">
        <v>53</v>
      </c>
      <c r="D159" s="600" t="s">
        <v>261</v>
      </c>
      <c r="E159" s="164">
        <v>753</v>
      </c>
      <c r="F159" s="164">
        <v>1560</v>
      </c>
      <c r="G159" s="165">
        <v>1560</v>
      </c>
      <c r="H159" s="616" t="s">
        <v>24</v>
      </c>
      <c r="I159" s="1147"/>
      <c r="J159" s="1312"/>
      <c r="K159" s="1312"/>
      <c r="L159" s="1312"/>
      <c r="M159" s="1312"/>
      <c r="N159" s="1313"/>
      <c r="P159" s="596"/>
    </row>
    <row r="160" spans="1:14" s="1158" customFormat="1" ht="18" customHeight="1">
      <c r="A160" s="605">
        <v>127</v>
      </c>
      <c r="B160" s="1152"/>
      <c r="C160" s="1153"/>
      <c r="D160" s="1154" t="s">
        <v>293</v>
      </c>
      <c r="E160" s="1155"/>
      <c r="F160" s="1155"/>
      <c r="G160" s="1156"/>
      <c r="H160" s="1157"/>
      <c r="I160" s="1147">
        <f>SUM(J160:N160)</f>
        <v>2080</v>
      </c>
      <c r="J160" s="1148">
        <v>1800</v>
      </c>
      <c r="K160" s="1148">
        <v>280</v>
      </c>
      <c r="L160" s="1148"/>
      <c r="M160" s="1148"/>
      <c r="N160" s="1149"/>
    </row>
    <row r="161" spans="1:16" s="114" customFormat="1" ht="22.5" customHeight="1">
      <c r="A161" s="605">
        <v>128</v>
      </c>
      <c r="B161" s="601"/>
      <c r="C161" s="162">
        <v>54</v>
      </c>
      <c r="D161" s="600" t="s">
        <v>74</v>
      </c>
      <c r="E161" s="164">
        <v>0</v>
      </c>
      <c r="F161" s="164">
        <v>85</v>
      </c>
      <c r="G161" s="165">
        <v>85</v>
      </c>
      <c r="H161" s="616" t="s">
        <v>24</v>
      </c>
      <c r="I161" s="1147"/>
      <c r="J161" s="1312"/>
      <c r="K161" s="1312"/>
      <c r="L161" s="1312"/>
      <c r="M161" s="1312"/>
      <c r="N161" s="1313"/>
      <c r="P161" s="596"/>
    </row>
    <row r="162" spans="1:14" s="1158" customFormat="1" ht="18" customHeight="1">
      <c r="A162" s="605">
        <v>129</v>
      </c>
      <c r="B162" s="1152"/>
      <c r="C162" s="1153"/>
      <c r="D162" s="1154" t="s">
        <v>293</v>
      </c>
      <c r="E162" s="1155"/>
      <c r="F162" s="1155"/>
      <c r="G162" s="1156"/>
      <c r="H162" s="1157"/>
      <c r="I162" s="1147">
        <f>SUM(J162:N162)</f>
        <v>100</v>
      </c>
      <c r="J162" s="1148"/>
      <c r="K162" s="1148"/>
      <c r="L162" s="1148"/>
      <c r="M162" s="1148">
        <v>100</v>
      </c>
      <c r="N162" s="1149"/>
    </row>
    <row r="163" spans="1:16" s="114" customFormat="1" ht="22.5" customHeight="1">
      <c r="A163" s="605">
        <v>130</v>
      </c>
      <c r="B163" s="601"/>
      <c r="C163" s="162">
        <v>55</v>
      </c>
      <c r="D163" s="600" t="s">
        <v>278</v>
      </c>
      <c r="E163" s="164">
        <v>6000</v>
      </c>
      <c r="F163" s="164">
        <v>5100</v>
      </c>
      <c r="G163" s="165">
        <v>6000</v>
      </c>
      <c r="H163" s="616" t="s">
        <v>23</v>
      </c>
      <c r="I163" s="1147"/>
      <c r="J163" s="1312"/>
      <c r="K163" s="1312"/>
      <c r="L163" s="1312"/>
      <c r="M163" s="1312"/>
      <c r="N163" s="1313"/>
      <c r="P163" s="596"/>
    </row>
    <row r="164" spans="1:14" s="1158" customFormat="1" ht="18" customHeight="1">
      <c r="A164" s="605">
        <v>131</v>
      </c>
      <c r="B164" s="1152"/>
      <c r="C164" s="1153"/>
      <c r="D164" s="1154" t="s">
        <v>293</v>
      </c>
      <c r="E164" s="1155"/>
      <c r="F164" s="1155"/>
      <c r="G164" s="1156"/>
      <c r="H164" s="1157"/>
      <c r="I164" s="1147">
        <f>SUM(J164:N164)</f>
        <v>6000</v>
      </c>
      <c r="J164" s="1148"/>
      <c r="K164" s="1148"/>
      <c r="L164" s="1148">
        <v>6000</v>
      </c>
      <c r="M164" s="1148"/>
      <c r="N164" s="1149"/>
    </row>
    <row r="165" spans="1:16" s="114" customFormat="1" ht="22.5" customHeight="1">
      <c r="A165" s="605">
        <v>132</v>
      </c>
      <c r="B165" s="601"/>
      <c r="C165" s="162">
        <v>56</v>
      </c>
      <c r="D165" s="600" t="s">
        <v>291</v>
      </c>
      <c r="E165" s="164">
        <v>12000</v>
      </c>
      <c r="F165" s="164">
        <v>10200</v>
      </c>
      <c r="G165" s="165">
        <v>10200</v>
      </c>
      <c r="H165" s="616" t="s">
        <v>23</v>
      </c>
      <c r="I165" s="1147"/>
      <c r="J165" s="1312"/>
      <c r="K165" s="1312"/>
      <c r="L165" s="1312"/>
      <c r="M165" s="1312"/>
      <c r="N165" s="1313"/>
      <c r="P165" s="596"/>
    </row>
    <row r="166" spans="1:14" s="1158" customFormat="1" ht="18" customHeight="1">
      <c r="A166" s="605">
        <v>133</v>
      </c>
      <c r="B166" s="1152"/>
      <c r="C166" s="1153"/>
      <c r="D166" s="1154" t="s">
        <v>293</v>
      </c>
      <c r="E166" s="1155"/>
      <c r="F166" s="1155"/>
      <c r="G166" s="1156"/>
      <c r="H166" s="1157"/>
      <c r="I166" s="1147">
        <f>SUM(J166:N166)</f>
        <v>12000</v>
      </c>
      <c r="J166" s="1148"/>
      <c r="K166" s="1148"/>
      <c r="L166" s="1148"/>
      <c r="M166" s="1148"/>
      <c r="N166" s="1149">
        <v>12000</v>
      </c>
    </row>
    <row r="167" spans="1:16" s="114" customFormat="1" ht="22.5" customHeight="1">
      <c r="A167" s="605">
        <v>134</v>
      </c>
      <c r="B167" s="601"/>
      <c r="C167" s="162">
        <v>57</v>
      </c>
      <c r="D167" s="600" t="s">
        <v>75</v>
      </c>
      <c r="E167" s="164">
        <v>60000</v>
      </c>
      <c r="F167" s="164">
        <v>60000</v>
      </c>
      <c r="G167" s="165">
        <v>60000</v>
      </c>
      <c r="H167" s="616" t="s">
        <v>23</v>
      </c>
      <c r="I167" s="1147"/>
      <c r="J167" s="1312"/>
      <c r="K167" s="1312"/>
      <c r="L167" s="1312"/>
      <c r="M167" s="1312"/>
      <c r="N167" s="1313"/>
      <c r="P167" s="596"/>
    </row>
    <row r="168" spans="1:14" s="1158" customFormat="1" ht="18" customHeight="1">
      <c r="A168" s="605">
        <v>135</v>
      </c>
      <c r="B168" s="1152"/>
      <c r="C168" s="1153"/>
      <c r="D168" s="1154" t="s">
        <v>293</v>
      </c>
      <c r="E168" s="1155"/>
      <c r="F168" s="1155"/>
      <c r="G168" s="1156"/>
      <c r="H168" s="1157"/>
      <c r="I168" s="1147">
        <f>SUM(J168:N168)</f>
        <v>60000</v>
      </c>
      <c r="J168" s="1148"/>
      <c r="K168" s="1148"/>
      <c r="L168" s="1148"/>
      <c r="M168" s="1148"/>
      <c r="N168" s="1149">
        <v>60000</v>
      </c>
    </row>
    <row r="169" spans="1:16" s="114" customFormat="1" ht="22.5" customHeight="1">
      <c r="A169" s="605">
        <v>136</v>
      </c>
      <c r="B169" s="601"/>
      <c r="C169" s="162">
        <v>58</v>
      </c>
      <c r="D169" s="600" t="s">
        <v>426</v>
      </c>
      <c r="E169" s="164">
        <v>458587</v>
      </c>
      <c r="F169" s="164">
        <v>454892</v>
      </c>
      <c r="G169" s="165">
        <v>569176</v>
      </c>
      <c r="H169" s="616" t="s">
        <v>23</v>
      </c>
      <c r="I169" s="1147"/>
      <c r="J169" s="1312"/>
      <c r="K169" s="1312"/>
      <c r="L169" s="1312"/>
      <c r="M169" s="1312"/>
      <c r="N169" s="1313"/>
      <c r="P169" s="596"/>
    </row>
    <row r="170" spans="1:14" s="1158" customFormat="1" ht="18" customHeight="1">
      <c r="A170" s="605">
        <v>137</v>
      </c>
      <c r="B170" s="1152"/>
      <c r="C170" s="1153"/>
      <c r="D170" s="1154" t="s">
        <v>293</v>
      </c>
      <c r="E170" s="1155"/>
      <c r="F170" s="1155"/>
      <c r="G170" s="1156"/>
      <c r="H170" s="1157"/>
      <c r="I170" s="1147">
        <f>SUM(J170:N170)</f>
        <v>504713</v>
      </c>
      <c r="J170" s="1148"/>
      <c r="K170" s="1148"/>
      <c r="L170" s="1148"/>
      <c r="M170" s="1148"/>
      <c r="N170" s="1149">
        <v>504713</v>
      </c>
    </row>
    <row r="171" spans="1:16" s="114" customFormat="1" ht="22.5" customHeight="1">
      <c r="A171" s="605">
        <v>138</v>
      </c>
      <c r="B171" s="601"/>
      <c r="C171" s="162">
        <v>59</v>
      </c>
      <c r="D171" s="600" t="s">
        <v>346</v>
      </c>
      <c r="E171" s="164">
        <v>68585</v>
      </c>
      <c r="F171" s="164">
        <v>98406</v>
      </c>
      <c r="G171" s="165">
        <v>98406</v>
      </c>
      <c r="H171" s="616" t="s">
        <v>23</v>
      </c>
      <c r="I171" s="1147"/>
      <c r="J171" s="1312"/>
      <c r="K171" s="1312"/>
      <c r="L171" s="1312"/>
      <c r="M171" s="1312"/>
      <c r="N171" s="1313"/>
      <c r="P171" s="596"/>
    </row>
    <row r="172" spans="1:14" s="1158" customFormat="1" ht="18" customHeight="1">
      <c r="A172" s="605">
        <v>139</v>
      </c>
      <c r="B172" s="1152"/>
      <c r="C172" s="1153"/>
      <c r="D172" s="1154" t="s">
        <v>293</v>
      </c>
      <c r="E172" s="1155"/>
      <c r="F172" s="1155"/>
      <c r="G172" s="1156"/>
      <c r="H172" s="1157"/>
      <c r="I172" s="1147">
        <f>SUM(J172:N172)</f>
        <v>99619</v>
      </c>
      <c r="J172" s="1148"/>
      <c r="K172" s="1148"/>
      <c r="L172" s="1148">
        <v>99619</v>
      </c>
      <c r="M172" s="1148"/>
      <c r="N172" s="1149"/>
    </row>
    <row r="173" spans="1:14" s="8" customFormat="1" ht="22.5" customHeight="1">
      <c r="A173" s="605">
        <v>140</v>
      </c>
      <c r="B173" s="166"/>
      <c r="C173" s="162">
        <v>60</v>
      </c>
      <c r="D173" s="599" t="s">
        <v>411</v>
      </c>
      <c r="E173" s="164">
        <v>2180</v>
      </c>
      <c r="F173" s="164">
        <v>3264</v>
      </c>
      <c r="G173" s="165">
        <v>3264</v>
      </c>
      <c r="H173" s="616" t="s">
        <v>24</v>
      </c>
      <c r="I173" s="1147"/>
      <c r="J173" s="1312"/>
      <c r="K173" s="1312"/>
      <c r="L173" s="1312"/>
      <c r="M173" s="1312"/>
      <c r="N173" s="1313"/>
    </row>
    <row r="174" spans="1:14" s="1158" customFormat="1" ht="18" customHeight="1">
      <c r="A174" s="605">
        <v>141</v>
      </c>
      <c r="B174" s="1152"/>
      <c r="C174" s="1153"/>
      <c r="D174" s="1154" t="s">
        <v>293</v>
      </c>
      <c r="E174" s="1155"/>
      <c r="F174" s="1155"/>
      <c r="G174" s="1156"/>
      <c r="H174" s="1157"/>
      <c r="I174" s="1147">
        <f>SUM(J174:N174)</f>
        <v>3840</v>
      </c>
      <c r="J174" s="1148"/>
      <c r="K174" s="1148"/>
      <c r="L174" s="1148">
        <v>3840</v>
      </c>
      <c r="M174" s="1148"/>
      <c r="N174" s="1149"/>
    </row>
    <row r="175" spans="1:14" s="8" customFormat="1" ht="22.5" customHeight="1">
      <c r="A175" s="605">
        <v>142</v>
      </c>
      <c r="B175" s="166"/>
      <c r="C175" s="162">
        <v>61</v>
      </c>
      <c r="D175" s="599" t="s">
        <v>412</v>
      </c>
      <c r="E175" s="164">
        <v>0</v>
      </c>
      <c r="F175" s="164">
        <v>3400</v>
      </c>
      <c r="G175" s="165">
        <v>0</v>
      </c>
      <c r="H175" s="616" t="s">
        <v>24</v>
      </c>
      <c r="I175" s="1147"/>
      <c r="J175" s="1312"/>
      <c r="K175" s="1312"/>
      <c r="L175" s="1312"/>
      <c r="M175" s="1312"/>
      <c r="N175" s="1313"/>
    </row>
    <row r="176" spans="1:16" s="3" customFormat="1" ht="22.5" customHeight="1">
      <c r="A176" s="605">
        <v>143</v>
      </c>
      <c r="B176" s="161"/>
      <c r="C176" s="162">
        <v>62</v>
      </c>
      <c r="D176" s="600" t="s">
        <v>76</v>
      </c>
      <c r="E176" s="164">
        <v>1700</v>
      </c>
      <c r="F176" s="164">
        <v>1445</v>
      </c>
      <c r="G176" s="165">
        <v>1445</v>
      </c>
      <c r="H176" s="616" t="s">
        <v>24</v>
      </c>
      <c r="I176" s="1147"/>
      <c r="J176" s="1312"/>
      <c r="K176" s="1312"/>
      <c r="L176" s="1312"/>
      <c r="M176" s="1312"/>
      <c r="N176" s="1313"/>
      <c r="P176" s="8"/>
    </row>
    <row r="177" spans="1:14" s="1158" customFormat="1" ht="18" customHeight="1">
      <c r="A177" s="605">
        <v>144</v>
      </c>
      <c r="B177" s="1152"/>
      <c r="C177" s="1153"/>
      <c r="D177" s="1154" t="s">
        <v>293</v>
      </c>
      <c r="E177" s="1155"/>
      <c r="F177" s="1155"/>
      <c r="G177" s="1156"/>
      <c r="H177" s="1157"/>
      <c r="I177" s="1147">
        <f>SUM(J177:N177)</f>
        <v>1700</v>
      </c>
      <c r="J177" s="1148"/>
      <c r="K177" s="1148"/>
      <c r="L177" s="1148">
        <v>1700</v>
      </c>
      <c r="M177" s="1148"/>
      <c r="N177" s="1149"/>
    </row>
    <row r="178" spans="1:16" s="3" customFormat="1" ht="22.5" customHeight="1">
      <c r="A178" s="605">
        <v>145</v>
      </c>
      <c r="B178" s="161"/>
      <c r="C178" s="162">
        <v>63</v>
      </c>
      <c r="D178" s="600" t="s">
        <v>391</v>
      </c>
      <c r="E178" s="164"/>
      <c r="F178" s="164">
        <v>850</v>
      </c>
      <c r="G178" s="165">
        <v>0</v>
      </c>
      <c r="H178" s="616" t="s">
        <v>24</v>
      </c>
      <c r="I178" s="1147"/>
      <c r="J178" s="1312"/>
      <c r="K178" s="1312"/>
      <c r="L178" s="1312"/>
      <c r="M178" s="1312"/>
      <c r="N178" s="1313"/>
      <c r="P178" s="8"/>
    </row>
    <row r="179" spans="1:14" s="1158" customFormat="1" ht="18" customHeight="1">
      <c r="A179" s="605">
        <v>146</v>
      </c>
      <c r="B179" s="1152"/>
      <c r="C179" s="1153"/>
      <c r="D179" s="1154" t="s">
        <v>293</v>
      </c>
      <c r="E179" s="1155"/>
      <c r="F179" s="1155"/>
      <c r="G179" s="1156"/>
      <c r="H179" s="1157"/>
      <c r="I179" s="1147">
        <f>SUM(J179:N179)</f>
        <v>1000</v>
      </c>
      <c r="J179" s="1148"/>
      <c r="K179" s="1148"/>
      <c r="L179" s="1148"/>
      <c r="M179" s="1148"/>
      <c r="N179" s="1149">
        <v>1000</v>
      </c>
    </row>
    <row r="180" spans="1:16" s="3" customFormat="1" ht="22.5" customHeight="1">
      <c r="A180" s="605">
        <v>147</v>
      </c>
      <c r="B180" s="161"/>
      <c r="C180" s="162">
        <v>64</v>
      </c>
      <c r="D180" s="600" t="s">
        <v>77</v>
      </c>
      <c r="E180" s="164">
        <v>1000</v>
      </c>
      <c r="F180" s="164">
        <v>850</v>
      </c>
      <c r="G180" s="165">
        <v>710</v>
      </c>
      <c r="H180" s="616" t="s">
        <v>24</v>
      </c>
      <c r="I180" s="1147"/>
      <c r="J180" s="1312"/>
      <c r="K180" s="1312"/>
      <c r="L180" s="1312"/>
      <c r="M180" s="1312"/>
      <c r="N180" s="1313"/>
      <c r="P180" s="8"/>
    </row>
    <row r="181" spans="1:14" s="1158" customFormat="1" ht="18" customHeight="1">
      <c r="A181" s="605">
        <v>148</v>
      </c>
      <c r="B181" s="1152"/>
      <c r="C181" s="1153"/>
      <c r="D181" s="1154" t="s">
        <v>293</v>
      </c>
      <c r="E181" s="1155"/>
      <c r="F181" s="1155"/>
      <c r="G181" s="1156"/>
      <c r="H181" s="1157"/>
      <c r="I181" s="1147">
        <f>SUM(J181:N181)</f>
        <v>1000</v>
      </c>
      <c r="J181" s="1148"/>
      <c r="K181" s="1148"/>
      <c r="L181" s="1148">
        <v>1000</v>
      </c>
      <c r="M181" s="1148"/>
      <c r="N181" s="1149"/>
    </row>
    <row r="182" spans="1:14" s="8" customFormat="1" ht="22.5" customHeight="1">
      <c r="A182" s="605">
        <v>149</v>
      </c>
      <c r="B182" s="166"/>
      <c r="C182" s="167">
        <v>65</v>
      </c>
      <c r="D182" s="600" t="s">
        <v>581</v>
      </c>
      <c r="E182" s="164"/>
      <c r="F182" s="164">
        <v>1275</v>
      </c>
      <c r="G182" s="165">
        <v>1275</v>
      </c>
      <c r="H182" s="616" t="s">
        <v>24</v>
      </c>
      <c r="I182" s="1147"/>
      <c r="J182" s="1312"/>
      <c r="K182" s="1312"/>
      <c r="L182" s="1312"/>
      <c r="M182" s="1312"/>
      <c r="N182" s="1313"/>
    </row>
    <row r="183" spans="1:16" s="3" customFormat="1" ht="22.5" customHeight="1">
      <c r="A183" s="605">
        <v>150</v>
      </c>
      <c r="B183" s="161"/>
      <c r="C183" s="162">
        <v>66</v>
      </c>
      <c r="D183" s="600" t="s">
        <v>78</v>
      </c>
      <c r="E183" s="164">
        <v>5500</v>
      </c>
      <c r="F183" s="164">
        <v>5500</v>
      </c>
      <c r="G183" s="165">
        <v>5500</v>
      </c>
      <c r="H183" s="616" t="s">
        <v>23</v>
      </c>
      <c r="I183" s="1147"/>
      <c r="J183" s="1312"/>
      <c r="K183" s="1312"/>
      <c r="L183" s="1312"/>
      <c r="M183" s="1312"/>
      <c r="N183" s="1313"/>
      <c r="P183" s="8"/>
    </row>
    <row r="184" spans="1:14" s="1158" customFormat="1" ht="18" customHeight="1">
      <c r="A184" s="605">
        <v>151</v>
      </c>
      <c r="B184" s="1152"/>
      <c r="C184" s="1153"/>
      <c r="D184" s="1154" t="s">
        <v>293</v>
      </c>
      <c r="E184" s="1155"/>
      <c r="F184" s="1155"/>
      <c r="G184" s="1156"/>
      <c r="H184" s="1157"/>
      <c r="I184" s="1147">
        <f>SUM(J184:N184)</f>
        <v>5500</v>
      </c>
      <c r="J184" s="1148"/>
      <c r="K184" s="1148"/>
      <c r="L184" s="1148">
        <v>5500</v>
      </c>
      <c r="M184" s="1148"/>
      <c r="N184" s="1149"/>
    </row>
    <row r="185" spans="1:16" s="3" customFormat="1" ht="22.5" customHeight="1">
      <c r="A185" s="605">
        <v>152</v>
      </c>
      <c r="B185" s="161"/>
      <c r="C185" s="162">
        <v>67</v>
      </c>
      <c r="D185" s="600" t="s">
        <v>79</v>
      </c>
      <c r="E185" s="164">
        <v>4800</v>
      </c>
      <c r="F185" s="164">
        <v>5200</v>
      </c>
      <c r="G185" s="165">
        <v>5200</v>
      </c>
      <c r="H185" s="616" t="s">
        <v>23</v>
      </c>
      <c r="I185" s="1147"/>
      <c r="J185" s="1312"/>
      <c r="K185" s="1312"/>
      <c r="L185" s="1312"/>
      <c r="M185" s="1312"/>
      <c r="N185" s="1313"/>
      <c r="P185" s="8"/>
    </row>
    <row r="186" spans="1:14" s="1158" customFormat="1" ht="18" customHeight="1">
      <c r="A186" s="605">
        <v>153</v>
      </c>
      <c r="B186" s="1152"/>
      <c r="C186" s="1153"/>
      <c r="D186" s="1154" t="s">
        <v>293</v>
      </c>
      <c r="E186" s="1155"/>
      <c r="F186" s="1155"/>
      <c r="G186" s="1156"/>
      <c r="H186" s="1157"/>
      <c r="I186" s="1147">
        <f>SUM(J186:N186)</f>
        <v>5280</v>
      </c>
      <c r="J186" s="1148"/>
      <c r="K186" s="1148"/>
      <c r="L186" s="1148">
        <v>5280</v>
      </c>
      <c r="M186" s="1148"/>
      <c r="N186" s="1149"/>
    </row>
    <row r="187" spans="1:16" s="3" customFormat="1" ht="22.5" customHeight="1">
      <c r="A187" s="605">
        <v>154</v>
      </c>
      <c r="B187" s="161"/>
      <c r="C187" s="162">
        <v>68</v>
      </c>
      <c r="D187" s="600" t="s">
        <v>80</v>
      </c>
      <c r="E187" s="164">
        <v>1763</v>
      </c>
      <c r="F187" s="164">
        <v>2418</v>
      </c>
      <c r="G187" s="165">
        <v>5918</v>
      </c>
      <c r="H187" s="616" t="s">
        <v>24</v>
      </c>
      <c r="I187" s="1147"/>
      <c r="J187" s="1312"/>
      <c r="K187" s="1312"/>
      <c r="L187" s="1312"/>
      <c r="M187" s="1312"/>
      <c r="N187" s="1313"/>
      <c r="P187" s="8"/>
    </row>
    <row r="188" spans="1:14" s="1158" customFormat="1" ht="18" customHeight="1">
      <c r="A188" s="605">
        <v>155</v>
      </c>
      <c r="B188" s="1152"/>
      <c r="C188" s="1153"/>
      <c r="D188" s="1154" t="s">
        <v>293</v>
      </c>
      <c r="E188" s="1155"/>
      <c r="F188" s="1155"/>
      <c r="G188" s="1156"/>
      <c r="H188" s="1157"/>
      <c r="I188" s="1147">
        <f>SUM(J188:N188)</f>
        <v>2945</v>
      </c>
      <c r="J188" s="1148"/>
      <c r="K188" s="1148"/>
      <c r="L188" s="1148">
        <v>2945</v>
      </c>
      <c r="M188" s="1148"/>
      <c r="N188" s="1149"/>
    </row>
    <row r="189" spans="1:16" s="3" customFormat="1" ht="22.5" customHeight="1">
      <c r="A189" s="605">
        <v>156</v>
      </c>
      <c r="B189" s="161"/>
      <c r="C189" s="162">
        <v>69</v>
      </c>
      <c r="D189" s="600" t="s">
        <v>81</v>
      </c>
      <c r="E189" s="164">
        <v>197049</v>
      </c>
      <c r="F189" s="164">
        <v>255180</v>
      </c>
      <c r="G189" s="165">
        <v>263624</v>
      </c>
      <c r="H189" s="616" t="s">
        <v>23</v>
      </c>
      <c r="I189" s="1147"/>
      <c r="J189" s="1312"/>
      <c r="K189" s="1312"/>
      <c r="L189" s="1312"/>
      <c r="M189" s="1312"/>
      <c r="N189" s="1313"/>
      <c r="P189" s="8"/>
    </row>
    <row r="190" spans="1:14" s="1158" customFormat="1" ht="18" customHeight="1">
      <c r="A190" s="605">
        <v>157</v>
      </c>
      <c r="B190" s="1152"/>
      <c r="C190" s="1153"/>
      <c r="D190" s="1154" t="s">
        <v>293</v>
      </c>
      <c r="E190" s="1155"/>
      <c r="F190" s="1155"/>
      <c r="G190" s="1156"/>
      <c r="H190" s="1157"/>
      <c r="I190" s="1147">
        <f>SUM(J190:N190)</f>
        <v>261840</v>
      </c>
      <c r="J190" s="1148">
        <v>148380</v>
      </c>
      <c r="K190" s="1148">
        <v>22576</v>
      </c>
      <c r="L190" s="1148">
        <v>90884</v>
      </c>
      <c r="M190" s="1148"/>
      <c r="N190" s="1149"/>
    </row>
    <row r="191" spans="1:14" s="8" customFormat="1" ht="22.5" customHeight="1">
      <c r="A191" s="605">
        <v>158</v>
      </c>
      <c r="B191" s="166"/>
      <c r="C191" s="162">
        <v>70</v>
      </c>
      <c r="D191" s="599" t="s">
        <v>392</v>
      </c>
      <c r="E191" s="164">
        <v>180</v>
      </c>
      <c r="F191" s="164">
        <v>180</v>
      </c>
      <c r="G191" s="165">
        <v>180</v>
      </c>
      <c r="H191" s="616" t="s">
        <v>23</v>
      </c>
      <c r="I191" s="1147"/>
      <c r="J191" s="1312"/>
      <c r="K191" s="1312"/>
      <c r="L191" s="1312"/>
      <c r="M191" s="1312"/>
      <c r="N191" s="1313"/>
    </row>
    <row r="192" spans="1:14" s="1158" customFormat="1" ht="18" customHeight="1">
      <c r="A192" s="605">
        <v>159</v>
      </c>
      <c r="B192" s="1152"/>
      <c r="C192" s="1153"/>
      <c r="D192" s="1154" t="s">
        <v>293</v>
      </c>
      <c r="E192" s="1155"/>
      <c r="F192" s="1155"/>
      <c r="G192" s="1156"/>
      <c r="H192" s="1157"/>
      <c r="I192" s="1147">
        <f>SUM(J192:N192)</f>
        <v>180</v>
      </c>
      <c r="J192" s="1148"/>
      <c r="K192" s="1148"/>
      <c r="L192" s="1148">
        <v>180</v>
      </c>
      <c r="M192" s="1148"/>
      <c r="N192" s="1149"/>
    </row>
    <row r="193" spans="1:16" s="3" customFormat="1" ht="22.5" customHeight="1">
      <c r="A193" s="605">
        <v>160</v>
      </c>
      <c r="B193" s="161"/>
      <c r="C193" s="162">
        <v>71</v>
      </c>
      <c r="D193" s="600" t="s">
        <v>82</v>
      </c>
      <c r="E193" s="164">
        <v>14161</v>
      </c>
      <c r="F193" s="164">
        <v>54536</v>
      </c>
      <c r="G193" s="165">
        <v>377699</v>
      </c>
      <c r="H193" s="616" t="s">
        <v>23</v>
      </c>
      <c r="I193" s="1147"/>
      <c r="J193" s="1312"/>
      <c r="K193" s="1312"/>
      <c r="L193" s="1312"/>
      <c r="M193" s="1312"/>
      <c r="N193" s="1313"/>
      <c r="P193" s="8"/>
    </row>
    <row r="194" spans="1:14" s="1158" customFormat="1" ht="18" customHeight="1">
      <c r="A194" s="605">
        <v>161</v>
      </c>
      <c r="B194" s="1176"/>
      <c r="C194" s="1153"/>
      <c r="D194" s="1154" t="s">
        <v>293</v>
      </c>
      <c r="E194" s="1159"/>
      <c r="F194" s="1159"/>
      <c r="G194" s="1160"/>
      <c r="H194" s="1161"/>
      <c r="I194" s="1147">
        <f>SUM(J194:N194)</f>
        <v>62975</v>
      </c>
      <c r="J194" s="1162"/>
      <c r="K194" s="1162"/>
      <c r="L194" s="1162">
        <v>5000</v>
      </c>
      <c r="M194" s="1162"/>
      <c r="N194" s="1163">
        <f>55000+12700-9425-300</f>
        <v>57975</v>
      </c>
    </row>
    <row r="195" spans="1:16" s="3" customFormat="1" ht="22.5" customHeight="1">
      <c r="A195" s="605">
        <v>162</v>
      </c>
      <c r="B195" s="161"/>
      <c r="C195" s="162">
        <v>72</v>
      </c>
      <c r="D195" s="600" t="s">
        <v>83</v>
      </c>
      <c r="E195" s="164">
        <v>164182</v>
      </c>
      <c r="F195" s="164">
        <v>158489</v>
      </c>
      <c r="G195" s="165">
        <v>139930</v>
      </c>
      <c r="H195" s="616" t="s">
        <v>23</v>
      </c>
      <c r="I195" s="1147"/>
      <c r="J195" s="1312"/>
      <c r="K195" s="1312"/>
      <c r="L195" s="1312"/>
      <c r="M195" s="1312"/>
      <c r="N195" s="1313"/>
      <c r="P195" s="8"/>
    </row>
    <row r="196" spans="1:14" s="1158" customFormat="1" ht="18" customHeight="1">
      <c r="A196" s="605">
        <v>163</v>
      </c>
      <c r="B196" s="1152"/>
      <c r="C196" s="1153"/>
      <c r="D196" s="1154" t="s">
        <v>293</v>
      </c>
      <c r="E196" s="1155"/>
      <c r="F196" s="1155"/>
      <c r="G196" s="1156"/>
      <c r="H196" s="1157"/>
      <c r="I196" s="1147">
        <f>SUM(J196:N196)</f>
        <v>138289</v>
      </c>
      <c r="J196" s="1148"/>
      <c r="K196" s="1148"/>
      <c r="L196" s="1148">
        <f>151789-13500</f>
        <v>138289</v>
      </c>
      <c r="M196" s="1148"/>
      <c r="N196" s="1149"/>
    </row>
    <row r="197" spans="1:16" s="3" customFormat="1" ht="22.5" customHeight="1">
      <c r="A197" s="605">
        <v>164</v>
      </c>
      <c r="B197" s="161"/>
      <c r="C197" s="162">
        <v>73</v>
      </c>
      <c r="D197" s="600" t="s">
        <v>84</v>
      </c>
      <c r="E197" s="164">
        <v>13955</v>
      </c>
      <c r="F197" s="164">
        <v>40583</v>
      </c>
      <c r="G197" s="165">
        <v>40583</v>
      </c>
      <c r="H197" s="616" t="s">
        <v>24</v>
      </c>
      <c r="I197" s="1147"/>
      <c r="J197" s="1312"/>
      <c r="K197" s="1312"/>
      <c r="L197" s="1312"/>
      <c r="M197" s="1312"/>
      <c r="N197" s="1313"/>
      <c r="P197" s="8"/>
    </row>
    <row r="198" spans="1:14" s="1158" customFormat="1" ht="18" customHeight="1">
      <c r="A198" s="605">
        <v>165</v>
      </c>
      <c r="B198" s="1152"/>
      <c r="C198" s="1153"/>
      <c r="D198" s="1154" t="s">
        <v>293</v>
      </c>
      <c r="E198" s="1155"/>
      <c r="F198" s="1155"/>
      <c r="G198" s="1156"/>
      <c r="H198" s="1157"/>
      <c r="I198" s="1147">
        <f>SUM(J198:N198)</f>
        <v>51870</v>
      </c>
      <c r="J198" s="1148"/>
      <c r="K198" s="1148"/>
      <c r="L198" s="1148">
        <v>51870</v>
      </c>
      <c r="M198" s="1148"/>
      <c r="N198" s="1149"/>
    </row>
    <row r="199" spans="1:14" s="8" customFormat="1" ht="22.5" customHeight="1">
      <c r="A199" s="605">
        <v>166</v>
      </c>
      <c r="B199" s="166"/>
      <c r="C199" s="162">
        <v>74</v>
      </c>
      <c r="D199" s="599" t="s">
        <v>393</v>
      </c>
      <c r="E199" s="164">
        <v>306766</v>
      </c>
      <c r="F199" s="164">
        <v>394879</v>
      </c>
      <c r="G199" s="165">
        <v>301689</v>
      </c>
      <c r="H199" s="616" t="s">
        <v>23</v>
      </c>
      <c r="I199" s="1147"/>
      <c r="J199" s="1312"/>
      <c r="K199" s="1312"/>
      <c r="L199" s="1312"/>
      <c r="M199" s="1312"/>
      <c r="N199" s="1313"/>
    </row>
    <row r="200" spans="1:14" s="1158" customFormat="1" ht="18" customHeight="1">
      <c r="A200" s="605">
        <v>167</v>
      </c>
      <c r="B200" s="1152"/>
      <c r="C200" s="1153"/>
      <c r="D200" s="1154" t="s">
        <v>293</v>
      </c>
      <c r="E200" s="1155"/>
      <c r="F200" s="1155"/>
      <c r="G200" s="1156"/>
      <c r="H200" s="1157"/>
      <c r="I200" s="1147">
        <f>SUM(J200:N200)</f>
        <v>1618046</v>
      </c>
      <c r="J200" s="1148"/>
      <c r="K200" s="1148"/>
      <c r="L200" s="1148"/>
      <c r="M200" s="1148"/>
      <c r="N200" s="1149">
        <v>1618046</v>
      </c>
    </row>
    <row r="201" spans="1:16" s="3" customFormat="1" ht="22.5" customHeight="1">
      <c r="A201" s="605">
        <v>168</v>
      </c>
      <c r="B201" s="161"/>
      <c r="C201" s="162">
        <v>75</v>
      </c>
      <c r="D201" s="600" t="s">
        <v>85</v>
      </c>
      <c r="E201" s="164">
        <v>15000</v>
      </c>
      <c r="F201" s="164">
        <v>12750</v>
      </c>
      <c r="G201" s="165">
        <v>12750</v>
      </c>
      <c r="H201" s="616" t="s">
        <v>24</v>
      </c>
      <c r="I201" s="1147"/>
      <c r="J201" s="1312"/>
      <c r="K201" s="1312"/>
      <c r="L201" s="1312"/>
      <c r="M201" s="1312"/>
      <c r="N201" s="1313"/>
      <c r="P201" s="8"/>
    </row>
    <row r="202" spans="1:14" s="1158" customFormat="1" ht="18" customHeight="1">
      <c r="A202" s="605">
        <v>169</v>
      </c>
      <c r="B202" s="1152"/>
      <c r="C202" s="1153"/>
      <c r="D202" s="1154" t="s">
        <v>293</v>
      </c>
      <c r="E202" s="1155"/>
      <c r="F202" s="1155"/>
      <c r="G202" s="1156"/>
      <c r="H202" s="1157"/>
      <c r="I202" s="1147">
        <f>SUM(J202:N202)</f>
        <v>7500</v>
      </c>
      <c r="J202" s="1148"/>
      <c r="K202" s="1148"/>
      <c r="L202" s="1148"/>
      <c r="M202" s="1148"/>
      <c r="N202" s="1149">
        <v>7500</v>
      </c>
    </row>
    <row r="203" spans="1:16" s="3" customFormat="1" ht="22.5" customHeight="1">
      <c r="A203" s="605">
        <v>170</v>
      </c>
      <c r="B203" s="161"/>
      <c r="C203" s="162">
        <v>76</v>
      </c>
      <c r="D203" s="600" t="s">
        <v>88</v>
      </c>
      <c r="E203" s="164">
        <v>70468</v>
      </c>
      <c r="F203" s="164">
        <v>29500</v>
      </c>
      <c r="G203" s="165">
        <v>58150</v>
      </c>
      <c r="H203" s="616" t="s">
        <v>24</v>
      </c>
      <c r="I203" s="1147"/>
      <c r="J203" s="1312"/>
      <c r="K203" s="1312"/>
      <c r="L203" s="1312"/>
      <c r="M203" s="1312"/>
      <c r="N203" s="1313"/>
      <c r="P203" s="8"/>
    </row>
    <row r="204" spans="1:14" s="1158" customFormat="1" ht="18" customHeight="1">
      <c r="A204" s="605">
        <v>171</v>
      </c>
      <c r="B204" s="1152"/>
      <c r="C204" s="1153"/>
      <c r="D204" s="1154" t="s">
        <v>293</v>
      </c>
      <c r="E204" s="1155"/>
      <c r="F204" s="1155"/>
      <c r="G204" s="1156"/>
      <c r="H204" s="1157"/>
      <c r="I204" s="1147">
        <f>SUM(J204:N204)</f>
        <v>28000</v>
      </c>
      <c r="J204" s="1148"/>
      <c r="K204" s="1148"/>
      <c r="L204" s="1148"/>
      <c r="M204" s="1148"/>
      <c r="N204" s="1149">
        <v>28000</v>
      </c>
    </row>
    <row r="205" spans="1:16" s="3" customFormat="1" ht="22.5" customHeight="1">
      <c r="A205" s="605">
        <v>172</v>
      </c>
      <c r="B205" s="161"/>
      <c r="C205" s="162">
        <v>77</v>
      </c>
      <c r="D205" s="600" t="s">
        <v>89</v>
      </c>
      <c r="E205" s="164">
        <v>128000</v>
      </c>
      <c r="F205" s="164">
        <v>103000</v>
      </c>
      <c r="G205" s="165">
        <v>103000</v>
      </c>
      <c r="H205" s="616" t="s">
        <v>24</v>
      </c>
      <c r="I205" s="1147"/>
      <c r="J205" s="1312"/>
      <c r="K205" s="1312"/>
      <c r="L205" s="1312"/>
      <c r="M205" s="1312"/>
      <c r="N205" s="1313"/>
      <c r="P205" s="8"/>
    </row>
    <row r="206" spans="1:16" s="3" customFormat="1" ht="22.5" customHeight="1">
      <c r="A206" s="605">
        <v>173</v>
      </c>
      <c r="B206" s="161"/>
      <c r="C206" s="162">
        <v>78</v>
      </c>
      <c r="D206" s="600" t="s">
        <v>90</v>
      </c>
      <c r="E206" s="164"/>
      <c r="F206" s="164">
        <v>174944</v>
      </c>
      <c r="G206" s="165">
        <v>0</v>
      </c>
      <c r="H206" s="616" t="s">
        <v>24</v>
      </c>
      <c r="I206" s="1147"/>
      <c r="J206" s="1312"/>
      <c r="K206" s="1312"/>
      <c r="L206" s="1312"/>
      <c r="M206" s="1312"/>
      <c r="N206" s="1313"/>
      <c r="P206" s="8"/>
    </row>
    <row r="207" spans="1:16" s="3" customFormat="1" ht="22.5" customHeight="1">
      <c r="A207" s="605">
        <v>174</v>
      </c>
      <c r="B207" s="161"/>
      <c r="C207" s="162">
        <v>79</v>
      </c>
      <c r="D207" s="600" t="s">
        <v>91</v>
      </c>
      <c r="E207" s="164">
        <v>22000</v>
      </c>
      <c r="F207" s="164">
        <v>22000</v>
      </c>
      <c r="G207" s="165">
        <v>22000</v>
      </c>
      <c r="H207" s="616" t="s">
        <v>24</v>
      </c>
      <c r="I207" s="1147"/>
      <c r="J207" s="1312"/>
      <c r="K207" s="1312"/>
      <c r="L207" s="1312"/>
      <c r="M207" s="1312"/>
      <c r="N207" s="1313"/>
      <c r="P207" s="8"/>
    </row>
    <row r="208" spans="1:14" s="1158" customFormat="1" ht="18" customHeight="1">
      <c r="A208" s="605">
        <v>175</v>
      </c>
      <c r="B208" s="1152"/>
      <c r="C208" s="1153"/>
      <c r="D208" s="1154" t="s">
        <v>293</v>
      </c>
      <c r="E208" s="1155"/>
      <c r="F208" s="1155"/>
      <c r="G208" s="1156"/>
      <c r="H208" s="1157"/>
      <c r="I208" s="1147">
        <f>SUM(J208:N208)</f>
        <v>22000</v>
      </c>
      <c r="J208" s="1148"/>
      <c r="K208" s="1148"/>
      <c r="L208" s="1148">
        <v>22000</v>
      </c>
      <c r="M208" s="1148"/>
      <c r="N208" s="1149"/>
    </row>
    <row r="209" spans="1:16" s="3" customFormat="1" ht="22.5" customHeight="1">
      <c r="A209" s="605">
        <v>176</v>
      </c>
      <c r="B209" s="161"/>
      <c r="C209" s="162">
        <v>80</v>
      </c>
      <c r="D209" s="600" t="s">
        <v>247</v>
      </c>
      <c r="E209" s="164">
        <v>38100</v>
      </c>
      <c r="F209" s="164">
        <v>38100</v>
      </c>
      <c r="G209" s="165">
        <v>38100</v>
      </c>
      <c r="H209" s="616" t="s">
        <v>24</v>
      </c>
      <c r="I209" s="1147"/>
      <c r="J209" s="1312"/>
      <c r="K209" s="1312"/>
      <c r="L209" s="1312"/>
      <c r="M209" s="1312"/>
      <c r="N209" s="1313"/>
      <c r="P209" s="8"/>
    </row>
    <row r="210" spans="1:14" s="1158" customFormat="1" ht="18" customHeight="1">
      <c r="A210" s="605">
        <v>177</v>
      </c>
      <c r="B210" s="1152"/>
      <c r="C210" s="1153"/>
      <c r="D210" s="1154" t="s">
        <v>293</v>
      </c>
      <c r="E210" s="1155"/>
      <c r="F210" s="1155"/>
      <c r="G210" s="1156"/>
      <c r="H210" s="1157"/>
      <c r="I210" s="1147">
        <f>SUM(J210:N210)</f>
        <v>38100</v>
      </c>
      <c r="J210" s="1148"/>
      <c r="K210" s="1148"/>
      <c r="L210" s="1148">
        <v>38100</v>
      </c>
      <c r="M210" s="1148"/>
      <c r="N210" s="1149"/>
    </row>
    <row r="211" spans="1:16" s="3" customFormat="1" ht="22.5" customHeight="1">
      <c r="A211" s="605">
        <v>178</v>
      </c>
      <c r="B211" s="161"/>
      <c r="C211" s="162">
        <v>81</v>
      </c>
      <c r="D211" s="600" t="s">
        <v>93</v>
      </c>
      <c r="E211" s="164">
        <v>38000</v>
      </c>
      <c r="F211" s="164">
        <v>0</v>
      </c>
      <c r="G211" s="165">
        <v>2503</v>
      </c>
      <c r="H211" s="616" t="s">
        <v>24</v>
      </c>
      <c r="I211" s="1147"/>
      <c r="J211" s="1312"/>
      <c r="K211" s="1312"/>
      <c r="L211" s="1312"/>
      <c r="M211" s="1312"/>
      <c r="N211" s="1313"/>
      <c r="P211" s="8"/>
    </row>
    <row r="212" spans="1:16" s="3" customFormat="1" ht="22.5" customHeight="1">
      <c r="A212" s="605">
        <v>179</v>
      </c>
      <c r="B212" s="161"/>
      <c r="C212" s="162">
        <v>82</v>
      </c>
      <c r="D212" s="600" t="s">
        <v>94</v>
      </c>
      <c r="E212" s="164">
        <v>45874</v>
      </c>
      <c r="F212" s="164">
        <v>34150</v>
      </c>
      <c r="G212" s="165">
        <v>29882</v>
      </c>
      <c r="H212" s="616" t="s">
        <v>24</v>
      </c>
      <c r="I212" s="1147"/>
      <c r="J212" s="1312"/>
      <c r="K212" s="1312"/>
      <c r="L212" s="1312"/>
      <c r="M212" s="1312"/>
      <c r="N212" s="1313"/>
      <c r="P212" s="8"/>
    </row>
    <row r="213" spans="1:14" s="1158" customFormat="1" ht="18" customHeight="1">
      <c r="A213" s="605">
        <v>180</v>
      </c>
      <c r="B213" s="1152"/>
      <c r="C213" s="1153"/>
      <c r="D213" s="1154" t="s">
        <v>293</v>
      </c>
      <c r="E213" s="1155"/>
      <c r="F213" s="1155"/>
      <c r="G213" s="1156"/>
      <c r="H213" s="1157"/>
      <c r="I213" s="1147">
        <f>SUM(J213:N213)</f>
        <v>34150</v>
      </c>
      <c r="J213" s="1148"/>
      <c r="K213" s="1148"/>
      <c r="L213" s="1148">
        <v>34150</v>
      </c>
      <c r="M213" s="1148"/>
      <c r="N213" s="1149"/>
    </row>
    <row r="214" spans="1:16" s="3" customFormat="1" ht="22.5" customHeight="1">
      <c r="A214" s="605">
        <v>181</v>
      </c>
      <c r="B214" s="161"/>
      <c r="C214" s="162">
        <v>83</v>
      </c>
      <c r="D214" s="603" t="s">
        <v>302</v>
      </c>
      <c r="E214" s="164">
        <v>3738</v>
      </c>
      <c r="F214" s="164">
        <v>5100</v>
      </c>
      <c r="G214" s="165">
        <v>5100</v>
      </c>
      <c r="H214" s="616" t="s">
        <v>24</v>
      </c>
      <c r="I214" s="1147"/>
      <c r="J214" s="1312"/>
      <c r="K214" s="1312"/>
      <c r="L214" s="1312"/>
      <c r="M214" s="1312"/>
      <c r="N214" s="1313"/>
      <c r="P214" s="8"/>
    </row>
    <row r="215" spans="1:14" s="1158" customFormat="1" ht="18" customHeight="1">
      <c r="A215" s="605">
        <v>182</v>
      </c>
      <c r="B215" s="1152"/>
      <c r="C215" s="1153"/>
      <c r="D215" s="1154" t="s">
        <v>293</v>
      </c>
      <c r="E215" s="1155"/>
      <c r="F215" s="1155"/>
      <c r="G215" s="1156"/>
      <c r="H215" s="1157"/>
      <c r="I215" s="1147">
        <f>SUM(J215:N215)</f>
        <v>6000</v>
      </c>
      <c r="J215" s="1148"/>
      <c r="K215" s="1148"/>
      <c r="L215" s="1148">
        <v>6000</v>
      </c>
      <c r="M215" s="1148"/>
      <c r="N215" s="1149"/>
    </row>
    <row r="216" spans="1:14" s="8" customFormat="1" ht="22.5" customHeight="1">
      <c r="A216" s="605">
        <v>183</v>
      </c>
      <c r="B216" s="166"/>
      <c r="C216" s="162">
        <v>84</v>
      </c>
      <c r="D216" s="599" t="s">
        <v>414</v>
      </c>
      <c r="E216" s="164">
        <v>0</v>
      </c>
      <c r="F216" s="164">
        <v>3000</v>
      </c>
      <c r="G216" s="165">
        <v>0</v>
      </c>
      <c r="H216" s="616" t="s">
        <v>24</v>
      </c>
      <c r="I216" s="1147"/>
      <c r="J216" s="1312"/>
      <c r="K216" s="1312"/>
      <c r="L216" s="1312"/>
      <c r="M216" s="1312"/>
      <c r="N216" s="1313"/>
    </row>
    <row r="217" spans="1:14" s="8" customFormat="1" ht="22.5" customHeight="1">
      <c r="A217" s="605">
        <v>184</v>
      </c>
      <c r="B217" s="166"/>
      <c r="C217" s="162">
        <v>85</v>
      </c>
      <c r="D217" s="600" t="s">
        <v>63</v>
      </c>
      <c r="E217" s="164">
        <v>4249</v>
      </c>
      <c r="F217" s="164">
        <v>4000</v>
      </c>
      <c r="G217" s="165">
        <v>0</v>
      </c>
      <c r="H217" s="618" t="s">
        <v>24</v>
      </c>
      <c r="I217" s="1317"/>
      <c r="J217" s="1318"/>
      <c r="K217" s="1318"/>
      <c r="L217" s="1318"/>
      <c r="M217" s="1318"/>
      <c r="N217" s="1319"/>
    </row>
    <row r="218" spans="1:14" s="1158" customFormat="1" ht="18" customHeight="1">
      <c r="A218" s="605">
        <v>185</v>
      </c>
      <c r="B218" s="1152"/>
      <c r="C218" s="1153"/>
      <c r="D218" s="1154" t="s">
        <v>293</v>
      </c>
      <c r="E218" s="1155"/>
      <c r="F218" s="1155"/>
      <c r="G218" s="1156"/>
      <c r="H218" s="1157"/>
      <c r="I218" s="1147">
        <f>SUM(J218:N218)</f>
        <v>2400</v>
      </c>
      <c r="J218" s="1148"/>
      <c r="K218" s="1148"/>
      <c r="L218" s="1148"/>
      <c r="M218" s="1148"/>
      <c r="N218" s="1149">
        <v>2400</v>
      </c>
    </row>
    <row r="219" spans="1:16" s="3" customFormat="1" ht="22.5" customHeight="1">
      <c r="A219" s="605">
        <v>186</v>
      </c>
      <c r="B219" s="161"/>
      <c r="C219" s="162">
        <v>86</v>
      </c>
      <c r="D219" s="600" t="s">
        <v>95</v>
      </c>
      <c r="E219" s="164">
        <v>989</v>
      </c>
      <c r="F219" s="164">
        <v>1785</v>
      </c>
      <c r="G219" s="165">
        <v>1520</v>
      </c>
      <c r="H219" s="616" t="s">
        <v>23</v>
      </c>
      <c r="I219" s="1147"/>
      <c r="J219" s="1312"/>
      <c r="K219" s="1312"/>
      <c r="L219" s="1312"/>
      <c r="M219" s="1312"/>
      <c r="N219" s="1313"/>
      <c r="P219" s="8"/>
    </row>
    <row r="220" spans="1:14" s="1158" customFormat="1" ht="18" customHeight="1">
      <c r="A220" s="605">
        <v>187</v>
      </c>
      <c r="B220" s="1152"/>
      <c r="C220" s="1153"/>
      <c r="D220" s="1154" t="s">
        <v>293</v>
      </c>
      <c r="E220" s="1155"/>
      <c r="F220" s="1155"/>
      <c r="G220" s="1156"/>
      <c r="H220" s="1157"/>
      <c r="I220" s="1147">
        <f>SUM(J220:N220)</f>
        <v>2100</v>
      </c>
      <c r="J220" s="1148"/>
      <c r="K220" s="1148">
        <v>100</v>
      </c>
      <c r="L220" s="1148">
        <v>2000</v>
      </c>
      <c r="M220" s="1148"/>
      <c r="N220" s="1149"/>
    </row>
    <row r="221" spans="1:14" s="8" customFormat="1" ht="22.5" customHeight="1">
      <c r="A221" s="605">
        <v>188</v>
      </c>
      <c r="B221" s="166"/>
      <c r="C221" s="162">
        <v>87</v>
      </c>
      <c r="D221" s="599" t="s">
        <v>415</v>
      </c>
      <c r="E221" s="164">
        <v>156</v>
      </c>
      <c r="F221" s="164">
        <v>840</v>
      </c>
      <c r="G221" s="165">
        <v>840</v>
      </c>
      <c r="H221" s="616" t="s">
        <v>24</v>
      </c>
      <c r="I221" s="1147"/>
      <c r="J221" s="1312"/>
      <c r="K221" s="1312"/>
      <c r="L221" s="1312"/>
      <c r="M221" s="1312"/>
      <c r="N221" s="1313"/>
    </row>
    <row r="222" spans="1:14" s="1158" customFormat="1" ht="18" customHeight="1">
      <c r="A222" s="605">
        <v>189</v>
      </c>
      <c r="B222" s="1152"/>
      <c r="C222" s="1153"/>
      <c r="D222" s="1154" t="s">
        <v>293</v>
      </c>
      <c r="E222" s="1155"/>
      <c r="F222" s="1155"/>
      <c r="G222" s="1156"/>
      <c r="H222" s="1157"/>
      <c r="I222" s="1147">
        <f>SUM(J222:N222)</f>
        <v>1000</v>
      </c>
      <c r="J222" s="1148"/>
      <c r="K222" s="1148"/>
      <c r="L222" s="1148">
        <v>1000</v>
      </c>
      <c r="M222" s="1148"/>
      <c r="N222" s="1149"/>
    </row>
    <row r="223" spans="1:16" s="3" customFormat="1" ht="22.5" customHeight="1">
      <c r="A223" s="605">
        <v>190</v>
      </c>
      <c r="B223" s="161"/>
      <c r="C223" s="162">
        <v>88</v>
      </c>
      <c r="D223" s="600" t="s">
        <v>427</v>
      </c>
      <c r="E223" s="164">
        <v>146828</v>
      </c>
      <c r="F223" s="164">
        <v>136000</v>
      </c>
      <c r="G223" s="165">
        <v>181910</v>
      </c>
      <c r="H223" s="616" t="s">
        <v>23</v>
      </c>
      <c r="I223" s="1147"/>
      <c r="J223" s="1312"/>
      <c r="K223" s="1312"/>
      <c r="L223" s="1312"/>
      <c r="M223" s="1312"/>
      <c r="N223" s="1313"/>
      <c r="P223" s="8"/>
    </row>
    <row r="224" spans="1:14" s="1158" customFormat="1" ht="18" customHeight="1">
      <c r="A224" s="605">
        <v>191</v>
      </c>
      <c r="B224" s="1152"/>
      <c r="C224" s="1153"/>
      <c r="D224" s="1154" t="s">
        <v>293</v>
      </c>
      <c r="E224" s="1155"/>
      <c r="F224" s="1155"/>
      <c r="G224" s="1156"/>
      <c r="H224" s="1157"/>
      <c r="I224" s="1147">
        <f>SUM(J224:N224)</f>
        <v>155000</v>
      </c>
      <c r="J224" s="1148"/>
      <c r="K224" s="1148"/>
      <c r="L224" s="1148">
        <v>155000</v>
      </c>
      <c r="M224" s="1148"/>
      <c r="N224" s="1149"/>
    </row>
    <row r="225" spans="1:16" s="3" customFormat="1" ht="22.5" customHeight="1">
      <c r="A225" s="605">
        <v>192</v>
      </c>
      <c r="B225" s="161"/>
      <c r="C225" s="162">
        <v>89</v>
      </c>
      <c r="D225" s="600" t="s">
        <v>86</v>
      </c>
      <c r="E225" s="175">
        <v>49642</v>
      </c>
      <c r="F225" s="175">
        <v>54230</v>
      </c>
      <c r="G225" s="176">
        <v>64649</v>
      </c>
      <c r="H225" s="616" t="s">
        <v>23</v>
      </c>
      <c r="I225" s="1147"/>
      <c r="J225" s="1312"/>
      <c r="K225" s="1312"/>
      <c r="L225" s="1312"/>
      <c r="M225" s="1312"/>
      <c r="N225" s="1313"/>
      <c r="P225" s="8"/>
    </row>
    <row r="226" spans="1:14" s="1158" customFormat="1" ht="18" customHeight="1">
      <c r="A226" s="605">
        <v>193</v>
      </c>
      <c r="B226" s="1152"/>
      <c r="C226" s="1153"/>
      <c r="D226" s="1154" t="s">
        <v>293</v>
      </c>
      <c r="E226" s="1155"/>
      <c r="F226" s="1155"/>
      <c r="G226" s="1156"/>
      <c r="H226" s="1157"/>
      <c r="I226" s="1147">
        <f>SUM(J226:N226)</f>
        <v>60000</v>
      </c>
      <c r="J226" s="1148"/>
      <c r="K226" s="1148"/>
      <c r="L226" s="1148">
        <v>60000</v>
      </c>
      <c r="M226" s="1148"/>
      <c r="N226" s="1149"/>
    </row>
    <row r="227" spans="1:16" s="3" customFormat="1" ht="22.5" customHeight="1">
      <c r="A227" s="605">
        <v>194</v>
      </c>
      <c r="B227" s="161"/>
      <c r="C227" s="162">
        <v>90</v>
      </c>
      <c r="D227" s="600" t="s">
        <v>87</v>
      </c>
      <c r="E227" s="164">
        <v>13153</v>
      </c>
      <c r="F227" s="164">
        <v>1700</v>
      </c>
      <c r="G227" s="165">
        <v>5477</v>
      </c>
      <c r="H227" s="616" t="s">
        <v>23</v>
      </c>
      <c r="I227" s="1147"/>
      <c r="J227" s="1312"/>
      <c r="K227" s="1312"/>
      <c r="L227" s="1312"/>
      <c r="M227" s="1312"/>
      <c r="N227" s="1313"/>
      <c r="P227" s="8"/>
    </row>
    <row r="228" spans="1:14" s="1158" customFormat="1" ht="18" customHeight="1">
      <c r="A228" s="605">
        <v>195</v>
      </c>
      <c r="B228" s="1152"/>
      <c r="C228" s="1153"/>
      <c r="D228" s="1154" t="s">
        <v>293</v>
      </c>
      <c r="E228" s="1155"/>
      <c r="F228" s="1155"/>
      <c r="G228" s="1156"/>
      <c r="H228" s="1157"/>
      <c r="I228" s="1147">
        <f>SUM(J228:N228)</f>
        <v>4905</v>
      </c>
      <c r="J228" s="1148"/>
      <c r="K228" s="1148"/>
      <c r="L228" s="1148">
        <v>4905</v>
      </c>
      <c r="M228" s="1148"/>
      <c r="N228" s="1149"/>
    </row>
    <row r="229" spans="1:14" s="3" customFormat="1" ht="22.5" customHeight="1">
      <c r="A229" s="605">
        <v>196</v>
      </c>
      <c r="B229" s="161"/>
      <c r="C229" s="162">
        <v>91</v>
      </c>
      <c r="D229" s="600" t="s">
        <v>636</v>
      </c>
      <c r="E229" s="164">
        <v>1443096</v>
      </c>
      <c r="F229" s="164">
        <v>881516</v>
      </c>
      <c r="G229" s="165">
        <v>881516</v>
      </c>
      <c r="H229" s="616" t="s">
        <v>23</v>
      </c>
      <c r="I229" s="1147"/>
      <c r="J229" s="1312"/>
      <c r="K229" s="1312"/>
      <c r="L229" s="1312"/>
      <c r="M229" s="1312"/>
      <c r="N229" s="1313"/>
    </row>
    <row r="230" spans="1:14" s="1158" customFormat="1" ht="18" customHeight="1">
      <c r="A230" s="605">
        <v>197</v>
      </c>
      <c r="B230" s="1152"/>
      <c r="C230" s="1153"/>
      <c r="D230" s="1154" t="s">
        <v>293</v>
      </c>
      <c r="E230" s="1155"/>
      <c r="F230" s="1155"/>
      <c r="G230" s="1156"/>
      <c r="H230" s="1157"/>
      <c r="I230" s="1147">
        <f>SUM(J230:N230)</f>
        <v>469480</v>
      </c>
      <c r="J230" s="1148"/>
      <c r="K230" s="1148"/>
      <c r="L230" s="1148"/>
      <c r="M230" s="1148"/>
      <c r="N230" s="1149">
        <v>469480</v>
      </c>
    </row>
    <row r="231" spans="1:14" s="8" customFormat="1" ht="22.5" customHeight="1">
      <c r="A231" s="605">
        <v>198</v>
      </c>
      <c r="B231" s="166"/>
      <c r="C231" s="167">
        <v>92</v>
      </c>
      <c r="D231" s="600" t="s">
        <v>582</v>
      </c>
      <c r="E231" s="164"/>
      <c r="F231" s="164">
        <v>153947</v>
      </c>
      <c r="G231" s="165">
        <v>153947</v>
      </c>
      <c r="H231" s="616" t="s">
        <v>23</v>
      </c>
      <c r="I231" s="1147"/>
      <c r="J231" s="1312"/>
      <c r="K231" s="1312"/>
      <c r="L231" s="1312"/>
      <c r="M231" s="1312"/>
      <c r="N231" s="1313"/>
    </row>
    <row r="232" spans="1:14" s="3" customFormat="1" ht="22.5" customHeight="1">
      <c r="A232" s="605">
        <v>199</v>
      </c>
      <c r="B232" s="161"/>
      <c r="C232" s="162">
        <v>93</v>
      </c>
      <c r="D232" s="600" t="s">
        <v>448</v>
      </c>
      <c r="E232" s="164">
        <v>24770</v>
      </c>
      <c r="F232" s="164">
        <v>56914</v>
      </c>
      <c r="G232" s="165">
        <v>56814</v>
      </c>
      <c r="H232" s="616" t="s">
        <v>24</v>
      </c>
      <c r="I232" s="1147"/>
      <c r="J232" s="1312"/>
      <c r="K232" s="1312"/>
      <c r="L232" s="1312"/>
      <c r="M232" s="1312"/>
      <c r="N232" s="1313"/>
    </row>
    <row r="233" spans="1:14" s="1158" customFormat="1" ht="18" customHeight="1">
      <c r="A233" s="605">
        <v>200</v>
      </c>
      <c r="B233" s="1152"/>
      <c r="C233" s="1153"/>
      <c r="D233" s="1154" t="s">
        <v>293</v>
      </c>
      <c r="E233" s="1155"/>
      <c r="F233" s="1155"/>
      <c r="G233" s="1156"/>
      <c r="H233" s="1157"/>
      <c r="I233" s="1147">
        <f>SUM(J233:N233)</f>
        <v>48761</v>
      </c>
      <c r="J233" s="1148"/>
      <c r="K233" s="1148"/>
      <c r="L233" s="1148">
        <v>48761</v>
      </c>
      <c r="M233" s="1148"/>
      <c r="N233" s="1149"/>
    </row>
    <row r="234" spans="1:16" s="3" customFormat="1" ht="22.5" customHeight="1">
      <c r="A234" s="605">
        <v>201</v>
      </c>
      <c r="B234" s="161"/>
      <c r="C234" s="162"/>
      <c r="D234" s="384" t="s">
        <v>288</v>
      </c>
      <c r="E234" s="164"/>
      <c r="F234" s="164"/>
      <c r="G234" s="165"/>
      <c r="H234" s="616"/>
      <c r="I234" s="1317"/>
      <c r="J234" s="1318"/>
      <c r="K234" s="1318"/>
      <c r="L234" s="1318"/>
      <c r="M234" s="1318"/>
      <c r="N234" s="1319"/>
      <c r="O234" s="8"/>
      <c r="P234" s="8"/>
    </row>
    <row r="235" spans="1:16" s="3" customFormat="1" ht="22.5" customHeight="1">
      <c r="A235" s="605">
        <v>202</v>
      </c>
      <c r="B235" s="161"/>
      <c r="C235" s="162">
        <v>94</v>
      </c>
      <c r="D235" s="182" t="s">
        <v>8</v>
      </c>
      <c r="E235" s="164">
        <v>285738</v>
      </c>
      <c r="F235" s="164">
        <v>277100</v>
      </c>
      <c r="G235" s="165">
        <v>280548</v>
      </c>
      <c r="H235" s="616" t="s">
        <v>23</v>
      </c>
      <c r="I235" s="1147"/>
      <c r="J235" s="1312"/>
      <c r="K235" s="1312"/>
      <c r="L235" s="1312"/>
      <c r="M235" s="1312"/>
      <c r="N235" s="1313"/>
      <c r="P235" s="8"/>
    </row>
    <row r="236" spans="1:14" s="1158" customFormat="1" ht="18" customHeight="1">
      <c r="A236" s="605">
        <v>203</v>
      </c>
      <c r="B236" s="1152"/>
      <c r="C236" s="1153"/>
      <c r="D236" s="1179" t="s">
        <v>293</v>
      </c>
      <c r="E236" s="1155"/>
      <c r="F236" s="1155"/>
      <c r="G236" s="1156"/>
      <c r="H236" s="1157"/>
      <c r="I236" s="1147">
        <f>SUM(J236:N236)</f>
        <v>121336</v>
      </c>
      <c r="J236" s="1148"/>
      <c r="K236" s="1148"/>
      <c r="L236" s="1148">
        <v>5000</v>
      </c>
      <c r="M236" s="1148"/>
      <c r="N236" s="1149">
        <v>116336</v>
      </c>
    </row>
    <row r="237" spans="1:16" s="3" customFormat="1" ht="22.5" customHeight="1">
      <c r="A237" s="605">
        <v>204</v>
      </c>
      <c r="B237" s="161"/>
      <c r="C237" s="162">
        <v>95</v>
      </c>
      <c r="D237" s="182" t="s">
        <v>287</v>
      </c>
      <c r="E237" s="164">
        <v>54053</v>
      </c>
      <c r="F237" s="164">
        <v>45900</v>
      </c>
      <c r="G237" s="165">
        <v>45900</v>
      </c>
      <c r="H237" s="616" t="s">
        <v>23</v>
      </c>
      <c r="I237" s="1147"/>
      <c r="J237" s="1312"/>
      <c r="K237" s="1312"/>
      <c r="L237" s="1312"/>
      <c r="M237" s="1312"/>
      <c r="N237" s="1313"/>
      <c r="P237" s="8"/>
    </row>
    <row r="238" spans="1:14" s="1158" customFormat="1" ht="18" customHeight="1">
      <c r="A238" s="605">
        <v>205</v>
      </c>
      <c r="B238" s="1152"/>
      <c r="C238" s="1153"/>
      <c r="D238" s="1179" t="s">
        <v>293</v>
      </c>
      <c r="E238" s="1155"/>
      <c r="F238" s="1155"/>
      <c r="G238" s="1156"/>
      <c r="H238" s="1157"/>
      <c r="I238" s="1147">
        <f>SUM(J238:N238)</f>
        <v>31600</v>
      </c>
      <c r="J238" s="1148"/>
      <c r="K238" s="1148"/>
      <c r="L238" s="1148"/>
      <c r="M238" s="1148"/>
      <c r="N238" s="1149">
        <v>31600</v>
      </c>
    </row>
    <row r="239" spans="1:16" s="3" customFormat="1" ht="22.5" customHeight="1">
      <c r="A239" s="605">
        <v>206</v>
      </c>
      <c r="B239" s="161"/>
      <c r="C239" s="162">
        <v>96</v>
      </c>
      <c r="D239" s="182" t="s">
        <v>9</v>
      </c>
      <c r="E239" s="164">
        <v>298908</v>
      </c>
      <c r="F239" s="164">
        <v>259250</v>
      </c>
      <c r="G239" s="165">
        <v>259250</v>
      </c>
      <c r="H239" s="616" t="s">
        <v>23</v>
      </c>
      <c r="I239" s="1147"/>
      <c r="J239" s="1312"/>
      <c r="K239" s="1312"/>
      <c r="L239" s="1312"/>
      <c r="M239" s="1312"/>
      <c r="N239" s="1313"/>
      <c r="P239" s="8"/>
    </row>
    <row r="240" spans="1:14" s="1158" customFormat="1" ht="18" customHeight="1">
      <c r="A240" s="605">
        <v>207</v>
      </c>
      <c r="B240" s="1152"/>
      <c r="C240" s="1153"/>
      <c r="D240" s="1179" t="s">
        <v>293</v>
      </c>
      <c r="E240" s="1155"/>
      <c r="F240" s="1155"/>
      <c r="G240" s="1156"/>
      <c r="H240" s="1157"/>
      <c r="I240" s="1147">
        <f>SUM(J240:N240)</f>
        <v>231700</v>
      </c>
      <c r="J240" s="1148"/>
      <c r="K240" s="1148"/>
      <c r="L240" s="1148"/>
      <c r="M240" s="1148"/>
      <c r="N240" s="1149">
        <v>231700</v>
      </c>
    </row>
    <row r="241" spans="1:16" s="3" customFormat="1" ht="22.5" customHeight="1">
      <c r="A241" s="605">
        <v>208</v>
      </c>
      <c r="B241" s="161"/>
      <c r="C241" s="162">
        <v>97</v>
      </c>
      <c r="D241" s="182" t="s">
        <v>7</v>
      </c>
      <c r="E241" s="164">
        <v>43000</v>
      </c>
      <c r="F241" s="164">
        <v>36550</v>
      </c>
      <c r="G241" s="165">
        <v>36550</v>
      </c>
      <c r="H241" s="616" t="s">
        <v>23</v>
      </c>
      <c r="I241" s="1147"/>
      <c r="J241" s="1312"/>
      <c r="K241" s="1312"/>
      <c r="L241" s="1312"/>
      <c r="M241" s="1312"/>
      <c r="N241" s="1313"/>
      <c r="P241" s="8"/>
    </row>
    <row r="242" spans="1:14" s="1158" customFormat="1" ht="18" customHeight="1">
      <c r="A242" s="605">
        <v>209</v>
      </c>
      <c r="B242" s="1152"/>
      <c r="C242" s="1153"/>
      <c r="D242" s="1179" t="s">
        <v>293</v>
      </c>
      <c r="E242" s="1155"/>
      <c r="F242" s="1155"/>
      <c r="G242" s="1156"/>
      <c r="H242" s="1157"/>
      <c r="I242" s="1147">
        <f>SUM(J242:N242)</f>
        <v>37700</v>
      </c>
      <c r="J242" s="1148"/>
      <c r="K242" s="1148"/>
      <c r="L242" s="1148"/>
      <c r="M242" s="1148"/>
      <c r="N242" s="1149">
        <v>37700</v>
      </c>
    </row>
    <row r="243" spans="1:16" s="3" customFormat="1" ht="22.5" customHeight="1">
      <c r="A243" s="605">
        <v>210</v>
      </c>
      <c r="B243" s="161"/>
      <c r="C243" s="162"/>
      <c r="D243" s="384" t="s">
        <v>289</v>
      </c>
      <c r="E243" s="164"/>
      <c r="F243" s="164"/>
      <c r="G243" s="165"/>
      <c r="H243" s="616"/>
      <c r="I243" s="1317"/>
      <c r="J243" s="1318"/>
      <c r="K243" s="1318"/>
      <c r="L243" s="1318"/>
      <c r="M243" s="1318"/>
      <c r="N243" s="1319"/>
      <c r="O243" s="8"/>
      <c r="P243" s="8"/>
    </row>
    <row r="244" spans="1:16" s="3" customFormat="1" ht="18" customHeight="1">
      <c r="A244" s="605">
        <v>211</v>
      </c>
      <c r="B244" s="161"/>
      <c r="C244" s="162">
        <v>98</v>
      </c>
      <c r="D244" s="182" t="s">
        <v>583</v>
      </c>
      <c r="E244" s="164">
        <v>35000</v>
      </c>
      <c r="F244" s="164">
        <v>42500</v>
      </c>
      <c r="G244" s="165">
        <v>42500</v>
      </c>
      <c r="H244" s="616" t="s">
        <v>23</v>
      </c>
      <c r="I244" s="1147"/>
      <c r="J244" s="1312"/>
      <c r="K244" s="1312"/>
      <c r="L244" s="1312"/>
      <c r="M244" s="1312"/>
      <c r="N244" s="1313"/>
      <c r="P244" s="8"/>
    </row>
    <row r="245" spans="1:16" s="3" customFormat="1" ht="18" customHeight="1">
      <c r="A245" s="605">
        <v>212</v>
      </c>
      <c r="B245" s="161"/>
      <c r="C245" s="162">
        <v>99</v>
      </c>
      <c r="D245" s="182" t="s">
        <v>290</v>
      </c>
      <c r="E245" s="164">
        <v>180000</v>
      </c>
      <c r="F245" s="164">
        <v>169738</v>
      </c>
      <c r="G245" s="165">
        <v>169738</v>
      </c>
      <c r="H245" s="616" t="s">
        <v>23</v>
      </c>
      <c r="I245" s="1147"/>
      <c r="J245" s="1312"/>
      <c r="K245" s="1312"/>
      <c r="L245" s="1312"/>
      <c r="M245" s="1312"/>
      <c r="N245" s="1313"/>
      <c r="P245" s="8"/>
    </row>
    <row r="246" spans="1:14" s="8" customFormat="1" ht="18" customHeight="1">
      <c r="A246" s="605">
        <v>213</v>
      </c>
      <c r="B246" s="166"/>
      <c r="C246" s="167">
        <v>100</v>
      </c>
      <c r="D246" s="182" t="s">
        <v>584</v>
      </c>
      <c r="E246" s="164">
        <v>123387</v>
      </c>
      <c r="F246" s="164">
        <v>130000</v>
      </c>
      <c r="G246" s="165">
        <v>149113</v>
      </c>
      <c r="H246" s="616" t="s">
        <v>23</v>
      </c>
      <c r="I246" s="1147"/>
      <c r="J246" s="1312"/>
      <c r="K246" s="1312"/>
      <c r="L246" s="1312"/>
      <c r="M246" s="1312"/>
      <c r="N246" s="1313"/>
    </row>
    <row r="247" spans="1:14" s="1158" customFormat="1" ht="18" customHeight="1">
      <c r="A247" s="605">
        <v>214</v>
      </c>
      <c r="B247" s="1152"/>
      <c r="C247" s="1153"/>
      <c r="D247" s="1179" t="s">
        <v>293</v>
      </c>
      <c r="E247" s="1155"/>
      <c r="F247" s="1155"/>
      <c r="G247" s="1156"/>
      <c r="H247" s="1157"/>
      <c r="I247" s="1147">
        <f>SUM(J247:N247)</f>
        <v>147218</v>
      </c>
      <c r="J247" s="1148"/>
      <c r="K247" s="1148"/>
      <c r="L247" s="1148">
        <v>147218</v>
      </c>
      <c r="M247" s="1148"/>
      <c r="N247" s="1149"/>
    </row>
    <row r="248" spans="1:16" s="3" customFormat="1" ht="22.5" customHeight="1">
      <c r="A248" s="605">
        <v>215</v>
      </c>
      <c r="B248" s="161"/>
      <c r="C248" s="162">
        <v>101</v>
      </c>
      <c r="D248" s="600" t="s">
        <v>96</v>
      </c>
      <c r="E248" s="164">
        <v>20000</v>
      </c>
      <c r="F248" s="164">
        <v>17000</v>
      </c>
      <c r="G248" s="165">
        <v>24000</v>
      </c>
      <c r="H248" s="616" t="s">
        <v>23</v>
      </c>
      <c r="I248" s="1147"/>
      <c r="J248" s="1312"/>
      <c r="K248" s="1312"/>
      <c r="L248" s="1312"/>
      <c r="M248" s="1312"/>
      <c r="N248" s="1313"/>
      <c r="P248" s="8"/>
    </row>
    <row r="249" spans="1:14" s="1158" customFormat="1" ht="18" customHeight="1">
      <c r="A249" s="605">
        <v>216</v>
      </c>
      <c r="B249" s="1152"/>
      <c r="C249" s="1153"/>
      <c r="D249" s="1154" t="s">
        <v>293</v>
      </c>
      <c r="E249" s="1155"/>
      <c r="F249" s="1155"/>
      <c r="G249" s="1156"/>
      <c r="H249" s="1157"/>
      <c r="I249" s="1147">
        <f>SUM(J249:N249)</f>
        <v>20000</v>
      </c>
      <c r="J249" s="1148"/>
      <c r="K249" s="1148"/>
      <c r="L249" s="1148">
        <v>20000</v>
      </c>
      <c r="M249" s="1148"/>
      <c r="N249" s="1149"/>
    </row>
    <row r="250" spans="1:16" s="3" customFormat="1" ht="22.5" customHeight="1">
      <c r="A250" s="605">
        <v>217</v>
      </c>
      <c r="B250" s="161"/>
      <c r="C250" s="162">
        <v>102</v>
      </c>
      <c r="D250" s="600" t="s">
        <v>97</v>
      </c>
      <c r="E250" s="164">
        <v>1000</v>
      </c>
      <c r="F250" s="164">
        <v>1020</v>
      </c>
      <c r="G250" s="165">
        <v>1020</v>
      </c>
      <c r="H250" s="616" t="s">
        <v>23</v>
      </c>
      <c r="I250" s="1147"/>
      <c r="J250" s="1312"/>
      <c r="K250" s="1312"/>
      <c r="L250" s="1312"/>
      <c r="M250" s="1312"/>
      <c r="N250" s="1313"/>
      <c r="P250" s="8"/>
    </row>
    <row r="251" spans="1:14" s="1158" customFormat="1" ht="18" customHeight="1">
      <c r="A251" s="605">
        <v>218</v>
      </c>
      <c r="B251" s="1152"/>
      <c r="C251" s="1153"/>
      <c r="D251" s="1154" t="s">
        <v>293</v>
      </c>
      <c r="E251" s="1155"/>
      <c r="F251" s="1155"/>
      <c r="G251" s="1156"/>
      <c r="H251" s="1157"/>
      <c r="I251" s="1147">
        <f>SUM(J251:N251)</f>
        <v>1100</v>
      </c>
      <c r="J251" s="1148"/>
      <c r="K251" s="1148"/>
      <c r="L251" s="1148">
        <v>1100</v>
      </c>
      <c r="M251" s="1148"/>
      <c r="N251" s="1149"/>
    </row>
    <row r="252" spans="1:16" s="3" customFormat="1" ht="22.5" customHeight="1">
      <c r="A252" s="605">
        <v>219</v>
      </c>
      <c r="B252" s="161"/>
      <c r="C252" s="162">
        <v>103</v>
      </c>
      <c r="D252" s="600" t="s">
        <v>98</v>
      </c>
      <c r="E252" s="164">
        <v>2889</v>
      </c>
      <c r="F252" s="164">
        <v>4250</v>
      </c>
      <c r="G252" s="165">
        <v>4361</v>
      </c>
      <c r="H252" s="616" t="s">
        <v>23</v>
      </c>
      <c r="I252" s="1147"/>
      <c r="J252" s="1312"/>
      <c r="K252" s="1312"/>
      <c r="L252" s="1312"/>
      <c r="M252" s="1312"/>
      <c r="N252" s="1313"/>
      <c r="P252" s="8"/>
    </row>
    <row r="253" spans="1:14" s="1158" customFormat="1" ht="18" customHeight="1">
      <c r="A253" s="605">
        <v>220</v>
      </c>
      <c r="B253" s="1152"/>
      <c r="C253" s="1153"/>
      <c r="D253" s="1154" t="s">
        <v>293</v>
      </c>
      <c r="E253" s="1155"/>
      <c r="F253" s="1155"/>
      <c r="G253" s="1156"/>
      <c r="H253" s="1157"/>
      <c r="I253" s="1147">
        <f>SUM(J253:N253)</f>
        <v>5000</v>
      </c>
      <c r="J253" s="1148"/>
      <c r="K253" s="1148"/>
      <c r="L253" s="1148">
        <v>5000</v>
      </c>
      <c r="M253" s="1148"/>
      <c r="N253" s="1149"/>
    </row>
    <row r="254" spans="1:16" s="3" customFormat="1" ht="22.5" customHeight="1">
      <c r="A254" s="605">
        <v>221</v>
      </c>
      <c r="B254" s="161"/>
      <c r="C254" s="162">
        <v>104</v>
      </c>
      <c r="D254" s="600" t="s">
        <v>99</v>
      </c>
      <c r="E254" s="164">
        <v>13710</v>
      </c>
      <c r="F254" s="164">
        <v>17000</v>
      </c>
      <c r="G254" s="165">
        <v>31004</v>
      </c>
      <c r="H254" s="616" t="s">
        <v>23</v>
      </c>
      <c r="I254" s="1147"/>
      <c r="J254" s="1312"/>
      <c r="K254" s="1312"/>
      <c r="L254" s="1312"/>
      <c r="M254" s="1312"/>
      <c r="N254" s="1313"/>
      <c r="P254" s="8"/>
    </row>
    <row r="255" spans="1:14" s="1158" customFormat="1" ht="18" customHeight="1">
      <c r="A255" s="605">
        <v>222</v>
      </c>
      <c r="B255" s="1152"/>
      <c r="C255" s="1153"/>
      <c r="D255" s="1154" t="s">
        <v>293</v>
      </c>
      <c r="E255" s="1155"/>
      <c r="F255" s="1155"/>
      <c r="G255" s="1156"/>
      <c r="H255" s="1157"/>
      <c r="I255" s="1147">
        <f>SUM(J255:N255)</f>
        <v>20000</v>
      </c>
      <c r="J255" s="1148"/>
      <c r="K255" s="1148"/>
      <c r="L255" s="1148">
        <v>20000</v>
      </c>
      <c r="M255" s="1148"/>
      <c r="N255" s="1149"/>
    </row>
    <row r="256" spans="1:16" s="3" customFormat="1" ht="22.5" customHeight="1">
      <c r="A256" s="605">
        <v>223</v>
      </c>
      <c r="B256" s="161"/>
      <c r="C256" s="162">
        <v>105</v>
      </c>
      <c r="D256" s="600" t="s">
        <v>100</v>
      </c>
      <c r="E256" s="164">
        <v>189414</v>
      </c>
      <c r="F256" s="164">
        <v>191250</v>
      </c>
      <c r="G256" s="165">
        <v>225665</v>
      </c>
      <c r="H256" s="616" t="s">
        <v>23</v>
      </c>
      <c r="I256" s="1147"/>
      <c r="J256" s="1312"/>
      <c r="K256" s="1312"/>
      <c r="L256" s="1312"/>
      <c r="M256" s="1312"/>
      <c r="N256" s="1313"/>
      <c r="P256" s="8"/>
    </row>
    <row r="257" spans="1:14" s="1158" customFormat="1" ht="18" customHeight="1">
      <c r="A257" s="605">
        <v>224</v>
      </c>
      <c r="B257" s="1152"/>
      <c r="C257" s="1153"/>
      <c r="D257" s="1154" t="s">
        <v>293</v>
      </c>
      <c r="E257" s="1155"/>
      <c r="F257" s="1155"/>
      <c r="G257" s="1156"/>
      <c r="H257" s="1157"/>
      <c r="I257" s="1147">
        <f>SUM(J257:N257)</f>
        <v>235000</v>
      </c>
      <c r="J257" s="1148"/>
      <c r="K257" s="1148"/>
      <c r="L257" s="1148">
        <v>235000</v>
      </c>
      <c r="M257" s="1148"/>
      <c r="N257" s="1149"/>
    </row>
    <row r="258" spans="1:16" s="3" customFormat="1" ht="22.5" customHeight="1">
      <c r="A258" s="605">
        <v>225</v>
      </c>
      <c r="B258" s="161"/>
      <c r="C258" s="162">
        <v>106</v>
      </c>
      <c r="D258" s="600" t="s">
        <v>101</v>
      </c>
      <c r="E258" s="164">
        <v>3526</v>
      </c>
      <c r="F258" s="164">
        <v>4250</v>
      </c>
      <c r="G258" s="165">
        <v>7883</v>
      </c>
      <c r="H258" s="616" t="s">
        <v>23</v>
      </c>
      <c r="I258" s="1147"/>
      <c r="J258" s="1312"/>
      <c r="K258" s="1312"/>
      <c r="L258" s="1312"/>
      <c r="M258" s="1312"/>
      <c r="N258" s="1313"/>
      <c r="P258" s="8"/>
    </row>
    <row r="259" spans="1:14" s="1158" customFormat="1" ht="18" customHeight="1">
      <c r="A259" s="605">
        <v>226</v>
      </c>
      <c r="B259" s="1152"/>
      <c r="C259" s="1153"/>
      <c r="D259" s="1154" t="s">
        <v>293</v>
      </c>
      <c r="E259" s="1155"/>
      <c r="F259" s="1155"/>
      <c r="G259" s="1156"/>
      <c r="H259" s="1157"/>
      <c r="I259" s="1147">
        <f>SUM(J259:N259)</f>
        <v>5000</v>
      </c>
      <c r="J259" s="1148"/>
      <c r="K259" s="1148"/>
      <c r="L259" s="1148">
        <v>5000</v>
      </c>
      <c r="M259" s="1148"/>
      <c r="N259" s="1149"/>
    </row>
    <row r="260" spans="1:16" s="3" customFormat="1" ht="22.5" customHeight="1">
      <c r="A260" s="605">
        <v>227</v>
      </c>
      <c r="B260" s="161"/>
      <c r="C260" s="162">
        <v>107</v>
      </c>
      <c r="D260" s="600" t="s">
        <v>102</v>
      </c>
      <c r="E260" s="164">
        <v>4382</v>
      </c>
      <c r="F260" s="164">
        <v>5100</v>
      </c>
      <c r="G260" s="165">
        <v>6098</v>
      </c>
      <c r="H260" s="616" t="s">
        <v>23</v>
      </c>
      <c r="I260" s="1147"/>
      <c r="J260" s="1312"/>
      <c r="K260" s="1312"/>
      <c r="L260" s="1312"/>
      <c r="M260" s="1312"/>
      <c r="N260" s="1313"/>
      <c r="P260" s="8"/>
    </row>
    <row r="261" spans="1:14" s="1158" customFormat="1" ht="18" customHeight="1">
      <c r="A261" s="605">
        <v>228</v>
      </c>
      <c r="B261" s="1152"/>
      <c r="C261" s="1153"/>
      <c r="D261" s="1154" t="s">
        <v>293</v>
      </c>
      <c r="E261" s="1155"/>
      <c r="F261" s="1155"/>
      <c r="G261" s="1156"/>
      <c r="H261" s="1157"/>
      <c r="I261" s="1147">
        <f>SUM(J261:N261)</f>
        <v>4000</v>
      </c>
      <c r="J261" s="1148"/>
      <c r="K261" s="1148"/>
      <c r="L261" s="1148">
        <v>4000</v>
      </c>
      <c r="M261" s="1148"/>
      <c r="N261" s="1149"/>
    </row>
    <row r="262" spans="1:16" s="3" customFormat="1" ht="22.5" customHeight="1">
      <c r="A262" s="605">
        <v>229</v>
      </c>
      <c r="B262" s="161"/>
      <c r="C262" s="162">
        <v>108</v>
      </c>
      <c r="D262" s="600" t="s">
        <v>103</v>
      </c>
      <c r="E262" s="164">
        <v>36</v>
      </c>
      <c r="F262" s="164">
        <v>850</v>
      </c>
      <c r="G262" s="165">
        <v>850</v>
      </c>
      <c r="H262" s="616" t="s">
        <v>23</v>
      </c>
      <c r="I262" s="1147"/>
      <c r="J262" s="1312"/>
      <c r="K262" s="1312"/>
      <c r="L262" s="1312"/>
      <c r="M262" s="1312"/>
      <c r="N262" s="1313"/>
      <c r="P262" s="8"/>
    </row>
    <row r="263" spans="1:14" s="1158" customFormat="1" ht="18" customHeight="1">
      <c r="A263" s="605">
        <v>230</v>
      </c>
      <c r="B263" s="1152"/>
      <c r="C263" s="1153"/>
      <c r="D263" s="1154" t="s">
        <v>293</v>
      </c>
      <c r="E263" s="1155"/>
      <c r="F263" s="1155"/>
      <c r="G263" s="1156"/>
      <c r="H263" s="1157"/>
      <c r="I263" s="1147">
        <f>SUM(J263:N263)</f>
        <v>500</v>
      </c>
      <c r="J263" s="1148"/>
      <c r="K263" s="1148"/>
      <c r="L263" s="1148">
        <v>500</v>
      </c>
      <c r="M263" s="1148"/>
      <c r="N263" s="1149"/>
    </row>
    <row r="264" spans="1:16" s="3" customFormat="1" ht="22.5" customHeight="1">
      <c r="A264" s="605">
        <v>231</v>
      </c>
      <c r="B264" s="161"/>
      <c r="C264" s="162">
        <v>109</v>
      </c>
      <c r="D264" s="604" t="s">
        <v>297</v>
      </c>
      <c r="E264" s="164">
        <v>59551</v>
      </c>
      <c r="F264" s="164">
        <v>65195</v>
      </c>
      <c r="G264" s="165">
        <v>68769</v>
      </c>
      <c r="H264" s="616" t="s">
        <v>23</v>
      </c>
      <c r="I264" s="1147"/>
      <c r="J264" s="1312"/>
      <c r="K264" s="1312"/>
      <c r="L264" s="1312"/>
      <c r="M264" s="1312"/>
      <c r="N264" s="1313"/>
      <c r="P264" s="8"/>
    </row>
    <row r="265" spans="1:14" s="1158" customFormat="1" ht="18" customHeight="1">
      <c r="A265" s="605">
        <v>232</v>
      </c>
      <c r="B265" s="1152"/>
      <c r="C265" s="1153"/>
      <c r="D265" s="1154" t="s">
        <v>293</v>
      </c>
      <c r="E265" s="1155"/>
      <c r="F265" s="1155"/>
      <c r="G265" s="1156"/>
      <c r="H265" s="1157"/>
      <c r="I265" s="1147">
        <f>SUM(J265:N265)</f>
        <v>67760</v>
      </c>
      <c r="J265" s="1148"/>
      <c r="K265" s="1148"/>
      <c r="L265" s="1148">
        <v>67760</v>
      </c>
      <c r="M265" s="1148"/>
      <c r="N265" s="1149"/>
    </row>
    <row r="266" spans="1:16" s="3" customFormat="1" ht="22.5" customHeight="1">
      <c r="A266" s="605">
        <v>233</v>
      </c>
      <c r="B266" s="161"/>
      <c r="C266" s="162">
        <v>110</v>
      </c>
      <c r="D266" s="604" t="s">
        <v>585</v>
      </c>
      <c r="E266" s="164">
        <v>60900</v>
      </c>
      <c r="F266" s="164">
        <v>57501</v>
      </c>
      <c r="G266" s="165">
        <v>60549</v>
      </c>
      <c r="H266" s="616" t="s">
        <v>23</v>
      </c>
      <c r="I266" s="1147"/>
      <c r="J266" s="1312"/>
      <c r="K266" s="1312"/>
      <c r="L266" s="1312"/>
      <c r="M266" s="1312"/>
      <c r="N266" s="1313"/>
      <c r="P266" s="8"/>
    </row>
    <row r="267" spans="1:14" s="1158" customFormat="1" ht="18" customHeight="1">
      <c r="A267" s="605">
        <v>234</v>
      </c>
      <c r="B267" s="1152"/>
      <c r="C267" s="1153"/>
      <c r="D267" s="1154" t="s">
        <v>293</v>
      </c>
      <c r="E267" s="1155"/>
      <c r="F267" s="1155"/>
      <c r="G267" s="1156"/>
      <c r="H267" s="1157"/>
      <c r="I267" s="1147">
        <f>SUM(J267:N267)</f>
        <v>67000</v>
      </c>
      <c r="J267" s="1148"/>
      <c r="K267" s="1148"/>
      <c r="L267" s="1148">
        <v>67000</v>
      </c>
      <c r="M267" s="1148"/>
      <c r="N267" s="1149"/>
    </row>
    <row r="268" spans="1:16" s="3" customFormat="1" ht="22.5" customHeight="1">
      <c r="A268" s="605">
        <v>235</v>
      </c>
      <c r="B268" s="161"/>
      <c r="C268" s="162">
        <v>111</v>
      </c>
      <c r="D268" s="604" t="s">
        <v>249</v>
      </c>
      <c r="E268" s="164">
        <v>18999</v>
      </c>
      <c r="F268" s="164">
        <v>17000</v>
      </c>
      <c r="G268" s="165">
        <v>17000</v>
      </c>
      <c r="H268" s="616" t="s">
        <v>23</v>
      </c>
      <c r="I268" s="1147"/>
      <c r="J268" s="1312"/>
      <c r="K268" s="1312"/>
      <c r="L268" s="1312"/>
      <c r="M268" s="1312"/>
      <c r="N268" s="1313"/>
      <c r="P268" s="8"/>
    </row>
    <row r="269" spans="1:14" s="1158" customFormat="1" ht="18" customHeight="1">
      <c r="A269" s="605">
        <v>236</v>
      </c>
      <c r="B269" s="1152"/>
      <c r="C269" s="1153"/>
      <c r="D269" s="1154" t="s">
        <v>293</v>
      </c>
      <c r="E269" s="1155"/>
      <c r="F269" s="1155"/>
      <c r="G269" s="1156"/>
      <c r="H269" s="1157"/>
      <c r="I269" s="1147">
        <f>SUM(J269:N269)</f>
        <v>19000</v>
      </c>
      <c r="J269" s="1148"/>
      <c r="K269" s="1148"/>
      <c r="L269" s="1148">
        <v>19000</v>
      </c>
      <c r="M269" s="1148"/>
      <c r="N269" s="1149"/>
    </row>
    <row r="270" spans="1:16" s="3" customFormat="1" ht="22.5" customHeight="1">
      <c r="A270" s="605">
        <v>237</v>
      </c>
      <c r="B270" s="161"/>
      <c r="C270" s="162">
        <v>112</v>
      </c>
      <c r="D270" s="600" t="s">
        <v>248</v>
      </c>
      <c r="E270" s="164">
        <v>1601</v>
      </c>
      <c r="F270" s="164">
        <v>1275</v>
      </c>
      <c r="G270" s="165">
        <v>1275</v>
      </c>
      <c r="H270" s="618" t="s">
        <v>23</v>
      </c>
      <c r="I270" s="1147"/>
      <c r="J270" s="1312"/>
      <c r="K270" s="1312"/>
      <c r="L270" s="1312"/>
      <c r="M270" s="1312"/>
      <c r="N270" s="1313"/>
      <c r="P270" s="8"/>
    </row>
    <row r="271" spans="1:14" s="1158" customFormat="1" ht="18" customHeight="1">
      <c r="A271" s="605">
        <v>238</v>
      </c>
      <c r="B271" s="1176"/>
      <c r="C271" s="1153"/>
      <c r="D271" s="1154" t="s">
        <v>293</v>
      </c>
      <c r="E271" s="1159"/>
      <c r="F271" s="1159"/>
      <c r="G271" s="1160"/>
      <c r="H271" s="1161"/>
      <c r="I271" s="1147">
        <f>SUM(J271:N271)</f>
        <v>1500</v>
      </c>
      <c r="J271" s="1162"/>
      <c r="K271" s="1162"/>
      <c r="L271" s="1162">
        <v>1500</v>
      </c>
      <c r="M271" s="1162"/>
      <c r="N271" s="1163"/>
    </row>
    <row r="272" spans="1:16" s="3" customFormat="1" ht="22.5" customHeight="1">
      <c r="A272" s="605">
        <v>239</v>
      </c>
      <c r="B272" s="161"/>
      <c r="C272" s="162">
        <v>113</v>
      </c>
      <c r="D272" s="600" t="s">
        <v>397</v>
      </c>
      <c r="E272" s="164">
        <v>2971</v>
      </c>
      <c r="F272" s="164">
        <v>6350</v>
      </c>
      <c r="G272" s="165">
        <v>6145</v>
      </c>
      <c r="H272" s="616" t="s">
        <v>24</v>
      </c>
      <c r="I272" s="1147"/>
      <c r="J272" s="1312"/>
      <c r="K272" s="1312"/>
      <c r="L272" s="1312"/>
      <c r="M272" s="1312"/>
      <c r="N272" s="1313"/>
      <c r="P272" s="8"/>
    </row>
    <row r="273" spans="1:14" s="1158" customFormat="1" ht="18" customHeight="1">
      <c r="A273" s="605">
        <v>240</v>
      </c>
      <c r="B273" s="1152"/>
      <c r="C273" s="1153"/>
      <c r="D273" s="1154" t="s">
        <v>293</v>
      </c>
      <c r="E273" s="1155"/>
      <c r="F273" s="1155"/>
      <c r="G273" s="1156"/>
      <c r="H273" s="1157"/>
      <c r="I273" s="1147">
        <f>SUM(J273:N273)</f>
        <v>3500</v>
      </c>
      <c r="J273" s="1148"/>
      <c r="K273" s="1148"/>
      <c r="L273" s="1148">
        <v>3500</v>
      </c>
      <c r="M273" s="1148"/>
      <c r="N273" s="1149"/>
    </row>
    <row r="274" spans="1:16" s="3" customFormat="1" ht="22.5" customHeight="1">
      <c r="A274" s="605">
        <v>241</v>
      </c>
      <c r="B274" s="161"/>
      <c r="C274" s="162">
        <v>114</v>
      </c>
      <c r="D274" s="600" t="s">
        <v>809</v>
      </c>
      <c r="E274" s="164">
        <v>8435</v>
      </c>
      <c r="F274" s="164">
        <v>16000</v>
      </c>
      <c r="G274" s="165">
        <v>22084</v>
      </c>
      <c r="H274" s="616" t="s">
        <v>23</v>
      </c>
      <c r="I274" s="1147"/>
      <c r="J274" s="1312"/>
      <c r="K274" s="1312"/>
      <c r="L274" s="1312"/>
      <c r="M274" s="1312"/>
      <c r="N274" s="1313"/>
      <c r="P274" s="8"/>
    </row>
    <row r="275" spans="1:14" s="1158" customFormat="1" ht="18" customHeight="1">
      <c r="A275" s="605">
        <v>242</v>
      </c>
      <c r="B275" s="1152"/>
      <c r="C275" s="1153"/>
      <c r="D275" s="1154" t="s">
        <v>293</v>
      </c>
      <c r="E275" s="1155"/>
      <c r="F275" s="1155"/>
      <c r="G275" s="1156"/>
      <c r="H275" s="1157"/>
      <c r="I275" s="1147">
        <f>SUM(J275:N275)</f>
        <v>9600</v>
      </c>
      <c r="J275" s="1148"/>
      <c r="K275" s="1148"/>
      <c r="L275" s="1148">
        <v>9600</v>
      </c>
      <c r="M275" s="1148"/>
      <c r="N275" s="1149"/>
    </row>
    <row r="276" spans="1:14" s="1158" customFormat="1" ht="22.5" customHeight="1">
      <c r="A276" s="605">
        <v>243</v>
      </c>
      <c r="B276" s="1152"/>
      <c r="C276" s="167">
        <v>115</v>
      </c>
      <c r="D276" s="600" t="s">
        <v>808</v>
      </c>
      <c r="E276" s="1155"/>
      <c r="F276" s="1155"/>
      <c r="G276" s="1156"/>
      <c r="H276" s="616" t="s">
        <v>23</v>
      </c>
      <c r="I276" s="1147"/>
      <c r="J276" s="1148"/>
      <c r="K276" s="1148"/>
      <c r="L276" s="1148"/>
      <c r="M276" s="1148"/>
      <c r="N276" s="1149"/>
    </row>
    <row r="277" spans="1:14" s="1158" customFormat="1" ht="18" customHeight="1">
      <c r="A277" s="605">
        <v>244</v>
      </c>
      <c r="B277" s="1152"/>
      <c r="C277" s="1153"/>
      <c r="D277" s="1154" t="s">
        <v>293</v>
      </c>
      <c r="E277" s="1155"/>
      <c r="F277" s="1155"/>
      <c r="G277" s="1156"/>
      <c r="H277" s="1157"/>
      <c r="I277" s="1147">
        <f>SUM(J277:N277)</f>
        <v>11000</v>
      </c>
      <c r="J277" s="1148"/>
      <c r="K277" s="1148"/>
      <c r="L277" s="1148">
        <v>11000</v>
      </c>
      <c r="M277" s="1148"/>
      <c r="N277" s="1149"/>
    </row>
    <row r="278" spans="1:14" s="8" customFormat="1" ht="22.5" customHeight="1">
      <c r="A278" s="605">
        <v>245</v>
      </c>
      <c r="B278" s="177"/>
      <c r="C278" s="162">
        <v>116</v>
      </c>
      <c r="D278" s="600" t="s">
        <v>273</v>
      </c>
      <c r="E278" s="164">
        <v>156855</v>
      </c>
      <c r="F278" s="164">
        <v>155388</v>
      </c>
      <c r="G278" s="165">
        <v>155388</v>
      </c>
      <c r="H278" s="616" t="s">
        <v>23</v>
      </c>
      <c r="I278" s="1317"/>
      <c r="J278" s="1318"/>
      <c r="K278" s="1318"/>
      <c r="L278" s="1318"/>
      <c r="M278" s="1318"/>
      <c r="N278" s="1319"/>
    </row>
    <row r="279" spans="1:14" s="1158" customFormat="1" ht="18" customHeight="1">
      <c r="A279" s="605">
        <v>246</v>
      </c>
      <c r="B279" s="1152"/>
      <c r="C279" s="1153"/>
      <c r="D279" s="1154" t="s">
        <v>293</v>
      </c>
      <c r="E279" s="1155"/>
      <c r="F279" s="1155"/>
      <c r="G279" s="1156"/>
      <c r="H279" s="1157"/>
      <c r="I279" s="1147">
        <f>SUM(J279:N279)</f>
        <v>137959</v>
      </c>
      <c r="J279" s="1148"/>
      <c r="K279" s="1148"/>
      <c r="L279" s="1148">
        <v>137959</v>
      </c>
      <c r="M279" s="1148"/>
      <c r="N279" s="1149"/>
    </row>
    <row r="280" spans="1:14" s="8" customFormat="1" ht="22.5" customHeight="1">
      <c r="A280" s="605">
        <v>247</v>
      </c>
      <c r="B280" s="177"/>
      <c r="C280" s="162">
        <v>117</v>
      </c>
      <c r="D280" s="600" t="s">
        <v>395</v>
      </c>
      <c r="E280" s="164">
        <v>4930</v>
      </c>
      <c r="F280" s="164">
        <v>2362</v>
      </c>
      <c r="G280" s="165">
        <v>2362</v>
      </c>
      <c r="H280" s="616" t="s">
        <v>24</v>
      </c>
      <c r="I280" s="1317"/>
      <c r="J280" s="1318"/>
      <c r="K280" s="1318"/>
      <c r="L280" s="1318"/>
      <c r="M280" s="1318"/>
      <c r="N280" s="1319"/>
    </row>
    <row r="281" spans="1:16" s="3" customFormat="1" ht="22.5" customHeight="1">
      <c r="A281" s="605">
        <v>248</v>
      </c>
      <c r="B281" s="161"/>
      <c r="C281" s="162">
        <v>118</v>
      </c>
      <c r="D281" s="600" t="s">
        <v>104</v>
      </c>
      <c r="E281" s="164">
        <f>E283+E285+E287+E289+E291</f>
        <v>3250</v>
      </c>
      <c r="F281" s="164">
        <f>F283+F285+F287+F289+F291</f>
        <v>2765</v>
      </c>
      <c r="G281" s="164">
        <f>G283+G285+G287+G289+G291</f>
        <v>2765</v>
      </c>
      <c r="H281" s="616" t="s">
        <v>23</v>
      </c>
      <c r="I281" s="1317"/>
      <c r="J281" s="1318"/>
      <c r="K281" s="1318"/>
      <c r="L281" s="1318"/>
      <c r="M281" s="1318"/>
      <c r="N281" s="1319"/>
      <c r="O281" s="8"/>
      <c r="P281" s="8"/>
    </row>
    <row r="282" spans="1:14" s="1158" customFormat="1" ht="18" customHeight="1">
      <c r="A282" s="605">
        <v>249</v>
      </c>
      <c r="B282" s="1152"/>
      <c r="C282" s="1153"/>
      <c r="D282" s="1154" t="s">
        <v>293</v>
      </c>
      <c r="E282" s="1155"/>
      <c r="F282" s="1155"/>
      <c r="G282" s="1156"/>
      <c r="H282" s="1157"/>
      <c r="I282" s="1147">
        <f>SUM(J282:N282)</f>
        <v>2765</v>
      </c>
      <c r="J282" s="1170"/>
      <c r="K282" s="1170"/>
      <c r="L282" s="1170"/>
      <c r="M282" s="1170"/>
      <c r="N282" s="1149">
        <f>N284+N286+N288+N290+N292</f>
        <v>2765</v>
      </c>
    </row>
    <row r="283" spans="1:16" s="9" customFormat="1" ht="18" customHeight="1">
      <c r="A283" s="605">
        <v>250</v>
      </c>
      <c r="B283" s="171"/>
      <c r="C283" s="167"/>
      <c r="D283" s="174" t="s">
        <v>105</v>
      </c>
      <c r="E283" s="164">
        <v>650</v>
      </c>
      <c r="F283" s="172">
        <v>553</v>
      </c>
      <c r="G283" s="173">
        <v>553</v>
      </c>
      <c r="H283" s="617"/>
      <c r="I283" s="1150"/>
      <c r="J283" s="1320"/>
      <c r="K283" s="1320"/>
      <c r="L283" s="1320"/>
      <c r="M283" s="1320"/>
      <c r="N283" s="1321"/>
      <c r="P283" s="8"/>
    </row>
    <row r="284" spans="1:16" s="1172" customFormat="1" ht="18" customHeight="1">
      <c r="A284" s="605">
        <v>251</v>
      </c>
      <c r="B284" s="1165"/>
      <c r="C284" s="1153"/>
      <c r="D284" s="1166" t="s">
        <v>293</v>
      </c>
      <c r="E284" s="1155"/>
      <c r="F284" s="1167"/>
      <c r="G284" s="1168"/>
      <c r="H284" s="1169"/>
      <c r="I284" s="1150">
        <f>SUM(J284:N284)</f>
        <v>553</v>
      </c>
      <c r="J284" s="1170"/>
      <c r="K284" s="1170"/>
      <c r="L284" s="1170"/>
      <c r="M284" s="1170"/>
      <c r="N284" s="1171">
        <v>553</v>
      </c>
      <c r="P284" s="1158"/>
    </row>
    <row r="285" spans="1:16" s="9" customFormat="1" ht="18" customHeight="1">
      <c r="A285" s="605">
        <v>252</v>
      </c>
      <c r="B285" s="171"/>
      <c r="C285" s="167"/>
      <c r="D285" s="178" t="s">
        <v>106</v>
      </c>
      <c r="E285" s="164">
        <v>650</v>
      </c>
      <c r="F285" s="172">
        <v>553</v>
      </c>
      <c r="G285" s="173">
        <v>553</v>
      </c>
      <c r="H285" s="617"/>
      <c r="I285" s="1322"/>
      <c r="J285" s="1323"/>
      <c r="K285" s="1323"/>
      <c r="L285" s="1323"/>
      <c r="M285" s="1323"/>
      <c r="N285" s="1324"/>
      <c r="P285" s="8"/>
    </row>
    <row r="286" spans="1:16" s="1172" customFormat="1" ht="18" customHeight="1">
      <c r="A286" s="605">
        <v>253</v>
      </c>
      <c r="B286" s="1165"/>
      <c r="C286" s="1153"/>
      <c r="D286" s="1166" t="s">
        <v>293</v>
      </c>
      <c r="E286" s="1155"/>
      <c r="F286" s="1167"/>
      <c r="G286" s="1168"/>
      <c r="H286" s="1169"/>
      <c r="I286" s="1150">
        <f>SUM(J286:N286)</f>
        <v>553</v>
      </c>
      <c r="J286" s="1170"/>
      <c r="K286" s="1170"/>
      <c r="L286" s="1170"/>
      <c r="M286" s="1170"/>
      <c r="N286" s="1171">
        <v>553</v>
      </c>
      <c r="P286" s="1158"/>
    </row>
    <row r="287" spans="1:16" s="9" customFormat="1" ht="18" customHeight="1">
      <c r="A287" s="605">
        <v>254</v>
      </c>
      <c r="B287" s="171"/>
      <c r="C287" s="167"/>
      <c r="D287" s="178" t="s">
        <v>107</v>
      </c>
      <c r="E287" s="164">
        <v>650</v>
      </c>
      <c r="F287" s="172">
        <v>553</v>
      </c>
      <c r="G287" s="173">
        <v>553</v>
      </c>
      <c r="H287" s="617"/>
      <c r="I287" s="1322"/>
      <c r="J287" s="1323"/>
      <c r="K287" s="1323"/>
      <c r="L287" s="1323"/>
      <c r="M287" s="1323"/>
      <c r="N287" s="1324"/>
      <c r="P287" s="8"/>
    </row>
    <row r="288" spans="1:16" s="1172" customFormat="1" ht="18" customHeight="1">
      <c r="A288" s="605">
        <v>255</v>
      </c>
      <c r="B288" s="1165"/>
      <c r="C288" s="1153"/>
      <c r="D288" s="1166" t="s">
        <v>293</v>
      </c>
      <c r="E288" s="1155"/>
      <c r="F288" s="1167"/>
      <c r="G288" s="1168"/>
      <c r="H288" s="1169"/>
      <c r="I288" s="1150">
        <f>SUM(J288:N288)</f>
        <v>553</v>
      </c>
      <c r="J288" s="1170"/>
      <c r="K288" s="1170"/>
      <c r="L288" s="1170"/>
      <c r="M288" s="1170"/>
      <c r="N288" s="1171">
        <v>553</v>
      </c>
      <c r="P288" s="1158"/>
    </row>
    <row r="289" spans="1:16" s="9" customFormat="1" ht="18" customHeight="1">
      <c r="A289" s="605">
        <v>256</v>
      </c>
      <c r="B289" s="171"/>
      <c r="C289" s="167"/>
      <c r="D289" s="178" t="s">
        <v>108</v>
      </c>
      <c r="E289" s="164">
        <v>650</v>
      </c>
      <c r="F289" s="172">
        <v>553</v>
      </c>
      <c r="G289" s="173">
        <v>553</v>
      </c>
      <c r="H289" s="617"/>
      <c r="I289" s="1322"/>
      <c r="J289" s="1323"/>
      <c r="K289" s="1323"/>
      <c r="L289" s="1323"/>
      <c r="M289" s="1323"/>
      <c r="N289" s="1324"/>
      <c r="P289" s="8"/>
    </row>
    <row r="290" spans="1:16" s="1172" customFormat="1" ht="18" customHeight="1">
      <c r="A290" s="605">
        <v>257</v>
      </c>
      <c r="B290" s="1165"/>
      <c r="C290" s="1153"/>
      <c r="D290" s="1166" t="s">
        <v>293</v>
      </c>
      <c r="E290" s="1155"/>
      <c r="F290" s="1167"/>
      <c r="G290" s="1168"/>
      <c r="H290" s="1169"/>
      <c r="I290" s="1150">
        <f>SUM(J290:N290)</f>
        <v>553</v>
      </c>
      <c r="J290" s="1170"/>
      <c r="K290" s="1170"/>
      <c r="L290" s="1170"/>
      <c r="M290" s="1170"/>
      <c r="N290" s="1171">
        <v>553</v>
      </c>
      <c r="P290" s="1158"/>
    </row>
    <row r="291" spans="1:16" s="9" customFormat="1" ht="18" customHeight="1">
      <c r="A291" s="605">
        <v>258</v>
      </c>
      <c r="B291" s="171"/>
      <c r="C291" s="167"/>
      <c r="D291" s="178" t="s">
        <v>109</v>
      </c>
      <c r="E291" s="164">
        <v>650</v>
      </c>
      <c r="F291" s="172">
        <v>553</v>
      </c>
      <c r="G291" s="173">
        <v>553</v>
      </c>
      <c r="H291" s="617"/>
      <c r="I291" s="1322"/>
      <c r="J291" s="1323"/>
      <c r="K291" s="1323"/>
      <c r="L291" s="1323"/>
      <c r="M291" s="1323"/>
      <c r="N291" s="1324"/>
      <c r="P291" s="8"/>
    </row>
    <row r="292" spans="1:16" s="1172" customFormat="1" ht="18" customHeight="1">
      <c r="A292" s="605">
        <v>259</v>
      </c>
      <c r="B292" s="1165"/>
      <c r="C292" s="1153"/>
      <c r="D292" s="1166" t="s">
        <v>293</v>
      </c>
      <c r="E292" s="1155"/>
      <c r="F292" s="1167"/>
      <c r="G292" s="1168"/>
      <c r="H292" s="1169"/>
      <c r="I292" s="1150">
        <f>SUM(J292:N292)</f>
        <v>553</v>
      </c>
      <c r="J292" s="1170"/>
      <c r="K292" s="1170"/>
      <c r="L292" s="1170"/>
      <c r="M292" s="1170"/>
      <c r="N292" s="1171">
        <v>553</v>
      </c>
      <c r="P292" s="1158"/>
    </row>
    <row r="293" spans="1:16" s="9" customFormat="1" ht="30" customHeight="1">
      <c r="A293" s="605">
        <v>260</v>
      </c>
      <c r="B293" s="637"/>
      <c r="C293" s="582">
        <v>119</v>
      </c>
      <c r="D293" s="600" t="s">
        <v>449</v>
      </c>
      <c r="E293" s="191"/>
      <c r="F293" s="169">
        <v>3700</v>
      </c>
      <c r="G293" s="170">
        <v>3700</v>
      </c>
      <c r="H293" s="618" t="s">
        <v>24</v>
      </c>
      <c r="I293" s="1147"/>
      <c r="J293" s="1325"/>
      <c r="K293" s="1325"/>
      <c r="L293" s="1315"/>
      <c r="M293" s="1325"/>
      <c r="N293" s="1326"/>
      <c r="P293" s="8"/>
    </row>
    <row r="294" spans="1:16" s="665" customFormat="1" ht="22.5" customHeight="1">
      <c r="A294" s="605">
        <v>261</v>
      </c>
      <c r="B294" s="664"/>
      <c r="C294" s="162">
        <v>120</v>
      </c>
      <c r="D294" s="600" t="s">
        <v>539</v>
      </c>
      <c r="E294" s="191">
        <v>344</v>
      </c>
      <c r="F294" s="169">
        <v>341</v>
      </c>
      <c r="G294" s="170">
        <v>0</v>
      </c>
      <c r="H294" s="618" t="s">
        <v>24</v>
      </c>
      <c r="I294" s="1147"/>
      <c r="J294" s="1325"/>
      <c r="K294" s="1325"/>
      <c r="L294" s="1315"/>
      <c r="M294" s="1325"/>
      <c r="N294" s="1326"/>
      <c r="P294" s="3"/>
    </row>
    <row r="295" spans="1:16" s="665" customFormat="1" ht="22.5" customHeight="1">
      <c r="A295" s="605">
        <v>262</v>
      </c>
      <c r="B295" s="664"/>
      <c r="C295" s="162">
        <v>121</v>
      </c>
      <c r="D295" s="600" t="s">
        <v>450</v>
      </c>
      <c r="E295" s="191">
        <v>605</v>
      </c>
      <c r="F295" s="169">
        <v>1895</v>
      </c>
      <c r="G295" s="170">
        <v>1895</v>
      </c>
      <c r="H295" s="618" t="s">
        <v>24</v>
      </c>
      <c r="I295" s="1147"/>
      <c r="J295" s="1325"/>
      <c r="K295" s="1325"/>
      <c r="L295" s="1315"/>
      <c r="M295" s="1325"/>
      <c r="N295" s="1326"/>
      <c r="P295" s="3"/>
    </row>
    <row r="296" spans="1:16" s="1172" customFormat="1" ht="18" customHeight="1">
      <c r="A296" s="605">
        <v>263</v>
      </c>
      <c r="B296" s="1180"/>
      <c r="C296" s="1153"/>
      <c r="D296" s="1154" t="s">
        <v>293</v>
      </c>
      <c r="E296" s="1159"/>
      <c r="F296" s="1181"/>
      <c r="G296" s="1182"/>
      <c r="H296" s="1185"/>
      <c r="I296" s="1147">
        <f>SUM(J296:N296)</f>
        <v>1600</v>
      </c>
      <c r="J296" s="1183"/>
      <c r="K296" s="1183"/>
      <c r="L296" s="1162">
        <v>1600</v>
      </c>
      <c r="M296" s="1183"/>
      <c r="N296" s="1184"/>
      <c r="P296" s="1158"/>
    </row>
    <row r="297" spans="1:16" s="665" customFormat="1" ht="22.5" customHeight="1">
      <c r="A297" s="605">
        <v>264</v>
      </c>
      <c r="B297" s="664"/>
      <c r="C297" s="162">
        <v>122</v>
      </c>
      <c r="D297" s="600" t="s">
        <v>631</v>
      </c>
      <c r="E297" s="191">
        <v>3000</v>
      </c>
      <c r="F297" s="169">
        <v>3000</v>
      </c>
      <c r="G297" s="170">
        <v>3000</v>
      </c>
      <c r="H297" s="618" t="s">
        <v>24</v>
      </c>
      <c r="I297" s="1147"/>
      <c r="J297" s="1325"/>
      <c r="K297" s="1325"/>
      <c r="L297" s="1315"/>
      <c r="M297" s="1325"/>
      <c r="N297" s="1326"/>
      <c r="P297" s="3"/>
    </row>
    <row r="298" spans="1:16" s="665" customFormat="1" ht="22.5" customHeight="1">
      <c r="A298" s="605">
        <v>265</v>
      </c>
      <c r="B298" s="664"/>
      <c r="C298" s="162">
        <v>123</v>
      </c>
      <c r="D298" s="600" t="s">
        <v>451</v>
      </c>
      <c r="E298" s="191"/>
      <c r="F298" s="169">
        <v>2800</v>
      </c>
      <c r="G298" s="170">
        <v>2800</v>
      </c>
      <c r="H298" s="618" t="s">
        <v>24</v>
      </c>
      <c r="I298" s="1147"/>
      <c r="J298" s="1325"/>
      <c r="K298" s="1325"/>
      <c r="L298" s="1315"/>
      <c r="M298" s="1325"/>
      <c r="N298" s="1326"/>
      <c r="P298" s="3"/>
    </row>
    <row r="299" spans="1:16" s="1172" customFormat="1" ht="18" customHeight="1">
      <c r="A299" s="605">
        <v>266</v>
      </c>
      <c r="B299" s="1180"/>
      <c r="C299" s="1153"/>
      <c r="D299" s="1154" t="s">
        <v>293</v>
      </c>
      <c r="E299" s="1159"/>
      <c r="F299" s="1181"/>
      <c r="G299" s="1182"/>
      <c r="H299" s="1185"/>
      <c r="I299" s="1147">
        <f>SUM(J299:N299)</f>
        <v>2000</v>
      </c>
      <c r="J299" s="1183"/>
      <c r="K299" s="1183"/>
      <c r="L299" s="1162">
        <v>2000</v>
      </c>
      <c r="M299" s="1183"/>
      <c r="N299" s="1184"/>
      <c r="P299" s="1158"/>
    </row>
    <row r="300" spans="1:14" s="8" customFormat="1" ht="22.5" customHeight="1">
      <c r="A300" s="605">
        <v>267</v>
      </c>
      <c r="B300" s="180"/>
      <c r="C300" s="162">
        <v>124</v>
      </c>
      <c r="D300" s="599" t="s">
        <v>348</v>
      </c>
      <c r="E300" s="191"/>
      <c r="F300" s="169"/>
      <c r="G300" s="192"/>
      <c r="H300" s="618" t="s">
        <v>24</v>
      </c>
      <c r="I300" s="1147"/>
      <c r="J300" s="1315"/>
      <c r="K300" s="1315"/>
      <c r="L300" s="1315"/>
      <c r="M300" s="1315"/>
      <c r="N300" s="1316"/>
    </row>
    <row r="301" spans="1:14" s="1158" customFormat="1" ht="18" customHeight="1">
      <c r="A301" s="605">
        <v>268</v>
      </c>
      <c r="B301" s="1186"/>
      <c r="C301" s="1187"/>
      <c r="D301" s="1154" t="s">
        <v>293</v>
      </c>
      <c r="E301" s="191">
        <v>6531</v>
      </c>
      <c r="F301" s="191">
        <v>13969</v>
      </c>
      <c r="G301" s="192">
        <v>13969</v>
      </c>
      <c r="H301" s="1161"/>
      <c r="I301" s="1147">
        <f>SUM(J301:N301)</f>
        <v>12000</v>
      </c>
      <c r="J301" s="1162"/>
      <c r="K301" s="1162"/>
      <c r="L301" s="1162"/>
      <c r="M301" s="1162"/>
      <c r="N301" s="1163">
        <v>12000</v>
      </c>
    </row>
    <row r="302" spans="1:16" s="3" customFormat="1" ht="22.5" customHeight="1">
      <c r="A302" s="605">
        <v>269</v>
      </c>
      <c r="B302" s="179"/>
      <c r="C302" s="162">
        <v>125</v>
      </c>
      <c r="D302" s="599" t="s">
        <v>534</v>
      </c>
      <c r="E302" s="191"/>
      <c r="F302" s="191"/>
      <c r="G302" s="192"/>
      <c r="H302" s="618" t="s">
        <v>24</v>
      </c>
      <c r="I302" s="1147"/>
      <c r="J302" s="1315"/>
      <c r="K302" s="1315"/>
      <c r="L302" s="1315"/>
      <c r="M302" s="1315"/>
      <c r="N302" s="1316"/>
      <c r="O302" s="8"/>
      <c r="P302" s="8"/>
    </row>
    <row r="303" spans="1:16" s="1164" customFormat="1" ht="18" customHeight="1">
      <c r="A303" s="605">
        <v>270</v>
      </c>
      <c r="B303" s="1176"/>
      <c r="C303" s="1187"/>
      <c r="D303" s="1154" t="s">
        <v>293</v>
      </c>
      <c r="E303" s="191">
        <v>698</v>
      </c>
      <c r="F303" s="191">
        <v>687</v>
      </c>
      <c r="G303" s="192">
        <v>687</v>
      </c>
      <c r="H303" s="1161"/>
      <c r="I303" s="1147">
        <f>SUM(J303:N303)</f>
        <v>2000</v>
      </c>
      <c r="J303" s="1162"/>
      <c r="K303" s="1162"/>
      <c r="L303" s="1162">
        <v>2000</v>
      </c>
      <c r="M303" s="1162"/>
      <c r="N303" s="1163"/>
      <c r="O303" s="1158"/>
      <c r="P303" s="1158"/>
    </row>
    <row r="304" spans="1:16" s="1164" customFormat="1" ht="22.5" customHeight="1">
      <c r="A304" s="605">
        <v>271</v>
      </c>
      <c r="B304" s="1176"/>
      <c r="C304" s="162">
        <v>126</v>
      </c>
      <c r="D304" s="599" t="s">
        <v>810</v>
      </c>
      <c r="E304" s="191"/>
      <c r="F304" s="191"/>
      <c r="G304" s="192"/>
      <c r="H304" s="618" t="s">
        <v>24</v>
      </c>
      <c r="I304" s="1147"/>
      <c r="J304" s="1162"/>
      <c r="K304" s="1162"/>
      <c r="L304" s="1162"/>
      <c r="M304" s="1162"/>
      <c r="N304" s="1163"/>
      <c r="O304" s="1158"/>
      <c r="P304" s="1158"/>
    </row>
    <row r="305" spans="1:16" s="1164" customFormat="1" ht="18" customHeight="1">
      <c r="A305" s="605">
        <v>272</v>
      </c>
      <c r="B305" s="1176"/>
      <c r="C305" s="1187"/>
      <c r="D305" s="1154" t="s">
        <v>293</v>
      </c>
      <c r="E305" s="1159"/>
      <c r="F305" s="1159"/>
      <c r="G305" s="1160"/>
      <c r="H305" s="1161"/>
      <c r="I305" s="1147">
        <f>SUM(J305:N305)</f>
        <v>1200</v>
      </c>
      <c r="J305" s="1162"/>
      <c r="K305" s="1162"/>
      <c r="L305" s="1162">
        <v>1200</v>
      </c>
      <c r="M305" s="1162"/>
      <c r="N305" s="1163"/>
      <c r="O305" s="1158"/>
      <c r="P305" s="1158"/>
    </row>
    <row r="306" spans="1:16" s="3" customFormat="1" ht="22.5" customHeight="1">
      <c r="A306" s="605">
        <v>273</v>
      </c>
      <c r="B306" s="166"/>
      <c r="C306" s="162">
        <v>127</v>
      </c>
      <c r="D306" s="168" t="s">
        <v>263</v>
      </c>
      <c r="E306" s="164"/>
      <c r="F306" s="164">
        <v>1210</v>
      </c>
      <c r="G306" s="165">
        <v>1210</v>
      </c>
      <c r="H306" s="616" t="s">
        <v>24</v>
      </c>
      <c r="I306" s="1317"/>
      <c r="J306" s="1318"/>
      <c r="K306" s="1318"/>
      <c r="L306" s="1318"/>
      <c r="M306" s="1318"/>
      <c r="N306" s="1319"/>
      <c r="O306" s="8"/>
      <c r="P306" s="8"/>
    </row>
    <row r="307" spans="1:16" s="3" customFormat="1" ht="22.5" customHeight="1">
      <c r="A307" s="605">
        <v>274</v>
      </c>
      <c r="B307" s="166"/>
      <c r="C307" s="162">
        <v>128</v>
      </c>
      <c r="D307" s="168" t="s">
        <v>264</v>
      </c>
      <c r="E307" s="164"/>
      <c r="F307" s="164">
        <v>1254</v>
      </c>
      <c r="G307" s="165">
        <v>1254</v>
      </c>
      <c r="H307" s="616" t="s">
        <v>24</v>
      </c>
      <c r="I307" s="1317"/>
      <c r="J307" s="1318"/>
      <c r="K307" s="1318"/>
      <c r="L307" s="1318"/>
      <c r="M307" s="1318"/>
      <c r="N307" s="1319"/>
      <c r="O307" s="8"/>
      <c r="P307" s="8"/>
    </row>
    <row r="308" spans="1:16" s="3" customFormat="1" ht="22.5" customHeight="1">
      <c r="A308" s="605">
        <v>275</v>
      </c>
      <c r="B308" s="166"/>
      <c r="C308" s="162">
        <v>129</v>
      </c>
      <c r="D308" s="168" t="s">
        <v>420</v>
      </c>
      <c r="E308" s="164"/>
      <c r="F308" s="164">
        <v>451</v>
      </c>
      <c r="G308" s="165"/>
      <c r="H308" s="616" t="s">
        <v>24</v>
      </c>
      <c r="I308" s="1317"/>
      <c r="J308" s="1318"/>
      <c r="K308" s="1318"/>
      <c r="L308" s="1318"/>
      <c r="M308" s="1318"/>
      <c r="N308" s="1319"/>
      <c r="O308" s="8"/>
      <c r="P308" s="8"/>
    </row>
    <row r="309" spans="1:16" s="3" customFormat="1" ht="22.5" customHeight="1">
      <c r="A309" s="605">
        <v>276</v>
      </c>
      <c r="B309" s="166"/>
      <c r="C309" s="162">
        <v>130</v>
      </c>
      <c r="D309" s="168" t="s">
        <v>421</v>
      </c>
      <c r="E309" s="164"/>
      <c r="F309" s="164">
        <v>259</v>
      </c>
      <c r="G309" s="165">
        <v>259</v>
      </c>
      <c r="H309" s="616" t="s">
        <v>24</v>
      </c>
      <c r="I309" s="1317"/>
      <c r="J309" s="1318"/>
      <c r="K309" s="1318"/>
      <c r="L309" s="1318"/>
      <c r="M309" s="1318"/>
      <c r="N309" s="1319"/>
      <c r="O309" s="8"/>
      <c r="P309" s="8"/>
    </row>
    <row r="310" spans="1:16" s="3" customFormat="1" ht="22.5" customHeight="1">
      <c r="A310" s="605">
        <v>277</v>
      </c>
      <c r="B310" s="166"/>
      <c r="C310" s="162">
        <v>131</v>
      </c>
      <c r="D310" s="168" t="s">
        <v>536</v>
      </c>
      <c r="E310" s="164"/>
      <c r="F310" s="164">
        <v>480</v>
      </c>
      <c r="G310" s="165"/>
      <c r="H310" s="616" t="s">
        <v>24</v>
      </c>
      <c r="I310" s="1147"/>
      <c r="J310" s="1318"/>
      <c r="K310" s="1318"/>
      <c r="L310" s="1318"/>
      <c r="M310" s="1318"/>
      <c r="N310" s="1319"/>
      <c r="O310" s="8"/>
      <c r="P310" s="8"/>
    </row>
    <row r="311" spans="1:16" s="3" customFormat="1" ht="22.5" customHeight="1">
      <c r="A311" s="605">
        <v>278</v>
      </c>
      <c r="B311" s="166"/>
      <c r="C311" s="162">
        <v>132</v>
      </c>
      <c r="D311" s="168" t="s">
        <v>632</v>
      </c>
      <c r="E311" s="164"/>
      <c r="F311" s="164">
        <v>362</v>
      </c>
      <c r="G311" s="165">
        <v>362</v>
      </c>
      <c r="H311" s="616" t="s">
        <v>24</v>
      </c>
      <c r="I311" s="1147"/>
      <c r="J311" s="1318"/>
      <c r="K311" s="1318"/>
      <c r="L311" s="1318"/>
      <c r="M311" s="1318"/>
      <c r="N311" s="1319"/>
      <c r="O311" s="8"/>
      <c r="P311" s="8"/>
    </row>
    <row r="312" spans="1:16" s="3" customFormat="1" ht="22.5" customHeight="1">
      <c r="A312" s="605">
        <v>279</v>
      </c>
      <c r="B312" s="166"/>
      <c r="C312" s="162">
        <v>133</v>
      </c>
      <c r="D312" s="168" t="s">
        <v>537</v>
      </c>
      <c r="E312" s="164"/>
      <c r="F312" s="164">
        <v>400</v>
      </c>
      <c r="G312" s="165">
        <v>400</v>
      </c>
      <c r="H312" s="616" t="s">
        <v>24</v>
      </c>
      <c r="I312" s="1147"/>
      <c r="J312" s="1318"/>
      <c r="K312" s="1318"/>
      <c r="L312" s="1318"/>
      <c r="M312" s="1318"/>
      <c r="N312" s="1319"/>
      <c r="O312" s="8"/>
      <c r="P312" s="8"/>
    </row>
    <row r="313" spans="1:16" s="3" customFormat="1" ht="22.5" customHeight="1">
      <c r="A313" s="605">
        <v>280</v>
      </c>
      <c r="B313" s="166"/>
      <c r="C313" s="162">
        <v>134</v>
      </c>
      <c r="D313" s="168" t="s">
        <v>538</v>
      </c>
      <c r="E313" s="164"/>
      <c r="F313" s="164">
        <v>738</v>
      </c>
      <c r="G313" s="165">
        <v>738</v>
      </c>
      <c r="H313" s="616" t="s">
        <v>24</v>
      </c>
      <c r="I313" s="1147"/>
      <c r="J313" s="1318"/>
      <c r="K313" s="1318"/>
      <c r="L313" s="1318"/>
      <c r="M313" s="1318"/>
      <c r="N313" s="1319"/>
      <c r="O313" s="8"/>
      <c r="P313" s="8"/>
    </row>
    <row r="314" spans="1:16" s="3" customFormat="1" ht="22.5" customHeight="1">
      <c r="A314" s="605">
        <v>281</v>
      </c>
      <c r="B314" s="166"/>
      <c r="C314" s="162">
        <v>135</v>
      </c>
      <c r="D314" s="168" t="s">
        <v>454</v>
      </c>
      <c r="E314" s="164"/>
      <c r="F314" s="164">
        <v>100</v>
      </c>
      <c r="G314" s="165"/>
      <c r="H314" s="616" t="s">
        <v>24</v>
      </c>
      <c r="I314" s="1317"/>
      <c r="J314" s="1318"/>
      <c r="K314" s="1318"/>
      <c r="L314" s="1318"/>
      <c r="M314" s="1318"/>
      <c r="N314" s="1319"/>
      <c r="O314" s="8"/>
      <c r="P314" s="8"/>
    </row>
    <row r="315" spans="1:14" s="8" customFormat="1" ht="22.5" customHeight="1">
      <c r="A315" s="605">
        <v>282</v>
      </c>
      <c r="B315" s="166"/>
      <c r="C315" s="162">
        <v>136</v>
      </c>
      <c r="D315" s="163" t="s">
        <v>447</v>
      </c>
      <c r="E315" s="164">
        <v>2112</v>
      </c>
      <c r="F315" s="164">
        <v>0</v>
      </c>
      <c r="G315" s="165">
        <v>159</v>
      </c>
      <c r="H315" s="616" t="s">
        <v>23</v>
      </c>
      <c r="I315" s="1147"/>
      <c r="J315" s="1312"/>
      <c r="K315" s="1312"/>
      <c r="L315" s="1312"/>
      <c r="M315" s="1312"/>
      <c r="N315" s="1313"/>
    </row>
    <row r="316" spans="1:16" s="181" customFormat="1" ht="22.5" customHeight="1">
      <c r="A316" s="605">
        <v>283</v>
      </c>
      <c r="B316" s="180"/>
      <c r="C316" s="162">
        <v>137</v>
      </c>
      <c r="D316" s="163" t="s">
        <v>110</v>
      </c>
      <c r="E316" s="191"/>
      <c r="F316" s="191"/>
      <c r="G316" s="191">
        <v>50</v>
      </c>
      <c r="H316" s="618" t="s">
        <v>24</v>
      </c>
      <c r="I316" s="1147"/>
      <c r="J316" s="1315"/>
      <c r="K316" s="1315"/>
      <c r="L316" s="1315"/>
      <c r="M316" s="1315"/>
      <c r="N316" s="1316"/>
      <c r="O316" s="157"/>
      <c r="P316" s="8"/>
    </row>
    <row r="317" spans="1:14" ht="22.5" customHeight="1">
      <c r="A317" s="605">
        <v>284</v>
      </c>
      <c r="B317" s="1307"/>
      <c r="C317" s="162">
        <v>138</v>
      </c>
      <c r="D317" s="163" t="s">
        <v>819</v>
      </c>
      <c r="E317" s="1308"/>
      <c r="F317" s="191">
        <v>32172</v>
      </c>
      <c r="G317" s="191">
        <v>30170</v>
      </c>
      <c r="H317" s="1309" t="s">
        <v>24</v>
      </c>
      <c r="I317" s="1327"/>
      <c r="J317" s="1328"/>
      <c r="K317" s="1328"/>
      <c r="L317" s="1328"/>
      <c r="M317" s="1328"/>
      <c r="N317" s="1329"/>
    </row>
    <row r="318" spans="1:16" s="3" customFormat="1" ht="22.5" customHeight="1">
      <c r="A318" s="605">
        <v>285</v>
      </c>
      <c r="B318" s="161"/>
      <c r="C318" s="162">
        <v>139</v>
      </c>
      <c r="D318" s="163" t="s">
        <v>92</v>
      </c>
      <c r="E318" s="164">
        <v>21955</v>
      </c>
      <c r="F318" s="164">
        <v>0</v>
      </c>
      <c r="G318" s="165">
        <v>0</v>
      </c>
      <c r="H318" s="616" t="s">
        <v>24</v>
      </c>
      <c r="I318" s="1147"/>
      <c r="J318" s="1312"/>
      <c r="K318" s="1312"/>
      <c r="L318" s="1312"/>
      <c r="M318" s="1312"/>
      <c r="N318" s="1313"/>
      <c r="P318" s="8"/>
    </row>
    <row r="319" spans="1:16" s="1380" customFormat="1" ht="22.5" customHeight="1">
      <c r="A319" s="605">
        <v>286</v>
      </c>
      <c r="B319" s="161"/>
      <c r="C319" s="162">
        <v>140</v>
      </c>
      <c r="D319" s="1441" t="s">
        <v>394</v>
      </c>
      <c r="E319" s="164">
        <v>135683</v>
      </c>
      <c r="F319" s="164">
        <v>70760</v>
      </c>
      <c r="G319" s="165">
        <v>70760</v>
      </c>
      <c r="H319" s="616" t="s">
        <v>23</v>
      </c>
      <c r="I319" s="1147"/>
      <c r="J319" s="1312"/>
      <c r="K319" s="1312"/>
      <c r="L319" s="1312"/>
      <c r="M319" s="1312"/>
      <c r="N319" s="1313"/>
      <c r="O319" s="3"/>
      <c r="P319" s="1379"/>
    </row>
    <row r="320" spans="1:14" s="1379" customFormat="1" ht="22.5" customHeight="1">
      <c r="A320" s="605">
        <v>287</v>
      </c>
      <c r="B320" s="180"/>
      <c r="C320" s="162">
        <v>141</v>
      </c>
      <c r="D320" s="168" t="s">
        <v>586</v>
      </c>
      <c r="E320" s="191"/>
      <c r="F320" s="169">
        <v>41919</v>
      </c>
      <c r="G320" s="192">
        <v>41919</v>
      </c>
      <c r="H320" s="618" t="s">
        <v>23</v>
      </c>
      <c r="I320" s="1147"/>
      <c r="J320" s="1315"/>
      <c r="K320" s="1315"/>
      <c r="L320" s="1315"/>
      <c r="M320" s="1315"/>
      <c r="N320" s="1316"/>
    </row>
    <row r="321" spans="1:14" s="1379" customFormat="1" ht="22.5" customHeight="1">
      <c r="A321" s="605">
        <v>288</v>
      </c>
      <c r="B321" s="180"/>
      <c r="C321" s="162">
        <v>142</v>
      </c>
      <c r="D321" s="168" t="s">
        <v>419</v>
      </c>
      <c r="E321" s="191">
        <v>268</v>
      </c>
      <c r="F321" s="169">
        <v>509</v>
      </c>
      <c r="G321" s="192">
        <v>509</v>
      </c>
      <c r="H321" s="616" t="s">
        <v>24</v>
      </c>
      <c r="I321" s="1147"/>
      <c r="J321" s="1315"/>
      <c r="K321" s="1315"/>
      <c r="L321" s="1315"/>
      <c r="M321" s="1315"/>
      <c r="N321" s="1316"/>
    </row>
    <row r="322" spans="1:16" s="1380" customFormat="1" ht="22.5" customHeight="1">
      <c r="A322" s="605">
        <v>289</v>
      </c>
      <c r="B322" s="161"/>
      <c r="C322" s="162">
        <v>143</v>
      </c>
      <c r="D322" s="163" t="s">
        <v>445</v>
      </c>
      <c r="E322" s="164">
        <v>1000</v>
      </c>
      <c r="F322" s="164">
        <v>0</v>
      </c>
      <c r="G322" s="165">
        <v>0</v>
      </c>
      <c r="H322" s="616" t="s">
        <v>24</v>
      </c>
      <c r="I322" s="1317"/>
      <c r="J322" s="1318"/>
      <c r="K322" s="1318"/>
      <c r="L322" s="1318"/>
      <c r="M322" s="1318"/>
      <c r="N322" s="1319"/>
      <c r="O322" s="1379"/>
      <c r="P322" s="1379"/>
    </row>
    <row r="323" spans="1:16" s="1380" customFormat="1" ht="22.5" customHeight="1" thickBot="1">
      <c r="A323" s="605">
        <v>290</v>
      </c>
      <c r="B323" s="179"/>
      <c r="C323" s="162">
        <v>144</v>
      </c>
      <c r="D323" s="168" t="s">
        <v>535</v>
      </c>
      <c r="E323" s="191"/>
      <c r="F323" s="191">
        <v>4000</v>
      </c>
      <c r="G323" s="192"/>
      <c r="H323" s="618" t="s">
        <v>24</v>
      </c>
      <c r="I323" s="1147"/>
      <c r="J323" s="1315"/>
      <c r="K323" s="1315"/>
      <c r="L323" s="1315"/>
      <c r="M323" s="1315"/>
      <c r="N323" s="1316"/>
      <c r="O323" s="1379"/>
      <c r="P323" s="1379"/>
    </row>
    <row r="324" spans="1:16" s="114" customFormat="1" ht="33.75" customHeight="1" thickBot="1" thickTop="1">
      <c r="A324" s="605">
        <v>291</v>
      </c>
      <c r="B324" s="1375"/>
      <c r="C324" s="1376"/>
      <c r="D324" s="1721" t="s">
        <v>13</v>
      </c>
      <c r="E324" s="1722"/>
      <c r="F324" s="1722"/>
      <c r="G324" s="1723"/>
      <c r="H324" s="1377"/>
      <c r="I324" s="1378">
        <f>SUM(I9:I323)-I282-I134-I118-I54-I20-I110</f>
        <v>5426646</v>
      </c>
      <c r="J324" s="1378">
        <f>SUM(J9:J323)-J282-J134-J118-J54-J20-J110</f>
        <v>155795</v>
      </c>
      <c r="K324" s="1378">
        <f>SUM(K9:K323)-K282-K134-K118-K54-K20-K110</f>
        <v>23456</v>
      </c>
      <c r="L324" s="1378">
        <f>SUM(L9:L323)-L282-L134-L118-L54-L20-L110</f>
        <v>1768220</v>
      </c>
      <c r="M324" s="1378">
        <f>SUM(M9:M323)-M282-M134-M118-M54-M20-M110</f>
        <v>36460</v>
      </c>
      <c r="N324" s="1378">
        <f>SUM(N9:N323)-N282-N134-N118-N54-N20-N110</f>
        <v>3442715</v>
      </c>
      <c r="O324" s="596"/>
      <c r="P324" s="8"/>
    </row>
    <row r="325" spans="1:16" s="114" customFormat="1" ht="22.5" customHeight="1" thickTop="1">
      <c r="A325" s="605">
        <v>292</v>
      </c>
      <c r="B325" s="117"/>
      <c r="C325" s="118"/>
      <c r="D325" s="1726" t="s">
        <v>111</v>
      </c>
      <c r="E325" s="1727"/>
      <c r="F325" s="1727"/>
      <c r="G325" s="1728"/>
      <c r="H325" s="619"/>
      <c r="I325" s="1331">
        <f>SUM(J325:N325)</f>
        <v>4698100</v>
      </c>
      <c r="J325" s="1330">
        <f>J282+J279+J275+J271+J269+J267+J265+J263+J261+J259+J257+J255+J253+J251+J249+J242+J240+J238+J236+J228+J226+J224+J220+J200+J196+J194+J192+J190+J184+J172+J170+J168+J166+J164+J156+J136+J132+J130+J128+J100+J98+J96+J94+J10+J230+J186+J247+J277</f>
        <v>148380</v>
      </c>
      <c r="K325" s="1330">
        <f>K282+K279+K275+K271+K269+K267+K265+K263+K261+K259+K257+K255+K253+K251+K249+K242+K240+K238+K236+K228+K226+K224+K220+K200+K196+K194+K192+K190+K184+K172+K170+K168+K166+K164+K156+K136+K132+K130+K128+K100+K98+K96+K94+K10+K230+K186+K247+K277</f>
        <v>22676</v>
      </c>
      <c r="L325" s="1330">
        <f>L282+L279+L275+L271+L269+L267+L265+L263+L261+L259+L257+L255+L253+L251+L249+L242+L240+L238+L236+L228+L226+L224+L220+L200+L196+L194+L192+L190+L184+L172+L170+L168+L166+L164+L156+L136+L132+L130+L128+L100+L98+L96+L94+L10+L230+L186+L247+L277</f>
        <v>1376129</v>
      </c>
      <c r="M325" s="1330">
        <f>M282+M279+M275+M271+M269+M267+M265+M263+M261+M259+M257+M255+M253+M251+M249+M242+M240+M238+M236+M228+M226+M224+M220+M200+M196+M194+M192+M190+M184+M172+M170+M168+M166+M164+M156+M136+M132+M130+M128+M100+M98+M96+M94+M10+M230+M186+M247+M277</f>
        <v>8600</v>
      </c>
      <c r="N325" s="1423">
        <f>N282+N279+N275+N271+N269+N267+N265+N263+N261+N259+N257+N255+N253+N251+N249+N242+N240+N238+N236+N228+N226+N224+N220+N200+N196+N194+N192+N190+N184+N172+N170+N168+N166+N164+N156+N136+N132+N130+N128+N100+N98+N96+N94+N10+N230+N186+N247+N277</f>
        <v>3142315</v>
      </c>
      <c r="O325" s="596"/>
      <c r="P325" s="8"/>
    </row>
    <row r="326" spans="1:16" s="1189" customFormat="1" ht="18" customHeight="1">
      <c r="A326" s="605">
        <v>293</v>
      </c>
      <c r="B326" s="1152"/>
      <c r="C326" s="1153"/>
      <c r="D326" s="1729" t="s">
        <v>293</v>
      </c>
      <c r="E326" s="1730"/>
      <c r="F326" s="1730"/>
      <c r="G326" s="1731"/>
      <c r="H326" s="1157"/>
      <c r="I326" s="1188"/>
      <c r="J326" s="1148"/>
      <c r="K326" s="1148"/>
      <c r="L326" s="1148"/>
      <c r="M326" s="1148"/>
      <c r="N326" s="1149"/>
      <c r="O326" s="1158"/>
      <c r="P326" s="1158"/>
    </row>
    <row r="327" spans="1:16" s="114" customFormat="1" ht="22.5" customHeight="1">
      <c r="A327" s="605">
        <v>294</v>
      </c>
      <c r="B327" s="119"/>
      <c r="C327" s="120"/>
      <c r="D327" s="1732" t="s">
        <v>112</v>
      </c>
      <c r="E327" s="1730"/>
      <c r="F327" s="1730"/>
      <c r="G327" s="1731"/>
      <c r="H327" s="620"/>
      <c r="I327" s="1332">
        <f>SUM(J327:N327)</f>
        <v>728546</v>
      </c>
      <c r="J327" s="1312">
        <f>J303+J301+J299+J296+J273+J233+J222+J218+J215+J213+J210+J208+J204+J202+J198+J188+J181+J179+J177+J174+J162+J160+J158+J154+J152+J150+J148+J146+J144+J142+J140+J126+J124+J121+J116+J112+J108+J106+J92+J86+J84+J82+J80+J78+J76+J74+J72+J70+J68+J66+J64+J62+J56+J51+J49+J47+J45+J35+J33+J30+J28+J26+J24+J22+J17+J15+J12+J305+J90+J88+J138+J104+J102</f>
        <v>7415</v>
      </c>
      <c r="K327" s="1312">
        <f>K303+K301+K299+K296+K273+K233+K222+K218+K215+K213+K210+K208+K204+K202+K198+K188+K181+K179+K177+K174+K162+K160+K158+K154+K152+K150+K148+K146+K144+K142+K140+K126+K124+K121+K116+K112+K108+K106+K92+K86+K84+K82+K80+K78+K76+K74+K72+K70+K68+K66+K64+K62+K56+K51+K49+K47+K45+K35+K33+K30+K28+K26+K24+K22+K17+K15+K12+K305+K90+K88+K138+K104+K102</f>
        <v>780</v>
      </c>
      <c r="L327" s="1312">
        <f>L303+L301+L299+L296+L273+L233+L222+L218+L215+L213+L210+L208+L204+L202+L198+L188+L181+L179+L177+L174+L162+L160+L158+L154+L152+L150+L148+L146+L144+L142+L140+L126+L124+L121+L116+L112+L108+L106+L92+L86+L84+L82+L80+L78+L76+L74+L72+L70+L68+L66+L64+L62+L56+L51+L49+L47+L45+L35+L33+L30+L28+L26+L24+L22+L17+L15+L12+L305+L90+L88+L138+L104+L102</f>
        <v>392091</v>
      </c>
      <c r="M327" s="1312">
        <f>M303+M301+M299+M296+M273+M233+M222+M218+M215+M213+M210+M208+M204+M202+M198+M188+M181+M179+M177+M174+M162+M160+M158+M154+M152+M150+M148+M146+M144+M142+M140+M126+M124+M121+M116+M112+M108+M106+M92+M86+M84+M82+M80+M78+M76+M74+M72+M70+M68+M66+M64+M62+M56+M51+M49+M47+M45+M35+M33+M30+M28+M26+M24+M22+M17+M15+M12+M305+M90+M88+M138+M104+M102</f>
        <v>27860</v>
      </c>
      <c r="N327" s="1312">
        <f>N303+N301+N299+N296+N273+N233+N222+N218+N215+N213+N210+N208+N204+N202+N198+N188+N181+N179+N177+N174+N162+N160+N158+N154+N152+N150+N148+N146+N144+N142+N140+N126+N124+N121+N116+N112+N108+N106+N92+N86+N84+N82+N80+N78+N76+N74+N72+N70+N68+N66+N64+N62+N56+N51+N49+N47+N45+N35+N33+N30+N28+N26+N24+N22+N17+N15+N12+N305+N90+N88+N138+N104+N102</f>
        <v>300400</v>
      </c>
      <c r="O327" s="596"/>
      <c r="P327" s="8"/>
    </row>
    <row r="328" spans="1:16" s="1197" customFormat="1" ht="18" customHeight="1" thickBot="1">
      <c r="A328" s="605">
        <v>295</v>
      </c>
      <c r="B328" s="1190"/>
      <c r="C328" s="1191"/>
      <c r="D328" s="1733" t="s">
        <v>293</v>
      </c>
      <c r="E328" s="1734"/>
      <c r="F328" s="1734"/>
      <c r="G328" s="1735"/>
      <c r="H328" s="1192"/>
      <c r="I328" s="1193"/>
      <c r="J328" s="1194"/>
      <c r="K328" s="1194"/>
      <c r="L328" s="1194"/>
      <c r="M328" s="1194"/>
      <c r="N328" s="1195"/>
      <c r="O328" s="1196"/>
      <c r="P328" s="1158"/>
    </row>
    <row r="329" spans="1:14" ht="18" customHeight="1">
      <c r="A329" s="606"/>
      <c r="B329" s="1706" t="s">
        <v>27</v>
      </c>
      <c r="C329" s="1706"/>
      <c r="D329" s="1706"/>
      <c r="E329" s="159"/>
      <c r="F329" s="159"/>
      <c r="G329" s="159"/>
      <c r="H329" s="597"/>
      <c r="I329" s="160"/>
      <c r="J329" s="159"/>
      <c r="K329" s="159"/>
      <c r="L329" s="159"/>
      <c r="M329" s="159"/>
      <c r="N329" s="159"/>
    </row>
    <row r="330" spans="1:14" ht="18" customHeight="1">
      <c r="A330" s="606"/>
      <c r="B330" s="638" t="s">
        <v>28</v>
      </c>
      <c r="C330" s="638"/>
      <c r="D330" s="638"/>
      <c r="E330" s="159"/>
      <c r="F330" s="159"/>
      <c r="G330" s="159"/>
      <c r="H330" s="597"/>
      <c r="I330" s="160"/>
      <c r="J330" s="159"/>
      <c r="K330" s="159"/>
      <c r="L330" s="159"/>
      <c r="M330" s="159"/>
      <c r="N330" s="159"/>
    </row>
    <row r="331" spans="1:14" ht="18" customHeight="1">
      <c r="A331" s="606"/>
      <c r="B331" s="1706" t="s">
        <v>29</v>
      </c>
      <c r="C331" s="1706"/>
      <c r="D331" s="1706"/>
      <c r="E331" s="159"/>
      <c r="F331" s="159"/>
      <c r="G331" s="159"/>
      <c r="H331" s="597"/>
      <c r="I331" s="160"/>
      <c r="J331" s="159"/>
      <c r="K331" s="159"/>
      <c r="L331" s="159"/>
      <c r="M331" s="159"/>
      <c r="N331" s="159"/>
    </row>
    <row r="332" spans="4:14" ht="18" customHeight="1">
      <c r="D332" s="11"/>
      <c r="E332" s="385"/>
      <c r="F332" s="385"/>
      <c r="G332" s="385"/>
      <c r="H332" s="12"/>
      <c r="I332" s="385">
        <f aca="true" t="shared" si="1" ref="I332:N332">+I324-I325-I327</f>
        <v>0</v>
      </c>
      <c r="J332" s="385">
        <f t="shared" si="1"/>
        <v>0</v>
      </c>
      <c r="K332" s="385">
        <f t="shared" si="1"/>
        <v>0</v>
      </c>
      <c r="L332" s="385">
        <f t="shared" si="1"/>
        <v>0</v>
      </c>
      <c r="M332" s="385">
        <f t="shared" si="1"/>
        <v>0</v>
      </c>
      <c r="N332" s="385">
        <f t="shared" si="1"/>
        <v>0</v>
      </c>
    </row>
    <row r="333" spans="4:8" ht="18" customHeight="1">
      <c r="D333" s="11"/>
      <c r="E333" s="385"/>
      <c r="F333" s="385"/>
      <c r="G333" s="385"/>
      <c r="H333" s="12"/>
    </row>
    <row r="334" spans="4:8" ht="18" customHeight="1">
      <c r="D334" s="11"/>
      <c r="E334" s="385"/>
      <c r="F334" s="385"/>
      <c r="G334" s="385"/>
      <c r="H334" s="12"/>
    </row>
    <row r="335" spans="1:15" s="13" customFormat="1" ht="18" customHeight="1">
      <c r="A335" s="605"/>
      <c r="B335" s="3"/>
      <c r="C335" s="7"/>
      <c r="D335" s="11"/>
      <c r="E335" s="385"/>
      <c r="F335" s="385"/>
      <c r="G335" s="385"/>
      <c r="H335" s="12"/>
      <c r="J335" s="385"/>
      <c r="K335" s="385"/>
      <c r="L335" s="385"/>
      <c r="M335" s="385"/>
      <c r="N335" s="385"/>
      <c r="O335" s="4"/>
    </row>
    <row r="336" spans="1:15" s="13" customFormat="1" ht="18" customHeight="1">
      <c r="A336" s="605"/>
      <c r="B336" s="3"/>
      <c r="C336" s="7"/>
      <c r="D336" s="11"/>
      <c r="E336" s="385"/>
      <c r="F336" s="385"/>
      <c r="G336" s="385"/>
      <c r="H336" s="12"/>
      <c r="J336" s="385"/>
      <c r="K336" s="385"/>
      <c r="L336" s="385"/>
      <c r="M336" s="385"/>
      <c r="N336" s="385"/>
      <c r="O336" s="4"/>
    </row>
    <row r="337" spans="1:15" s="13" customFormat="1" ht="18" customHeight="1">
      <c r="A337" s="605"/>
      <c r="B337" s="3"/>
      <c r="C337" s="7"/>
      <c r="D337" s="11"/>
      <c r="E337" s="385"/>
      <c r="F337" s="385"/>
      <c r="G337" s="385"/>
      <c r="H337" s="12"/>
      <c r="J337" s="385"/>
      <c r="K337" s="385"/>
      <c r="L337" s="385"/>
      <c r="M337" s="385"/>
      <c r="N337" s="385"/>
      <c r="O337" s="4"/>
    </row>
    <row r="338" spans="1:15" s="13" customFormat="1" ht="18" customHeight="1">
      <c r="A338" s="605"/>
      <c r="B338" s="3"/>
      <c r="C338" s="7"/>
      <c r="D338" s="11"/>
      <c r="E338" s="385"/>
      <c r="F338" s="385"/>
      <c r="G338" s="385"/>
      <c r="H338" s="12"/>
      <c r="J338" s="385"/>
      <c r="K338" s="385"/>
      <c r="L338" s="385"/>
      <c r="M338" s="385"/>
      <c r="N338" s="385"/>
      <c r="O338" s="4"/>
    </row>
    <row r="339" spans="1:15" s="13" customFormat="1" ht="18" customHeight="1">
      <c r="A339" s="605"/>
      <c r="B339" s="3"/>
      <c r="C339" s="7"/>
      <c r="D339" s="11"/>
      <c r="E339" s="385"/>
      <c r="F339" s="385"/>
      <c r="G339" s="385"/>
      <c r="H339" s="12"/>
      <c r="J339" s="385"/>
      <c r="K339" s="385"/>
      <c r="L339" s="385"/>
      <c r="M339" s="385"/>
      <c r="N339" s="385"/>
      <c r="O339" s="4"/>
    </row>
    <row r="340" spans="1:15" s="13" customFormat="1" ht="18" customHeight="1">
      <c r="A340" s="605"/>
      <c r="B340" s="3"/>
      <c r="C340" s="7"/>
      <c r="D340" s="14"/>
      <c r="E340" s="385"/>
      <c r="F340" s="385"/>
      <c r="G340" s="385"/>
      <c r="H340" s="12"/>
      <c r="J340" s="385"/>
      <c r="K340" s="385"/>
      <c r="L340" s="385"/>
      <c r="M340" s="385"/>
      <c r="N340" s="385"/>
      <c r="O340" s="4"/>
    </row>
    <row r="341" spans="1:15" s="13" customFormat="1" ht="18" customHeight="1">
      <c r="A341" s="605"/>
      <c r="B341" s="3"/>
      <c r="C341" s="7"/>
      <c r="D341" s="14"/>
      <c r="E341" s="385"/>
      <c r="F341" s="385"/>
      <c r="G341" s="385"/>
      <c r="H341" s="12"/>
      <c r="J341" s="385"/>
      <c r="K341" s="385"/>
      <c r="L341" s="385"/>
      <c r="M341" s="385"/>
      <c r="N341" s="385"/>
      <c r="O341" s="4"/>
    </row>
    <row r="342" spans="1:15" s="13" customFormat="1" ht="18" customHeight="1">
      <c r="A342" s="605"/>
      <c r="B342" s="3"/>
      <c r="C342" s="7"/>
      <c r="D342" s="11"/>
      <c r="E342" s="385"/>
      <c r="F342" s="385"/>
      <c r="G342" s="385"/>
      <c r="H342" s="12"/>
      <c r="J342" s="385"/>
      <c r="K342" s="385"/>
      <c r="L342" s="385"/>
      <c r="M342" s="385"/>
      <c r="N342" s="385"/>
      <c r="O342" s="4"/>
    </row>
    <row r="343" spans="1:15" s="13" customFormat="1" ht="18" customHeight="1">
      <c r="A343" s="605"/>
      <c r="B343" s="3"/>
      <c r="C343" s="7"/>
      <c r="D343" s="11"/>
      <c r="E343" s="385"/>
      <c r="F343" s="385"/>
      <c r="G343" s="385"/>
      <c r="H343" s="12"/>
      <c r="J343" s="385"/>
      <c r="K343" s="385"/>
      <c r="L343" s="385"/>
      <c r="M343" s="385"/>
      <c r="N343" s="385"/>
      <c r="O343" s="4"/>
    </row>
    <row r="344" spans="1:15" s="13" customFormat="1" ht="18" customHeight="1">
      <c r="A344" s="605"/>
      <c r="B344" s="3"/>
      <c r="C344" s="7"/>
      <c r="D344" s="16"/>
      <c r="E344" s="4"/>
      <c r="F344" s="4"/>
      <c r="G344" s="4"/>
      <c r="H344" s="3"/>
      <c r="J344" s="385"/>
      <c r="K344" s="385"/>
      <c r="L344" s="385"/>
      <c r="M344" s="385"/>
      <c r="N344" s="385"/>
      <c r="O344" s="4"/>
    </row>
    <row r="345" spans="1:15" s="13" customFormat="1" ht="18" customHeight="1">
      <c r="A345" s="605"/>
      <c r="B345" s="3"/>
      <c r="C345" s="7"/>
      <c r="D345" s="16"/>
      <c r="E345" s="4"/>
      <c r="F345" s="4"/>
      <c r="G345" s="4"/>
      <c r="H345" s="3"/>
      <c r="J345" s="385"/>
      <c r="K345" s="385"/>
      <c r="L345" s="385"/>
      <c r="M345" s="385"/>
      <c r="N345" s="385"/>
      <c r="O345" s="4"/>
    </row>
    <row r="346" spans="1:15" s="13" customFormat="1" ht="18" customHeight="1">
      <c r="A346" s="605"/>
      <c r="B346" s="3"/>
      <c r="C346" s="7"/>
      <c r="D346" s="16"/>
      <c r="E346" s="4"/>
      <c r="F346" s="4"/>
      <c r="G346" s="4"/>
      <c r="H346" s="3"/>
      <c r="J346" s="385"/>
      <c r="K346" s="385"/>
      <c r="L346" s="385"/>
      <c r="M346" s="385"/>
      <c r="N346" s="385"/>
      <c r="O346" s="4"/>
    </row>
    <row r="347" spans="1:15" s="13" customFormat="1" ht="18" customHeight="1">
      <c r="A347" s="605"/>
      <c r="B347" s="3"/>
      <c r="C347" s="7"/>
      <c r="D347" s="16"/>
      <c r="E347" s="4"/>
      <c r="F347" s="4"/>
      <c r="G347" s="4"/>
      <c r="H347" s="3"/>
      <c r="J347" s="385"/>
      <c r="K347" s="385"/>
      <c r="L347" s="385"/>
      <c r="M347" s="385"/>
      <c r="N347" s="385"/>
      <c r="O347" s="4"/>
    </row>
    <row r="348" spans="1:15" s="13" customFormat="1" ht="18" customHeight="1">
      <c r="A348" s="605"/>
      <c r="B348" s="3"/>
      <c r="C348" s="7"/>
      <c r="D348" s="16"/>
      <c r="E348" s="4"/>
      <c r="F348" s="4"/>
      <c r="G348" s="4"/>
      <c r="H348" s="3"/>
      <c r="J348" s="385"/>
      <c r="K348" s="385"/>
      <c r="L348" s="385"/>
      <c r="M348" s="385"/>
      <c r="N348" s="385"/>
      <c r="O348" s="4"/>
    </row>
    <row r="349" spans="1:15" s="13" customFormat="1" ht="18" customHeight="1">
      <c r="A349" s="605"/>
      <c r="B349" s="3"/>
      <c r="C349" s="7"/>
      <c r="D349" s="16"/>
      <c r="E349" s="4"/>
      <c r="F349" s="4"/>
      <c r="G349" s="4"/>
      <c r="H349" s="3"/>
      <c r="J349" s="385"/>
      <c r="K349" s="385"/>
      <c r="L349" s="385"/>
      <c r="M349" s="385"/>
      <c r="N349" s="385"/>
      <c r="O349" s="4"/>
    </row>
    <row r="350" spans="1:15" s="13" customFormat="1" ht="18" customHeight="1">
      <c r="A350" s="605"/>
      <c r="B350" s="3"/>
      <c r="C350" s="7"/>
      <c r="D350" s="16"/>
      <c r="E350" s="4"/>
      <c r="F350" s="4"/>
      <c r="G350" s="4"/>
      <c r="H350" s="3"/>
      <c r="J350" s="385"/>
      <c r="K350" s="385"/>
      <c r="L350" s="385"/>
      <c r="M350" s="385"/>
      <c r="N350" s="385"/>
      <c r="O350" s="4"/>
    </row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spans="4:8" ht="18" customHeight="1">
      <c r="D363" s="11"/>
      <c r="E363" s="385"/>
      <c r="F363" s="385"/>
      <c r="G363" s="385"/>
      <c r="H363" s="12"/>
    </row>
    <row r="364" spans="4:8" ht="18" customHeight="1">
      <c r="D364" s="11"/>
      <c r="E364" s="385"/>
      <c r="F364" s="385"/>
      <c r="G364" s="385"/>
      <c r="H364" s="12"/>
    </row>
    <row r="365" spans="4:8" ht="18" customHeight="1">
      <c r="D365" s="11"/>
      <c r="E365" s="385"/>
      <c r="F365" s="385"/>
      <c r="G365" s="385"/>
      <c r="H365" s="12"/>
    </row>
    <row r="366" spans="4:14" ht="18" customHeight="1">
      <c r="D366" s="17"/>
      <c r="E366" s="12"/>
      <c r="F366" s="12"/>
      <c r="G366" s="12"/>
      <c r="H366" s="12"/>
      <c r="I366" s="15"/>
      <c r="J366" s="12"/>
      <c r="K366" s="12"/>
      <c r="L366" s="12"/>
      <c r="M366" s="12"/>
      <c r="N366" s="12"/>
    </row>
    <row r="367" spans="4:14" ht="18" customHeight="1">
      <c r="D367" s="17"/>
      <c r="E367" s="12"/>
      <c r="F367" s="12"/>
      <c r="G367" s="12"/>
      <c r="H367" s="12"/>
      <c r="I367" s="15"/>
      <c r="J367" s="12"/>
      <c r="K367" s="12"/>
      <c r="L367" s="12"/>
      <c r="M367" s="12"/>
      <c r="N367" s="12"/>
    </row>
    <row r="368" spans="4:14" ht="18" customHeight="1">
      <c r="D368" s="17"/>
      <c r="E368" s="12"/>
      <c r="F368" s="12"/>
      <c r="G368" s="12"/>
      <c r="H368" s="12"/>
      <c r="I368" s="15"/>
      <c r="J368" s="12"/>
      <c r="K368" s="12"/>
      <c r="L368" s="12"/>
      <c r="M368" s="12"/>
      <c r="N368" s="12"/>
    </row>
    <row r="369" spans="4:14" ht="18" customHeight="1">
      <c r="D369" s="17"/>
      <c r="E369" s="12"/>
      <c r="F369" s="12"/>
      <c r="G369" s="12"/>
      <c r="H369" s="12"/>
      <c r="I369" s="15"/>
      <c r="J369" s="12"/>
      <c r="K369" s="12"/>
      <c r="L369" s="12"/>
      <c r="M369" s="12"/>
      <c r="N369" s="12"/>
    </row>
    <row r="370" spans="4:8" ht="18" customHeight="1">
      <c r="D370" s="11"/>
      <c r="E370" s="385"/>
      <c r="F370" s="385"/>
      <c r="G370" s="385"/>
      <c r="H370" s="12"/>
    </row>
    <row r="371" spans="4:8" ht="18" customHeight="1">
      <c r="D371" s="11"/>
      <c r="E371" s="385"/>
      <c r="F371" s="385"/>
      <c r="G371" s="385"/>
      <c r="H371" s="12"/>
    </row>
    <row r="372" spans="4:8" ht="18" customHeight="1">
      <c r="D372" s="11"/>
      <c r="E372" s="385"/>
      <c r="F372" s="385"/>
      <c r="G372" s="385"/>
      <c r="H372" s="12"/>
    </row>
    <row r="373" spans="4:8" ht="18" customHeight="1">
      <c r="D373" s="11"/>
      <c r="E373" s="385"/>
      <c r="F373" s="385"/>
      <c r="G373" s="385"/>
      <c r="H373" s="12"/>
    </row>
    <row r="374" spans="4:8" ht="18" customHeight="1">
      <c r="D374" s="11"/>
      <c r="E374" s="385"/>
      <c r="F374" s="385"/>
      <c r="G374" s="385"/>
      <c r="H374" s="12"/>
    </row>
    <row r="375" spans="4:8" ht="18" customHeight="1">
      <c r="D375" s="14"/>
      <c r="E375" s="385"/>
      <c r="F375" s="385"/>
      <c r="G375" s="385"/>
      <c r="H375" s="12"/>
    </row>
    <row r="376" spans="4:8" ht="18" customHeight="1">
      <c r="D376" s="14"/>
      <c r="E376" s="385"/>
      <c r="F376" s="385"/>
      <c r="G376" s="385"/>
      <c r="H376" s="12"/>
    </row>
    <row r="377" spans="1:14" s="5" customFormat="1" ht="18" customHeight="1">
      <c r="A377" s="605"/>
      <c r="B377" s="3"/>
      <c r="C377" s="7"/>
      <c r="D377" s="18"/>
      <c r="E377" s="4"/>
      <c r="F377" s="4"/>
      <c r="G377" s="4"/>
      <c r="H377" s="3"/>
      <c r="I377" s="13"/>
      <c r="J377" s="385"/>
      <c r="K377" s="385"/>
      <c r="L377" s="385"/>
      <c r="M377" s="385"/>
      <c r="N377" s="385"/>
    </row>
    <row r="378" spans="1:14" s="5" customFormat="1" ht="18" customHeight="1">
      <c r="A378" s="605"/>
      <c r="B378" s="3"/>
      <c r="C378" s="7"/>
      <c r="D378" s="18"/>
      <c r="E378" s="4"/>
      <c r="F378" s="4"/>
      <c r="G378" s="4"/>
      <c r="H378" s="3"/>
      <c r="I378" s="13"/>
      <c r="J378" s="385"/>
      <c r="K378" s="385"/>
      <c r="L378" s="385"/>
      <c r="M378" s="385"/>
      <c r="N378" s="385"/>
    </row>
    <row r="379" spans="1:14" s="5" customFormat="1" ht="18" customHeight="1">
      <c r="A379" s="605"/>
      <c r="B379" s="3"/>
      <c r="C379" s="7"/>
      <c r="D379" s="14"/>
      <c r="E379" s="385"/>
      <c r="F379" s="385"/>
      <c r="G379" s="385"/>
      <c r="H379" s="12"/>
      <c r="I379" s="13"/>
      <c r="J379" s="385"/>
      <c r="K379" s="385"/>
      <c r="L379" s="385"/>
      <c r="M379" s="385"/>
      <c r="N379" s="385"/>
    </row>
    <row r="380" spans="1:14" s="5" customFormat="1" ht="18" customHeight="1">
      <c r="A380" s="605"/>
      <c r="B380" s="3"/>
      <c r="C380" s="7"/>
      <c r="D380" s="14"/>
      <c r="E380" s="385"/>
      <c r="F380" s="385"/>
      <c r="G380" s="385"/>
      <c r="H380" s="12"/>
      <c r="I380" s="13"/>
      <c r="J380" s="385"/>
      <c r="K380" s="385"/>
      <c r="L380" s="385"/>
      <c r="M380" s="385"/>
      <c r="N380" s="385"/>
    </row>
    <row r="381" spans="1:14" s="5" customFormat="1" ht="18" customHeight="1">
      <c r="A381" s="605"/>
      <c r="B381" s="3"/>
      <c r="C381" s="7"/>
      <c r="D381" s="14"/>
      <c r="E381" s="385"/>
      <c r="F381" s="385"/>
      <c r="G381" s="385"/>
      <c r="H381" s="12"/>
      <c r="I381" s="13"/>
      <c r="J381" s="385"/>
      <c r="K381" s="385"/>
      <c r="L381" s="385"/>
      <c r="M381" s="385"/>
      <c r="N381" s="385"/>
    </row>
    <row r="382" spans="1:14" s="5" customFormat="1" ht="18" customHeight="1">
      <c r="A382" s="605"/>
      <c r="B382" s="3"/>
      <c r="C382" s="7"/>
      <c r="D382" s="14"/>
      <c r="E382" s="385"/>
      <c r="F382" s="385"/>
      <c r="G382" s="385"/>
      <c r="H382" s="12"/>
      <c r="I382" s="13"/>
      <c r="J382" s="385"/>
      <c r="K382" s="385"/>
      <c r="L382" s="385"/>
      <c r="M382" s="385"/>
      <c r="N382" s="385"/>
    </row>
    <row r="383" spans="1:14" s="5" customFormat="1" ht="18" customHeight="1">
      <c r="A383" s="605"/>
      <c r="B383" s="3"/>
      <c r="C383" s="7"/>
      <c r="D383" s="14"/>
      <c r="E383" s="385"/>
      <c r="F383" s="385"/>
      <c r="G383" s="385"/>
      <c r="H383" s="12"/>
      <c r="I383" s="13"/>
      <c r="J383" s="385"/>
      <c r="K383" s="385"/>
      <c r="L383" s="385"/>
      <c r="M383" s="385"/>
      <c r="N383" s="385"/>
    </row>
    <row r="384" spans="4:8" ht="18" customHeight="1">
      <c r="D384" s="11"/>
      <c r="E384" s="385"/>
      <c r="F384" s="385"/>
      <c r="G384" s="385"/>
      <c r="H384" s="12"/>
    </row>
    <row r="385" spans="4:8" ht="18" customHeight="1">
      <c r="D385" s="11"/>
      <c r="E385" s="385"/>
      <c r="F385" s="385"/>
      <c r="G385" s="385"/>
      <c r="H385" s="12"/>
    </row>
    <row r="386" spans="4:8" ht="18" customHeight="1">
      <c r="D386" s="11"/>
      <c r="E386" s="385"/>
      <c r="F386" s="385"/>
      <c r="G386" s="385"/>
      <c r="H386" s="12"/>
    </row>
    <row r="387" spans="4:8" ht="18" customHeight="1">
      <c r="D387" s="11"/>
      <c r="E387" s="385"/>
      <c r="F387" s="385"/>
      <c r="G387" s="385"/>
      <c r="H387" s="12"/>
    </row>
    <row r="388" spans="4:8" ht="18" customHeight="1">
      <c r="D388" s="11"/>
      <c r="E388" s="385"/>
      <c r="F388" s="385"/>
      <c r="G388" s="385"/>
      <c r="H388" s="12"/>
    </row>
    <row r="389" spans="4:8" ht="18" customHeight="1">
      <c r="D389" s="11"/>
      <c r="E389" s="385"/>
      <c r="F389" s="385"/>
      <c r="G389" s="385"/>
      <c r="H389" s="12"/>
    </row>
    <row r="390" spans="4:8" ht="18" customHeight="1">
      <c r="D390" s="11"/>
      <c r="E390" s="385"/>
      <c r="F390" s="385"/>
      <c r="G390" s="385"/>
      <c r="H390" s="12"/>
    </row>
    <row r="391" spans="4:8" ht="18" customHeight="1">
      <c r="D391" s="11"/>
      <c r="E391" s="385"/>
      <c r="F391" s="385"/>
      <c r="G391" s="385"/>
      <c r="H391" s="12"/>
    </row>
    <row r="392" spans="4:8" ht="18" customHeight="1">
      <c r="D392" s="11"/>
      <c r="E392" s="385"/>
      <c r="F392" s="385"/>
      <c r="G392" s="385"/>
      <c r="H392" s="12"/>
    </row>
    <row r="393" spans="4:8" ht="18" customHeight="1">
      <c r="D393" s="11"/>
      <c r="E393" s="385"/>
      <c r="F393" s="385"/>
      <c r="G393" s="385"/>
      <c r="H393" s="12"/>
    </row>
    <row r="394" spans="4:8" ht="18" customHeight="1">
      <c r="D394" s="11"/>
      <c r="E394" s="385"/>
      <c r="F394" s="385"/>
      <c r="G394" s="385"/>
      <c r="H394" s="12"/>
    </row>
    <row r="395" spans="4:8" ht="18" customHeight="1">
      <c r="D395" s="11"/>
      <c r="E395" s="385"/>
      <c r="F395" s="385"/>
      <c r="G395" s="385"/>
      <c r="H395" s="12"/>
    </row>
    <row r="396" spans="4:8" ht="18" customHeight="1">
      <c r="D396" s="11"/>
      <c r="E396" s="385"/>
      <c r="F396" s="385"/>
      <c r="G396" s="385"/>
      <c r="H396" s="12"/>
    </row>
    <row r="397" spans="1:14" s="5" customFormat="1" ht="18" customHeight="1">
      <c r="A397" s="605"/>
      <c r="B397" s="3"/>
      <c r="C397" s="7"/>
      <c r="D397" s="14"/>
      <c r="E397" s="385"/>
      <c r="F397" s="385"/>
      <c r="G397" s="385"/>
      <c r="H397" s="12"/>
      <c r="I397" s="13"/>
      <c r="J397" s="385"/>
      <c r="K397" s="385"/>
      <c r="L397" s="385"/>
      <c r="M397" s="385"/>
      <c r="N397" s="385"/>
    </row>
    <row r="398" spans="4:8" ht="18" customHeight="1">
      <c r="D398" s="11"/>
      <c r="E398" s="385"/>
      <c r="F398" s="385"/>
      <c r="G398" s="385"/>
      <c r="H398" s="12"/>
    </row>
    <row r="399" spans="1:15" s="13" customFormat="1" ht="18" customHeight="1">
      <c r="A399" s="605"/>
      <c r="B399" s="3"/>
      <c r="C399" s="7"/>
      <c r="D399" s="11"/>
      <c r="E399" s="385"/>
      <c r="F399" s="385"/>
      <c r="G399" s="385"/>
      <c r="H399" s="12"/>
      <c r="J399" s="385"/>
      <c r="K399" s="385"/>
      <c r="L399" s="385"/>
      <c r="M399" s="385"/>
      <c r="N399" s="385"/>
      <c r="O399" s="4"/>
    </row>
    <row r="400" spans="1:15" s="13" customFormat="1" ht="18" customHeight="1">
      <c r="A400" s="605"/>
      <c r="B400" s="3"/>
      <c r="C400" s="7"/>
      <c r="D400" s="11"/>
      <c r="E400" s="385"/>
      <c r="F400" s="385"/>
      <c r="G400" s="385"/>
      <c r="H400" s="12"/>
      <c r="J400" s="385"/>
      <c r="K400" s="385"/>
      <c r="L400" s="385"/>
      <c r="M400" s="385"/>
      <c r="N400" s="385"/>
      <c r="O400" s="4"/>
    </row>
    <row r="401" spans="1:15" s="13" customFormat="1" ht="17.25">
      <c r="A401" s="605"/>
      <c r="B401" s="3"/>
      <c r="C401" s="7"/>
      <c r="D401" s="11"/>
      <c r="E401" s="385"/>
      <c r="F401" s="385"/>
      <c r="G401" s="385"/>
      <c r="H401" s="12"/>
      <c r="J401" s="385"/>
      <c r="K401" s="385"/>
      <c r="L401" s="385"/>
      <c r="M401" s="385"/>
      <c r="N401" s="385"/>
      <c r="O401" s="4"/>
    </row>
    <row r="402" spans="1:15" s="13" customFormat="1" ht="17.25">
      <c r="A402" s="605"/>
      <c r="B402" s="3"/>
      <c r="C402" s="7"/>
      <c r="D402" s="11"/>
      <c r="E402" s="385"/>
      <c r="F402" s="385"/>
      <c r="G402" s="385"/>
      <c r="H402" s="12"/>
      <c r="J402" s="385"/>
      <c r="K402" s="385"/>
      <c r="L402" s="385"/>
      <c r="M402" s="385"/>
      <c r="N402" s="385"/>
      <c r="O402" s="4"/>
    </row>
    <row r="403" spans="1:15" s="13" customFormat="1" ht="17.25">
      <c r="A403" s="605"/>
      <c r="B403" s="3"/>
      <c r="C403" s="7"/>
      <c r="D403" s="11"/>
      <c r="E403" s="385"/>
      <c r="F403" s="385"/>
      <c r="G403" s="385"/>
      <c r="H403" s="12"/>
      <c r="J403" s="385"/>
      <c r="K403" s="385"/>
      <c r="L403" s="385"/>
      <c r="M403" s="385"/>
      <c r="N403" s="385"/>
      <c r="O403" s="4"/>
    </row>
    <row r="404" spans="1:15" s="13" customFormat="1" ht="17.25">
      <c r="A404" s="605"/>
      <c r="B404" s="3"/>
      <c r="C404" s="7"/>
      <c r="D404" s="11"/>
      <c r="E404" s="385"/>
      <c r="F404" s="385"/>
      <c r="G404" s="385"/>
      <c r="H404" s="12"/>
      <c r="J404" s="385"/>
      <c r="K404" s="385"/>
      <c r="L404" s="385"/>
      <c r="M404" s="385"/>
      <c r="N404" s="385"/>
      <c r="O404" s="4"/>
    </row>
    <row r="405" spans="1:15" s="13" customFormat="1" ht="17.25">
      <c r="A405" s="605"/>
      <c r="B405" s="3"/>
      <c r="C405" s="7"/>
      <c r="D405" s="11"/>
      <c r="E405" s="385"/>
      <c r="F405" s="385"/>
      <c r="G405" s="385"/>
      <c r="H405" s="12"/>
      <c r="J405" s="385"/>
      <c r="K405" s="385"/>
      <c r="L405" s="385"/>
      <c r="M405" s="385"/>
      <c r="N405" s="385"/>
      <c r="O405" s="4"/>
    </row>
    <row r="406" spans="1:15" s="13" customFormat="1" ht="17.25">
      <c r="A406" s="605"/>
      <c r="B406" s="3"/>
      <c r="C406" s="7"/>
      <c r="D406" s="11"/>
      <c r="E406" s="385"/>
      <c r="F406" s="385"/>
      <c r="G406" s="385"/>
      <c r="H406" s="12"/>
      <c r="J406" s="385"/>
      <c r="K406" s="385"/>
      <c r="L406" s="385"/>
      <c r="M406" s="385"/>
      <c r="N406" s="385"/>
      <c r="O406" s="4"/>
    </row>
    <row r="407" spans="1:15" s="13" customFormat="1" ht="17.25">
      <c r="A407" s="605"/>
      <c r="B407" s="3"/>
      <c r="C407" s="7"/>
      <c r="D407" s="11"/>
      <c r="E407" s="385"/>
      <c r="F407" s="385"/>
      <c r="G407" s="385"/>
      <c r="H407" s="12"/>
      <c r="J407" s="385"/>
      <c r="K407" s="385"/>
      <c r="L407" s="385"/>
      <c r="M407" s="385"/>
      <c r="N407" s="385"/>
      <c r="O407" s="4"/>
    </row>
    <row r="408" spans="1:15" s="13" customFormat="1" ht="17.25">
      <c r="A408" s="605"/>
      <c r="B408" s="3"/>
      <c r="C408" s="7"/>
      <c r="D408" s="11"/>
      <c r="E408" s="385"/>
      <c r="F408" s="385"/>
      <c r="G408" s="385"/>
      <c r="H408" s="12"/>
      <c r="J408" s="385"/>
      <c r="K408" s="385"/>
      <c r="L408" s="385"/>
      <c r="M408" s="385"/>
      <c r="N408" s="385"/>
      <c r="O408" s="4"/>
    </row>
    <row r="409" spans="1:15" s="13" customFormat="1" ht="17.25">
      <c r="A409" s="605"/>
      <c r="B409" s="3"/>
      <c r="C409" s="7"/>
      <c r="D409" s="11"/>
      <c r="E409" s="385"/>
      <c r="F409" s="385"/>
      <c r="G409" s="385"/>
      <c r="H409" s="12"/>
      <c r="J409" s="385"/>
      <c r="K409" s="385"/>
      <c r="L409" s="385"/>
      <c r="M409" s="385"/>
      <c r="N409" s="385"/>
      <c r="O409" s="4"/>
    </row>
    <row r="410" spans="1:15" s="13" customFormat="1" ht="17.25">
      <c r="A410" s="605"/>
      <c r="B410" s="3"/>
      <c r="C410" s="7"/>
      <c r="D410" s="11"/>
      <c r="E410" s="385"/>
      <c r="F410" s="385"/>
      <c r="G410" s="385"/>
      <c r="H410" s="12"/>
      <c r="J410" s="385"/>
      <c r="K410" s="385"/>
      <c r="L410" s="385"/>
      <c r="M410" s="385"/>
      <c r="N410" s="385"/>
      <c r="O410" s="4"/>
    </row>
    <row r="411" spans="1:15" s="13" customFormat="1" ht="17.25">
      <c r="A411" s="605"/>
      <c r="B411" s="3"/>
      <c r="C411" s="7"/>
      <c r="D411" s="11"/>
      <c r="E411" s="385"/>
      <c r="F411" s="385"/>
      <c r="G411" s="385"/>
      <c r="H411" s="12"/>
      <c r="J411" s="385"/>
      <c r="K411" s="385"/>
      <c r="L411" s="385"/>
      <c r="M411" s="385"/>
      <c r="N411" s="385"/>
      <c r="O411" s="4"/>
    </row>
    <row r="412" spans="1:15" s="13" customFormat="1" ht="17.25">
      <c r="A412" s="605"/>
      <c r="B412" s="3"/>
      <c r="C412" s="7"/>
      <c r="D412" s="11"/>
      <c r="E412" s="385"/>
      <c r="F412" s="385"/>
      <c r="G412" s="385"/>
      <c r="H412" s="12"/>
      <c r="J412" s="385"/>
      <c r="K412" s="385"/>
      <c r="L412" s="385"/>
      <c r="M412" s="385"/>
      <c r="N412" s="385"/>
      <c r="O412" s="4"/>
    </row>
    <row r="413" spans="1:15" s="13" customFormat="1" ht="17.25">
      <c r="A413" s="605"/>
      <c r="B413" s="3"/>
      <c r="C413" s="7"/>
      <c r="D413" s="11"/>
      <c r="E413" s="385"/>
      <c r="F413" s="385"/>
      <c r="G413" s="385"/>
      <c r="H413" s="12"/>
      <c r="J413" s="385"/>
      <c r="K413" s="385"/>
      <c r="L413" s="385"/>
      <c r="M413" s="385"/>
      <c r="N413" s="385"/>
      <c r="O413" s="4"/>
    </row>
    <row r="414" spans="1:15" s="13" customFormat="1" ht="17.25">
      <c r="A414" s="605"/>
      <c r="B414" s="3"/>
      <c r="C414" s="7"/>
      <c r="D414" s="11"/>
      <c r="E414" s="385"/>
      <c r="F414" s="385"/>
      <c r="G414" s="385"/>
      <c r="H414" s="12"/>
      <c r="J414" s="385"/>
      <c r="K414" s="385"/>
      <c r="L414" s="385"/>
      <c r="M414" s="385"/>
      <c r="N414" s="385"/>
      <c r="O414" s="4"/>
    </row>
    <row r="415" spans="1:15" s="13" customFormat="1" ht="17.25">
      <c r="A415" s="605"/>
      <c r="B415" s="3"/>
      <c r="C415" s="7"/>
      <c r="D415" s="11"/>
      <c r="E415" s="385"/>
      <c r="F415" s="385"/>
      <c r="G415" s="385"/>
      <c r="H415" s="12"/>
      <c r="J415" s="385"/>
      <c r="K415" s="385"/>
      <c r="L415" s="385"/>
      <c r="M415" s="385"/>
      <c r="N415" s="385"/>
      <c r="O415" s="4"/>
    </row>
    <row r="416" spans="1:15" s="13" customFormat="1" ht="17.25">
      <c r="A416" s="605"/>
      <c r="B416" s="3"/>
      <c r="C416" s="7"/>
      <c r="D416" s="11"/>
      <c r="E416" s="385"/>
      <c r="F416" s="385"/>
      <c r="G416" s="385"/>
      <c r="H416" s="12"/>
      <c r="J416" s="385"/>
      <c r="K416" s="385"/>
      <c r="L416" s="385"/>
      <c r="M416" s="385"/>
      <c r="N416" s="385"/>
      <c r="O416" s="4"/>
    </row>
    <row r="417" spans="1:15" s="13" customFormat="1" ht="17.25">
      <c r="A417" s="605"/>
      <c r="B417" s="3"/>
      <c r="C417" s="7"/>
      <c r="D417" s="11"/>
      <c r="E417" s="385"/>
      <c r="F417" s="385"/>
      <c r="G417" s="385"/>
      <c r="H417" s="12"/>
      <c r="J417" s="385"/>
      <c r="K417" s="385"/>
      <c r="L417" s="385"/>
      <c r="M417" s="385"/>
      <c r="N417" s="385"/>
      <c r="O417" s="4"/>
    </row>
    <row r="418" spans="1:15" s="13" customFormat="1" ht="17.25">
      <c r="A418" s="605"/>
      <c r="B418" s="3"/>
      <c r="C418" s="7"/>
      <c r="D418" s="11"/>
      <c r="E418" s="385"/>
      <c r="F418" s="385"/>
      <c r="G418" s="385"/>
      <c r="H418" s="12"/>
      <c r="J418" s="385"/>
      <c r="K418" s="385"/>
      <c r="L418" s="385"/>
      <c r="M418" s="385"/>
      <c r="N418" s="385"/>
      <c r="O418" s="4"/>
    </row>
    <row r="419" spans="1:15" s="13" customFormat="1" ht="17.25">
      <c r="A419" s="605"/>
      <c r="B419" s="3"/>
      <c r="C419" s="7"/>
      <c r="D419" s="11"/>
      <c r="E419" s="385"/>
      <c r="F419" s="385"/>
      <c r="G419" s="385"/>
      <c r="H419" s="12"/>
      <c r="J419" s="385"/>
      <c r="K419" s="385"/>
      <c r="L419" s="385"/>
      <c r="M419" s="385"/>
      <c r="N419" s="385"/>
      <c r="O419" s="4"/>
    </row>
    <row r="420" spans="1:15" s="13" customFormat="1" ht="17.25">
      <c r="A420" s="605"/>
      <c r="B420" s="3"/>
      <c r="C420" s="7"/>
      <c r="D420" s="11"/>
      <c r="E420" s="385"/>
      <c r="F420" s="385"/>
      <c r="G420" s="385"/>
      <c r="H420" s="12"/>
      <c r="J420" s="385"/>
      <c r="K420" s="385"/>
      <c r="L420" s="385"/>
      <c r="M420" s="385"/>
      <c r="N420" s="385"/>
      <c r="O420" s="4"/>
    </row>
    <row r="421" spans="1:15" s="13" customFormat="1" ht="17.25">
      <c r="A421" s="605"/>
      <c r="B421" s="3"/>
      <c r="C421" s="7"/>
      <c r="D421" s="11"/>
      <c r="E421" s="385"/>
      <c r="F421" s="385"/>
      <c r="G421" s="385"/>
      <c r="H421" s="12"/>
      <c r="J421" s="385"/>
      <c r="K421" s="385"/>
      <c r="L421" s="385"/>
      <c r="M421" s="385"/>
      <c r="N421" s="385"/>
      <c r="O421" s="4"/>
    </row>
    <row r="422" spans="1:15" s="13" customFormat="1" ht="17.25">
      <c r="A422" s="605"/>
      <c r="B422" s="3"/>
      <c r="C422" s="7"/>
      <c r="D422" s="11"/>
      <c r="E422" s="385"/>
      <c r="F422" s="385"/>
      <c r="G422" s="385"/>
      <c r="H422" s="12"/>
      <c r="J422" s="385"/>
      <c r="K422" s="385"/>
      <c r="L422" s="385"/>
      <c r="M422" s="385"/>
      <c r="N422" s="385"/>
      <c r="O422" s="4"/>
    </row>
    <row r="423" spans="1:15" s="13" customFormat="1" ht="17.25">
      <c r="A423" s="605"/>
      <c r="B423" s="3"/>
      <c r="C423" s="7"/>
      <c r="D423" s="11"/>
      <c r="E423" s="385"/>
      <c r="F423" s="385"/>
      <c r="G423" s="385"/>
      <c r="H423" s="12"/>
      <c r="J423" s="385"/>
      <c r="K423" s="385"/>
      <c r="L423" s="385"/>
      <c r="M423" s="385"/>
      <c r="N423" s="385"/>
      <c r="O423" s="4"/>
    </row>
    <row r="424" spans="1:15" s="13" customFormat="1" ht="17.25">
      <c r="A424" s="605"/>
      <c r="B424" s="3"/>
      <c r="C424" s="7"/>
      <c r="D424" s="11"/>
      <c r="E424" s="385"/>
      <c r="F424" s="385"/>
      <c r="G424" s="385"/>
      <c r="H424" s="12"/>
      <c r="J424" s="385"/>
      <c r="K424" s="385"/>
      <c r="L424" s="385"/>
      <c r="M424" s="385"/>
      <c r="N424" s="385"/>
      <c r="O424" s="4"/>
    </row>
    <row r="425" spans="1:15" s="13" customFormat="1" ht="17.25">
      <c r="A425" s="605"/>
      <c r="B425" s="3"/>
      <c r="C425" s="7"/>
      <c r="D425" s="11"/>
      <c r="E425" s="385"/>
      <c r="F425" s="385"/>
      <c r="G425" s="385"/>
      <c r="H425" s="12"/>
      <c r="J425" s="385"/>
      <c r="K425" s="385"/>
      <c r="L425" s="385"/>
      <c r="M425" s="385"/>
      <c r="N425" s="385"/>
      <c r="O425" s="4"/>
    </row>
    <row r="426" spans="1:15" s="13" customFormat="1" ht="17.25">
      <c r="A426" s="605"/>
      <c r="B426" s="3"/>
      <c r="C426" s="7"/>
      <c r="D426" s="11"/>
      <c r="E426" s="385"/>
      <c r="F426" s="385"/>
      <c r="G426" s="385"/>
      <c r="H426" s="12"/>
      <c r="J426" s="385"/>
      <c r="K426" s="385"/>
      <c r="L426" s="385"/>
      <c r="M426" s="385"/>
      <c r="N426" s="385"/>
      <c r="O426" s="4"/>
    </row>
    <row r="427" spans="1:15" s="13" customFormat="1" ht="17.25">
      <c r="A427" s="605"/>
      <c r="B427" s="3"/>
      <c r="C427" s="7"/>
      <c r="D427" s="11"/>
      <c r="E427" s="385"/>
      <c r="F427" s="385"/>
      <c r="G427" s="385"/>
      <c r="H427" s="12"/>
      <c r="J427" s="385"/>
      <c r="K427" s="385"/>
      <c r="L427" s="385"/>
      <c r="M427" s="385"/>
      <c r="N427" s="385"/>
      <c r="O427" s="4"/>
    </row>
    <row r="428" spans="1:15" s="13" customFormat="1" ht="17.25">
      <c r="A428" s="605"/>
      <c r="B428" s="3"/>
      <c r="C428" s="7"/>
      <c r="D428" s="11"/>
      <c r="E428" s="385"/>
      <c r="F428" s="385"/>
      <c r="G428" s="385"/>
      <c r="H428" s="12"/>
      <c r="J428" s="385"/>
      <c r="K428" s="385"/>
      <c r="L428" s="385"/>
      <c r="M428" s="385"/>
      <c r="N428" s="385"/>
      <c r="O428" s="4"/>
    </row>
    <row r="429" spans="1:15" s="13" customFormat="1" ht="17.25">
      <c r="A429" s="605"/>
      <c r="B429" s="3"/>
      <c r="C429" s="7"/>
      <c r="D429" s="11"/>
      <c r="E429" s="385"/>
      <c r="F429" s="385"/>
      <c r="G429" s="385"/>
      <c r="H429" s="12"/>
      <c r="J429" s="385"/>
      <c r="K429" s="385"/>
      <c r="L429" s="385"/>
      <c r="M429" s="385"/>
      <c r="N429" s="385"/>
      <c r="O429" s="4"/>
    </row>
    <row r="430" spans="1:15" s="13" customFormat="1" ht="17.25">
      <c r="A430" s="605"/>
      <c r="B430" s="3"/>
      <c r="C430" s="7"/>
      <c r="D430" s="11"/>
      <c r="E430" s="385"/>
      <c r="F430" s="385"/>
      <c r="G430" s="385"/>
      <c r="H430" s="12"/>
      <c r="J430" s="385"/>
      <c r="K430" s="385"/>
      <c r="L430" s="385"/>
      <c r="M430" s="385"/>
      <c r="N430" s="385"/>
      <c r="O430" s="4"/>
    </row>
    <row r="431" spans="1:15" s="13" customFormat="1" ht="17.25">
      <c r="A431" s="605"/>
      <c r="B431" s="3"/>
      <c r="C431" s="7"/>
      <c r="D431" s="11"/>
      <c r="E431" s="385"/>
      <c r="F431" s="385"/>
      <c r="G431" s="385"/>
      <c r="H431" s="12"/>
      <c r="J431" s="385"/>
      <c r="K431" s="385"/>
      <c r="L431" s="385"/>
      <c r="M431" s="385"/>
      <c r="N431" s="385"/>
      <c r="O431" s="4"/>
    </row>
    <row r="432" spans="1:15" s="13" customFormat="1" ht="17.25">
      <c r="A432" s="605"/>
      <c r="B432" s="3"/>
      <c r="C432" s="7"/>
      <c r="D432" s="11"/>
      <c r="E432" s="385"/>
      <c r="F432" s="385"/>
      <c r="G432" s="385"/>
      <c r="H432" s="12"/>
      <c r="J432" s="385"/>
      <c r="K432" s="385"/>
      <c r="L432" s="385"/>
      <c r="M432" s="385"/>
      <c r="N432" s="385"/>
      <c r="O432" s="4"/>
    </row>
    <row r="433" spans="1:15" s="13" customFormat="1" ht="17.25">
      <c r="A433" s="605"/>
      <c r="B433" s="3"/>
      <c r="C433" s="7"/>
      <c r="D433" s="11"/>
      <c r="E433" s="385"/>
      <c r="F433" s="385"/>
      <c r="G433" s="385"/>
      <c r="H433" s="12"/>
      <c r="J433" s="385"/>
      <c r="K433" s="385"/>
      <c r="L433" s="385"/>
      <c r="M433" s="385"/>
      <c r="N433" s="385"/>
      <c r="O433" s="4"/>
    </row>
    <row r="434" spans="1:15" s="13" customFormat="1" ht="17.25">
      <c r="A434" s="605"/>
      <c r="B434" s="3"/>
      <c r="C434" s="7"/>
      <c r="D434" s="11"/>
      <c r="E434" s="385"/>
      <c r="F434" s="385"/>
      <c r="G434" s="385"/>
      <c r="H434" s="12"/>
      <c r="J434" s="385"/>
      <c r="K434" s="385"/>
      <c r="L434" s="385"/>
      <c r="M434" s="385"/>
      <c r="N434" s="385"/>
      <c r="O434" s="4"/>
    </row>
    <row r="435" spans="1:15" s="13" customFormat="1" ht="17.25">
      <c r="A435" s="605"/>
      <c r="B435" s="3"/>
      <c r="C435" s="7"/>
      <c r="D435" s="11"/>
      <c r="E435" s="385"/>
      <c r="F435" s="385"/>
      <c r="G435" s="385"/>
      <c r="H435" s="12"/>
      <c r="J435" s="385"/>
      <c r="K435" s="385"/>
      <c r="L435" s="385"/>
      <c r="M435" s="385"/>
      <c r="N435" s="385"/>
      <c r="O435" s="4"/>
    </row>
    <row r="436" spans="1:15" s="13" customFormat="1" ht="17.25">
      <c r="A436" s="605"/>
      <c r="B436" s="3"/>
      <c r="C436" s="7"/>
      <c r="D436" s="11"/>
      <c r="E436" s="385"/>
      <c r="F436" s="385"/>
      <c r="G436" s="385"/>
      <c r="H436" s="12"/>
      <c r="J436" s="385"/>
      <c r="K436" s="385"/>
      <c r="L436" s="385"/>
      <c r="M436" s="385"/>
      <c r="N436" s="385"/>
      <c r="O436" s="4"/>
    </row>
    <row r="437" spans="1:15" s="13" customFormat="1" ht="17.25">
      <c r="A437" s="605"/>
      <c r="B437" s="3"/>
      <c r="C437" s="7"/>
      <c r="D437" s="11"/>
      <c r="E437" s="385"/>
      <c r="F437" s="385"/>
      <c r="G437" s="385"/>
      <c r="H437" s="12"/>
      <c r="J437" s="385"/>
      <c r="K437" s="385"/>
      <c r="L437" s="385"/>
      <c r="M437" s="385"/>
      <c r="N437" s="385"/>
      <c r="O437" s="4"/>
    </row>
    <row r="438" spans="1:15" s="13" customFormat="1" ht="17.25">
      <c r="A438" s="605"/>
      <c r="B438" s="3"/>
      <c r="C438" s="7"/>
      <c r="D438" s="11"/>
      <c r="E438" s="385"/>
      <c r="F438" s="385"/>
      <c r="G438" s="385"/>
      <c r="H438" s="12"/>
      <c r="J438" s="385"/>
      <c r="K438" s="385"/>
      <c r="L438" s="385"/>
      <c r="M438" s="385"/>
      <c r="N438" s="385"/>
      <c r="O438" s="4"/>
    </row>
    <row r="439" spans="1:15" s="13" customFormat="1" ht="17.25">
      <c r="A439" s="605"/>
      <c r="B439" s="3"/>
      <c r="C439" s="7"/>
      <c r="D439" s="11"/>
      <c r="E439" s="385"/>
      <c r="F439" s="385"/>
      <c r="G439" s="385"/>
      <c r="H439" s="12"/>
      <c r="J439" s="385"/>
      <c r="K439" s="385"/>
      <c r="L439" s="385"/>
      <c r="M439" s="385"/>
      <c r="N439" s="385"/>
      <c r="O439" s="4"/>
    </row>
    <row r="440" spans="1:15" s="13" customFormat="1" ht="17.25">
      <c r="A440" s="605"/>
      <c r="B440" s="3"/>
      <c r="C440" s="7"/>
      <c r="D440" s="11"/>
      <c r="E440" s="385"/>
      <c r="F440" s="385"/>
      <c r="G440" s="385"/>
      <c r="H440" s="12"/>
      <c r="J440" s="385"/>
      <c r="K440" s="385"/>
      <c r="L440" s="385"/>
      <c r="M440" s="385"/>
      <c r="N440" s="385"/>
      <c r="O440" s="4"/>
    </row>
    <row r="441" spans="1:15" s="13" customFormat="1" ht="17.25">
      <c r="A441" s="605"/>
      <c r="B441" s="3"/>
      <c r="C441" s="7"/>
      <c r="D441" s="11"/>
      <c r="E441" s="385"/>
      <c r="F441" s="385"/>
      <c r="G441" s="385"/>
      <c r="H441" s="12"/>
      <c r="J441" s="385"/>
      <c r="K441" s="385"/>
      <c r="L441" s="385"/>
      <c r="M441" s="385"/>
      <c r="N441" s="385"/>
      <c r="O441" s="4"/>
    </row>
    <row r="442" spans="1:15" s="13" customFormat="1" ht="17.25">
      <c r="A442" s="605"/>
      <c r="B442" s="3"/>
      <c r="C442" s="7"/>
      <c r="D442" s="16"/>
      <c r="E442" s="4"/>
      <c r="F442" s="4"/>
      <c r="G442" s="4"/>
      <c r="H442" s="3"/>
      <c r="J442" s="385"/>
      <c r="K442" s="385"/>
      <c r="L442" s="385"/>
      <c r="M442" s="385"/>
      <c r="N442" s="385"/>
      <c r="O442" s="4"/>
    </row>
    <row r="443" spans="1:15" s="13" customFormat="1" ht="17.25">
      <c r="A443" s="605"/>
      <c r="B443" s="3"/>
      <c r="C443" s="7"/>
      <c r="D443" s="16"/>
      <c r="E443" s="4"/>
      <c r="F443" s="4"/>
      <c r="G443" s="4"/>
      <c r="H443" s="3"/>
      <c r="J443" s="385"/>
      <c r="K443" s="385"/>
      <c r="L443" s="385"/>
      <c r="M443" s="385"/>
      <c r="N443" s="385"/>
      <c r="O443" s="4"/>
    </row>
    <row r="444" spans="1:15" s="13" customFormat="1" ht="17.25">
      <c r="A444" s="605"/>
      <c r="B444" s="3"/>
      <c r="C444" s="7"/>
      <c r="D444" s="16"/>
      <c r="E444" s="4"/>
      <c r="F444" s="4"/>
      <c r="G444" s="4"/>
      <c r="H444" s="3"/>
      <c r="J444" s="385"/>
      <c r="K444" s="385"/>
      <c r="L444" s="385"/>
      <c r="M444" s="385"/>
      <c r="N444" s="385"/>
      <c r="O444" s="4"/>
    </row>
    <row r="445" spans="1:15" s="13" customFormat="1" ht="17.25">
      <c r="A445" s="605"/>
      <c r="B445" s="3"/>
      <c r="C445" s="7"/>
      <c r="D445" s="16"/>
      <c r="E445" s="4"/>
      <c r="F445" s="4"/>
      <c r="G445" s="4"/>
      <c r="H445" s="3"/>
      <c r="J445" s="385"/>
      <c r="K445" s="385"/>
      <c r="L445" s="385"/>
      <c r="M445" s="385"/>
      <c r="N445" s="385"/>
      <c r="O445" s="4"/>
    </row>
    <row r="446" spans="1:15" s="13" customFormat="1" ht="17.25">
      <c r="A446" s="605"/>
      <c r="B446" s="3"/>
      <c r="C446" s="7"/>
      <c r="D446" s="16"/>
      <c r="E446" s="4"/>
      <c r="F446" s="4"/>
      <c r="G446" s="4"/>
      <c r="H446" s="3"/>
      <c r="J446" s="385"/>
      <c r="K446" s="385"/>
      <c r="L446" s="385"/>
      <c r="M446" s="385"/>
      <c r="N446" s="385"/>
      <c r="O446" s="4"/>
    </row>
    <row r="447" spans="1:15" s="13" customFormat="1" ht="17.25">
      <c r="A447" s="605"/>
      <c r="B447" s="3"/>
      <c r="C447" s="7"/>
      <c r="D447" s="16"/>
      <c r="E447" s="4"/>
      <c r="F447" s="4"/>
      <c r="G447" s="4"/>
      <c r="H447" s="3"/>
      <c r="J447" s="385"/>
      <c r="K447" s="385"/>
      <c r="L447" s="385"/>
      <c r="M447" s="385"/>
      <c r="N447" s="385"/>
      <c r="O447" s="4"/>
    </row>
    <row r="448" spans="1:15" s="13" customFormat="1" ht="17.25">
      <c r="A448" s="605"/>
      <c r="B448" s="3"/>
      <c r="C448" s="7"/>
      <c r="D448" s="16"/>
      <c r="E448" s="4"/>
      <c r="F448" s="4"/>
      <c r="G448" s="4"/>
      <c r="H448" s="3"/>
      <c r="J448" s="385"/>
      <c r="K448" s="385"/>
      <c r="L448" s="385"/>
      <c r="M448" s="385"/>
      <c r="N448" s="385"/>
      <c r="O448" s="4"/>
    </row>
    <row r="449" spans="1:15" s="13" customFormat="1" ht="17.25">
      <c r="A449" s="605"/>
      <c r="B449" s="3"/>
      <c r="C449" s="7"/>
      <c r="D449" s="16"/>
      <c r="E449" s="4"/>
      <c r="F449" s="4"/>
      <c r="G449" s="4"/>
      <c r="H449" s="3"/>
      <c r="J449" s="385"/>
      <c r="K449" s="385"/>
      <c r="L449" s="385"/>
      <c r="M449" s="385"/>
      <c r="N449" s="385"/>
      <c r="O449" s="4"/>
    </row>
    <row r="450" spans="1:15" s="13" customFormat="1" ht="17.25">
      <c r="A450" s="605"/>
      <c r="B450" s="3"/>
      <c r="C450" s="7"/>
      <c r="D450" s="16"/>
      <c r="E450" s="4"/>
      <c r="F450" s="4"/>
      <c r="G450" s="4"/>
      <c r="H450" s="3"/>
      <c r="J450" s="385"/>
      <c r="K450" s="385"/>
      <c r="L450" s="385"/>
      <c r="M450" s="385"/>
      <c r="N450" s="385"/>
      <c r="O450" s="4"/>
    </row>
    <row r="451" spans="1:15" s="13" customFormat="1" ht="17.25">
      <c r="A451" s="605"/>
      <c r="B451" s="3"/>
      <c r="C451" s="7"/>
      <c r="D451" s="16"/>
      <c r="E451" s="4"/>
      <c r="F451" s="4"/>
      <c r="G451" s="4"/>
      <c r="H451" s="3"/>
      <c r="J451" s="385"/>
      <c r="K451" s="385"/>
      <c r="L451" s="385"/>
      <c r="M451" s="385"/>
      <c r="N451" s="385"/>
      <c r="O451" s="4"/>
    </row>
  </sheetData>
  <sheetProtection/>
  <mergeCells count="21">
    <mergeCell ref="B331:D331"/>
    <mergeCell ref="I6:I7"/>
    <mergeCell ref="J6:N6"/>
    <mergeCell ref="E6:E7"/>
    <mergeCell ref="B6:B7"/>
    <mergeCell ref="C6:C7"/>
    <mergeCell ref="G6:G7"/>
    <mergeCell ref="D6:D7"/>
    <mergeCell ref="F6:F7"/>
    <mergeCell ref="D324:G324"/>
    <mergeCell ref="H6:H7"/>
    <mergeCell ref="D325:G325"/>
    <mergeCell ref="D326:G326"/>
    <mergeCell ref="D327:G327"/>
    <mergeCell ref="D328:G328"/>
    <mergeCell ref="B329:D329"/>
    <mergeCell ref="B1:D1"/>
    <mergeCell ref="G1:I1"/>
    <mergeCell ref="B2:N2"/>
    <mergeCell ref="B3:N3"/>
    <mergeCell ref="M4:N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6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3.75390625" style="667" customWidth="1"/>
    <col min="2" max="2" width="79.875" style="279" bestFit="1" customWidth="1"/>
    <col min="3" max="3" width="12.75390625" style="279" customWidth="1"/>
    <col min="4" max="4" width="9.125" style="279" customWidth="1"/>
    <col min="5" max="5" width="90.375" style="279" customWidth="1"/>
    <col min="6" max="16384" width="9.125" style="279" customWidth="1"/>
  </cols>
  <sheetData>
    <row r="1" spans="1:3" s="479" customFormat="1" ht="16.5">
      <c r="A1" s="999"/>
      <c r="B1" s="1000" t="s">
        <v>647</v>
      </c>
      <c r="C1" s="1001"/>
    </row>
    <row r="2" spans="1:3" ht="19.5" customHeight="1">
      <c r="A2" s="999"/>
      <c r="B2" s="1704" t="s">
        <v>113</v>
      </c>
      <c r="C2" s="1704"/>
    </row>
    <row r="3" spans="1:3" ht="19.5" customHeight="1">
      <c r="A3" s="999"/>
      <c r="B3" s="1704" t="s">
        <v>298</v>
      </c>
      <c r="C3" s="1704"/>
    </row>
    <row r="4" spans="1:3" ht="33.75" customHeight="1">
      <c r="A4" s="999"/>
      <c r="B4" s="1736" t="s">
        <v>871</v>
      </c>
      <c r="C4" s="1736"/>
    </row>
    <row r="5" spans="1:3" s="1002" customFormat="1" ht="19.5" customHeight="1">
      <c r="A5" s="998"/>
      <c r="B5" s="1737" t="s">
        <v>0</v>
      </c>
      <c r="C5" s="1737"/>
    </row>
    <row r="6" spans="1:3" s="145" customFormat="1" ht="15" thickBot="1">
      <c r="A6" s="666"/>
      <c r="B6" s="964" t="s">
        <v>1</v>
      </c>
      <c r="C6" s="963" t="s">
        <v>3</v>
      </c>
    </row>
    <row r="7" spans="1:3" ht="19.5" customHeight="1">
      <c r="A7" s="194"/>
      <c r="B7" s="1738" t="s">
        <v>303</v>
      </c>
      <c r="C7" s="1740" t="s">
        <v>299</v>
      </c>
    </row>
    <row r="8" spans="1:3" ht="19.5" customHeight="1" thickBot="1">
      <c r="A8" s="194"/>
      <c r="B8" s="1739"/>
      <c r="C8" s="1741"/>
    </row>
    <row r="9" spans="1:5" s="280" customFormat="1" ht="18" customHeight="1" thickTop="1">
      <c r="A9" s="193">
        <v>1</v>
      </c>
      <c r="B9" s="186" t="s">
        <v>574</v>
      </c>
      <c r="C9" s="187">
        <v>1250</v>
      </c>
      <c r="D9" s="281"/>
      <c r="E9" s="282"/>
    </row>
    <row r="10" spans="1:5" s="280" customFormat="1" ht="18" customHeight="1">
      <c r="A10" s="193">
        <v>2</v>
      </c>
      <c r="B10" s="186" t="s">
        <v>575</v>
      </c>
      <c r="C10" s="187">
        <v>1250</v>
      </c>
      <c r="D10" s="281"/>
      <c r="E10" s="282"/>
    </row>
    <row r="11" spans="1:5" s="280" customFormat="1" ht="18" customHeight="1">
      <c r="A11" s="193">
        <v>3</v>
      </c>
      <c r="B11" s="186" t="s">
        <v>576</v>
      </c>
      <c r="C11" s="187">
        <v>800</v>
      </c>
      <c r="D11" s="281"/>
      <c r="E11" s="282"/>
    </row>
    <row r="12" spans="1:5" s="280" customFormat="1" ht="18" customHeight="1">
      <c r="A12" s="193">
        <v>4</v>
      </c>
      <c r="B12" s="186" t="s">
        <v>457</v>
      </c>
      <c r="C12" s="187">
        <v>500</v>
      </c>
      <c r="D12" s="281"/>
      <c r="E12" s="282"/>
    </row>
    <row r="13" spans="1:5" s="280" customFormat="1" ht="18" customHeight="1">
      <c r="A13" s="193">
        <v>5</v>
      </c>
      <c r="B13" s="186" t="s">
        <v>350</v>
      </c>
      <c r="C13" s="187">
        <v>25000</v>
      </c>
      <c r="D13" s="281"/>
      <c r="E13" s="282"/>
    </row>
    <row r="14" spans="1:5" s="280" customFormat="1" ht="18" customHeight="1">
      <c r="A14" s="193">
        <v>6</v>
      </c>
      <c r="B14" s="186" t="s">
        <v>300</v>
      </c>
      <c r="C14" s="187">
        <v>2500</v>
      </c>
      <c r="D14" s="281"/>
      <c r="E14" s="282"/>
    </row>
    <row r="15" spans="1:5" s="280" customFormat="1" ht="18" customHeight="1">
      <c r="A15" s="193">
        <v>7</v>
      </c>
      <c r="B15" s="186" t="s">
        <v>848</v>
      </c>
      <c r="C15" s="187">
        <v>12000</v>
      </c>
      <c r="D15" s="281"/>
      <c r="E15" s="282"/>
    </row>
    <row r="16" spans="1:5" s="280" customFormat="1" ht="18" customHeight="1" thickBot="1">
      <c r="A16" s="193">
        <v>8</v>
      </c>
      <c r="B16" s="186" t="s">
        <v>422</v>
      </c>
      <c r="C16" s="187">
        <v>60000</v>
      </c>
      <c r="D16" s="559"/>
      <c r="E16" s="282"/>
    </row>
    <row r="17" spans="1:3" ht="30" customHeight="1" thickBot="1">
      <c r="A17" s="193">
        <v>9</v>
      </c>
      <c r="B17" s="188" t="s">
        <v>13</v>
      </c>
      <c r="C17" s="189">
        <f>SUM(C9:C16)</f>
        <v>103300</v>
      </c>
    </row>
  </sheetData>
  <sheetProtection/>
  <mergeCells count="6">
    <mergeCell ref="B2:C2"/>
    <mergeCell ref="B3:C3"/>
    <mergeCell ref="B4:C4"/>
    <mergeCell ref="B5:C5"/>
    <mergeCell ref="B7:B8"/>
    <mergeCell ref="C7:C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2021-02-19T06:45:52Z</cp:lastPrinted>
  <dcterms:created xsi:type="dcterms:W3CDTF">2015-02-11T07:38:58Z</dcterms:created>
  <dcterms:modified xsi:type="dcterms:W3CDTF">2021-03-03T13:05:53Z</dcterms:modified>
  <cp:category/>
  <cp:version/>
  <cp:contentType/>
  <cp:contentStatus/>
</cp:coreProperties>
</file>